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Y:\107 ＣＩ、景況\◆景気動向指数\●新CI\04 [いわての統計情報]公表分\令和７年度\"/>
    </mc:Choice>
  </mc:AlternateContent>
  <xr:revisionPtr revIDLastSave="0" documentId="14_{657F6E38-DA43-4D94-B637-8A71D3CF79A4}" xr6:coauthVersionLast="47" xr6:coauthVersionMax="47" xr10:uidLastSave="{00000000-0000-0000-0000-000000000000}"/>
  <bookViews>
    <workbookView xWindow="1905" yWindow="1905" windowWidth="14970" windowHeight="12045"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externalReferences>
    <externalReference r:id="rId25"/>
    <externalReference r:id="rId26"/>
  </externalReferences>
  <definedNames>
    <definedName name="label" localSheetId="22">DI元データ!$J$3:INDEX('[1]P5.DIグラフ'!$J$1:$J$65536,COUNTA('[1]P5.DIグラフ'!$J$1:$J$65536))</definedName>
    <definedName name="label" localSheetId="13">[2]元データ!$J$3:INDEX('P11.DIグラフ'!$L:$L,COUNTA('P11.DIグラフ'!$L:$L))</definedName>
    <definedName name="label" localSheetId="15">[2]元データ!$J$3:INDEX('P13.累計DIグラフ '!$M:$M,COUNTA('P13.累計DIグラフ '!$M:$M))</definedName>
    <definedName name="label" localSheetId="0">[1]元データ!$J$3:INDEX('[1]P5.DIグラフ'!$J$1:$J$65536,COUNTA('[1]P5.DIグラフ'!$J$1:$J$65536))</definedName>
    <definedName name="label">[2]元データ!$J$3:INDEX('[2]P5.DIグラフ'!$K$1:$K$65536,COUNTA('[2]P5.DIグラフ'!$K$1:$K$65536))</definedName>
    <definedName name="P6.DI累計グラフ">[2]元データ!$J$3:INDEX('[2]P5.DIグラフ'!$K$1:$K$65536,COUNTA('[2]P5.DIグラフ'!$K$1:$K$65536))</definedName>
    <definedName name="_xlnm.Print_Area" localSheetId="22">DI元データ!$A$1:$R$571</definedName>
    <definedName name="_xlnm.Print_Area" localSheetId="12">'P10.DI変化方向表'!$A$1:$AU$43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'P8.一致系列'!$A$1:$L$62</definedName>
    <definedName name="_xlnm.Print_Area" localSheetId="11">'P9.遅行系列'!$A$1:$K$64</definedName>
    <definedName name="_xlnm.Print_Area" localSheetId="23">グラフデータ!$A$1:$AA$409</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12" l="1"/>
  <c r="L60" i="12"/>
  <c r="M40" i="12"/>
  <c r="L40" i="12"/>
  <c r="M20" i="12"/>
  <c r="L19" i="12"/>
  <c r="L20" i="12"/>
  <c r="AA398" i="9"/>
  <c r="Z398" i="9"/>
  <c r="Y398" i="9"/>
  <c r="W398" i="9"/>
  <c r="V398" i="9"/>
  <c r="U398" i="9"/>
  <c r="S398" i="9"/>
  <c r="R398" i="9"/>
  <c r="Q398" i="9"/>
  <c r="O398" i="9"/>
  <c r="N398" i="9"/>
  <c r="M398" i="9"/>
  <c r="J398" i="9"/>
  <c r="I398" i="9"/>
  <c r="K398" i="9"/>
  <c r="K40" i="12"/>
  <c r="M397" i="9"/>
  <c r="Q397" i="9" s="1"/>
  <c r="Z397" i="9"/>
  <c r="Y397" i="9"/>
  <c r="W397" i="9"/>
  <c r="AA397" i="9" s="1"/>
  <c r="V397" i="9"/>
  <c r="U397" i="9"/>
  <c r="R397" i="9"/>
  <c r="O397" i="9"/>
  <c r="S397" i="9" s="1"/>
  <c r="N397" i="9"/>
  <c r="K397" i="9"/>
  <c r="J397" i="9"/>
  <c r="I397" i="9"/>
  <c r="K60" i="12"/>
  <c r="K20" i="12"/>
  <c r="U396" i="9"/>
  <c r="V396" i="9"/>
  <c r="W396" i="9"/>
  <c r="M396" i="9"/>
  <c r="N396" i="9"/>
  <c r="O396" i="9"/>
  <c r="W395" i="9"/>
  <c r="V395" i="9"/>
  <c r="U395" i="9"/>
  <c r="O395" i="9"/>
  <c r="N395" i="9"/>
  <c r="M395" i="9"/>
  <c r="J60" i="12"/>
  <c r="J40" i="12"/>
  <c r="J20" i="12"/>
  <c r="I60" i="12"/>
  <c r="I40" i="12"/>
  <c r="I20" i="12"/>
  <c r="B43" i="4"/>
  <c r="G41" i="4"/>
  <c r="B41" i="4"/>
  <c r="U394" i="9" l="1"/>
  <c r="Y395" i="9" s="1"/>
  <c r="V394" i="9"/>
  <c r="W394" i="9"/>
  <c r="AA395" i="9" s="1"/>
  <c r="M394" i="9"/>
  <c r="Q395" i="9" s="1"/>
  <c r="N394" i="9"/>
  <c r="R395" i="9" s="1"/>
  <c r="O394" i="9"/>
  <c r="G43" i="4"/>
  <c r="B44" i="4"/>
  <c r="B47" i="4"/>
  <c r="H60" i="12"/>
  <c r="H40" i="12"/>
  <c r="H20" i="12"/>
  <c r="U393" i="9"/>
  <c r="Y394" i="9" s="1"/>
  <c r="V393" i="9"/>
  <c r="W393" i="9"/>
  <c r="M393" i="9"/>
  <c r="N393" i="9"/>
  <c r="O393" i="9"/>
  <c r="G60" i="12"/>
  <c r="G40" i="12"/>
  <c r="G20" i="12"/>
  <c r="I393" i="9"/>
  <c r="J393" i="9"/>
  <c r="K393" i="9"/>
  <c r="I394" i="9"/>
  <c r="J394" i="9"/>
  <c r="K394" i="9"/>
  <c r="I395" i="9"/>
  <c r="J395" i="9"/>
  <c r="K395" i="9"/>
  <c r="I396" i="9"/>
  <c r="J396" i="9"/>
  <c r="K396" i="9"/>
  <c r="U392" i="9"/>
  <c r="V392" i="9"/>
  <c r="W392" i="9"/>
  <c r="M392" i="9"/>
  <c r="N392" i="9"/>
  <c r="O392" i="9"/>
  <c r="F60" i="12"/>
  <c r="F40" i="12"/>
  <c r="F20" i="12"/>
  <c r="M391" i="9"/>
  <c r="N391" i="9"/>
  <c r="O391" i="9"/>
  <c r="U391" i="9"/>
  <c r="Y392" i="9" s="1"/>
  <c r="V391" i="9"/>
  <c r="W391" i="9"/>
  <c r="E60" i="12"/>
  <c r="E40" i="12"/>
  <c r="E20" i="12"/>
  <c r="I391" i="9"/>
  <c r="J391" i="9"/>
  <c r="K391" i="9"/>
  <c r="U390" i="9"/>
  <c r="V390" i="9"/>
  <c r="W390" i="9"/>
  <c r="M389" i="9"/>
  <c r="N389" i="9"/>
  <c r="O389" i="9"/>
  <c r="O390" i="9"/>
  <c r="N390" i="9"/>
  <c r="M390" i="9"/>
  <c r="I390" i="9"/>
  <c r="J390" i="9"/>
  <c r="K390" i="9"/>
  <c r="I392" i="9"/>
  <c r="J392" i="9"/>
  <c r="K392" i="9"/>
  <c r="AA396" i="9"/>
  <c r="Y396" i="9"/>
  <c r="Q396" i="9"/>
  <c r="Z396" i="9"/>
  <c r="S396" i="9"/>
  <c r="R396" i="9"/>
  <c r="W389" i="9"/>
  <c r="V389" i="9"/>
  <c r="U389" i="9"/>
  <c r="K389" i="9"/>
  <c r="J389" i="9"/>
  <c r="I389" i="9"/>
  <c r="D60" i="12"/>
  <c r="D40" i="12"/>
  <c r="D20" i="12"/>
  <c r="C20" i="12"/>
  <c r="C40" i="12"/>
  <c r="C60" i="12"/>
  <c r="W400" i="9"/>
  <c r="AA400" i="9" s="1"/>
  <c r="V400" i="9"/>
  <c r="Z400" i="9" s="1"/>
  <c r="U400" i="9"/>
  <c r="Y400" i="9" s="1"/>
  <c r="O400" i="9"/>
  <c r="S400" i="9" s="1"/>
  <c r="N400" i="9"/>
  <c r="R400" i="9" s="1"/>
  <c r="M400" i="9"/>
  <c r="Q400" i="9" s="1"/>
  <c r="K400" i="9"/>
  <c r="J400" i="9"/>
  <c r="I400" i="9"/>
  <c r="N19" i="12"/>
  <c r="N59" i="12"/>
  <c r="N39" i="12"/>
  <c r="M39" i="12"/>
  <c r="M19" i="12"/>
  <c r="W388" i="9"/>
  <c r="V388" i="9"/>
  <c r="U388" i="9"/>
  <c r="O388" i="9"/>
  <c r="N388" i="9"/>
  <c r="M388" i="9"/>
  <c r="K388" i="9"/>
  <c r="J388" i="9"/>
  <c r="I388" i="9"/>
  <c r="W387" i="9"/>
  <c r="V387" i="9"/>
  <c r="U387" i="9"/>
  <c r="O387" i="9"/>
  <c r="N387" i="9"/>
  <c r="M387" i="9"/>
  <c r="K387" i="9"/>
  <c r="J387" i="9"/>
  <c r="I387" i="9"/>
  <c r="I386" i="9"/>
  <c r="J386" i="9"/>
  <c r="K386" i="9"/>
  <c r="M59" i="12"/>
  <c r="M386" i="9"/>
  <c r="Q386" i="9" s="1"/>
  <c r="N386" i="9"/>
  <c r="O386" i="9"/>
  <c r="U386" i="9"/>
  <c r="V386" i="9"/>
  <c r="W386" i="9"/>
  <c r="L59" i="12"/>
  <c r="L39" i="12"/>
  <c r="W385" i="9"/>
  <c r="V385" i="9"/>
  <c r="U385" i="9"/>
  <c r="O385" i="9"/>
  <c r="N385" i="9"/>
  <c r="M385" i="9"/>
  <c r="I385" i="9"/>
  <c r="J385" i="9"/>
  <c r="K385" i="9"/>
  <c r="K19" i="12"/>
  <c r="K39" i="12"/>
  <c r="K59" i="12"/>
  <c r="U384" i="9"/>
  <c r="V384" i="9"/>
  <c r="W384" i="9"/>
  <c r="I384" i="9"/>
  <c r="J384" i="9"/>
  <c r="K384" i="9"/>
  <c r="M384" i="9"/>
  <c r="N384" i="9"/>
  <c r="O384" i="9"/>
  <c r="J19" i="12"/>
  <c r="J39" i="12"/>
  <c r="J59" i="12"/>
  <c r="T407" i="9"/>
  <c r="T408" i="9"/>
  <c r="T409" i="9"/>
  <c r="U383" i="9"/>
  <c r="V383" i="9"/>
  <c r="W383" i="9"/>
  <c r="U382" i="9"/>
  <c r="V382" i="9"/>
  <c r="W382" i="9"/>
  <c r="O383" i="9"/>
  <c r="N383" i="9"/>
  <c r="M383" i="9"/>
  <c r="O382" i="9"/>
  <c r="N382" i="9"/>
  <c r="M382" i="9"/>
  <c r="K383" i="9"/>
  <c r="J383" i="9"/>
  <c r="I383" i="9"/>
  <c r="K382" i="9"/>
  <c r="J382" i="9"/>
  <c r="I382" i="9"/>
  <c r="I59" i="12"/>
  <c r="I39" i="12"/>
  <c r="I19" i="12"/>
  <c r="T404" i="9"/>
  <c r="T405" i="9"/>
  <c r="T406" i="9"/>
  <c r="H59" i="12"/>
  <c r="H39" i="12"/>
  <c r="G39" i="12"/>
  <c r="H19" i="12"/>
  <c r="G19" i="12"/>
  <c r="G59" i="12"/>
  <c r="U380" i="9"/>
  <c r="V380" i="9"/>
  <c r="W380" i="9"/>
  <c r="U381" i="9"/>
  <c r="V381" i="9"/>
  <c r="W381" i="9"/>
  <c r="M380" i="9"/>
  <c r="N380" i="9"/>
  <c r="O380" i="9"/>
  <c r="M381" i="9"/>
  <c r="N381" i="9"/>
  <c r="O381" i="9"/>
  <c r="I380" i="9"/>
  <c r="J380" i="9"/>
  <c r="K380" i="9"/>
  <c r="I381" i="9"/>
  <c r="J381" i="9"/>
  <c r="K381" i="9"/>
  <c r="F59" i="12"/>
  <c r="F39" i="12"/>
  <c r="F19" i="12"/>
  <c r="E19" i="12"/>
  <c r="E39" i="12"/>
  <c r="B42" i="4"/>
  <c r="E59" i="12"/>
  <c r="I378" i="9"/>
  <c r="J378" i="9"/>
  <c r="K378" i="9"/>
  <c r="I379" i="9"/>
  <c r="J379" i="9"/>
  <c r="K379" i="9"/>
  <c r="D10" i="1"/>
  <c r="A1" i="16" s="1"/>
  <c r="D19" i="12"/>
  <c r="D59" i="12"/>
  <c r="D39" i="12"/>
  <c r="C39" i="12"/>
  <c r="C59" i="12"/>
  <c r="I377" i="9"/>
  <c r="J377" i="9"/>
  <c r="K377" i="9"/>
  <c r="B14" i="4"/>
  <c r="C19" i="12"/>
  <c r="W379" i="9"/>
  <c r="W378" i="9"/>
  <c r="V379" i="9"/>
  <c r="U379" i="9"/>
  <c r="O379" i="9"/>
  <c r="N379" i="9"/>
  <c r="M379" i="9"/>
  <c r="M378" i="9"/>
  <c r="W377" i="9"/>
  <c r="V378" i="9"/>
  <c r="U378" i="9"/>
  <c r="O378" i="9"/>
  <c r="N378" i="9"/>
  <c r="W376" i="9"/>
  <c r="V377" i="9"/>
  <c r="U377" i="9"/>
  <c r="U376" i="9"/>
  <c r="O377" i="9"/>
  <c r="S377" i="9" s="1"/>
  <c r="N377" i="9"/>
  <c r="N376" i="9"/>
  <c r="M377" i="9"/>
  <c r="M376" i="9"/>
  <c r="V376" i="9"/>
  <c r="V375" i="9"/>
  <c r="U375" i="9"/>
  <c r="O376" i="9"/>
  <c r="O375" i="9"/>
  <c r="N375" i="9"/>
  <c r="M375" i="9"/>
  <c r="K376" i="9"/>
  <c r="J376" i="9"/>
  <c r="I376" i="9"/>
  <c r="N58" i="12"/>
  <c r="N38" i="12"/>
  <c r="N18" i="12"/>
  <c r="I375" i="9"/>
  <c r="J375" i="9"/>
  <c r="K375" i="9"/>
  <c r="M374" i="9"/>
  <c r="W375" i="9"/>
  <c r="W374" i="9"/>
  <c r="I374" i="9"/>
  <c r="J374" i="9"/>
  <c r="K374" i="9"/>
  <c r="M373" i="9"/>
  <c r="N374" i="9"/>
  <c r="O374" i="9"/>
  <c r="U374" i="9"/>
  <c r="V374" i="9"/>
  <c r="W373" i="9"/>
  <c r="M58" i="12"/>
  <c r="M38" i="12"/>
  <c r="M18" i="12"/>
  <c r="L58" i="12"/>
  <c r="L38" i="12"/>
  <c r="L18" i="12"/>
  <c r="I373" i="9"/>
  <c r="J373" i="9"/>
  <c r="K373" i="9"/>
  <c r="M372" i="9"/>
  <c r="Q372" i="9" s="1"/>
  <c r="N373" i="9"/>
  <c r="O373" i="9"/>
  <c r="U373" i="9"/>
  <c r="V373" i="9"/>
  <c r="I372" i="9"/>
  <c r="J372" i="9"/>
  <c r="K372" i="9"/>
  <c r="M371" i="9"/>
  <c r="N372" i="9"/>
  <c r="N371" i="9"/>
  <c r="O372" i="9"/>
  <c r="U372" i="9"/>
  <c r="V372" i="9"/>
  <c r="W372" i="9"/>
  <c r="K58" i="12"/>
  <c r="K38" i="12"/>
  <c r="K18" i="12"/>
  <c r="I371" i="9"/>
  <c r="J371" i="9"/>
  <c r="K371" i="9"/>
  <c r="M370" i="9"/>
  <c r="N370" i="9"/>
  <c r="O371" i="9"/>
  <c r="O370" i="9"/>
  <c r="U371" i="9"/>
  <c r="U370" i="9"/>
  <c r="V371" i="9"/>
  <c r="W371" i="9"/>
  <c r="J58" i="12"/>
  <c r="J38" i="12"/>
  <c r="J18" i="12"/>
  <c r="I370" i="9"/>
  <c r="J370" i="9"/>
  <c r="K370" i="9"/>
  <c r="U369" i="9"/>
  <c r="V370" i="9"/>
  <c r="W370" i="9"/>
  <c r="I58" i="12"/>
  <c r="I38" i="12"/>
  <c r="I18" i="12"/>
  <c r="I369" i="9"/>
  <c r="J369" i="9"/>
  <c r="K369" i="9"/>
  <c r="M369" i="9"/>
  <c r="N369" i="9"/>
  <c r="O369" i="9"/>
  <c r="O368" i="9"/>
  <c r="V369" i="9"/>
  <c r="V368" i="9"/>
  <c r="W369" i="9"/>
  <c r="H58" i="12"/>
  <c r="H38" i="12"/>
  <c r="H18" i="12"/>
  <c r="G18" i="12"/>
  <c r="I368" i="9"/>
  <c r="J368" i="9"/>
  <c r="K368" i="9"/>
  <c r="M368" i="9"/>
  <c r="M367" i="9"/>
  <c r="N368" i="9"/>
  <c r="U368" i="9"/>
  <c r="U367" i="9"/>
  <c r="V367" i="9"/>
  <c r="W368" i="9"/>
  <c r="G58" i="12"/>
  <c r="G38" i="12"/>
  <c r="I367" i="9"/>
  <c r="J367" i="9"/>
  <c r="K367" i="9"/>
  <c r="N367" i="9"/>
  <c r="O367" i="9"/>
  <c r="U366" i="9"/>
  <c r="Y367" i="9" s="1"/>
  <c r="W367" i="9"/>
  <c r="W366" i="9"/>
  <c r="F58" i="12"/>
  <c r="F38" i="12"/>
  <c r="F18" i="12"/>
  <c r="I366" i="9"/>
  <c r="J366" i="9"/>
  <c r="K366" i="9"/>
  <c r="M366" i="9"/>
  <c r="N366" i="9"/>
  <c r="O366" i="9"/>
  <c r="V366" i="9"/>
  <c r="E58" i="12"/>
  <c r="E38" i="12"/>
  <c r="E18" i="12"/>
  <c r="I365" i="9"/>
  <c r="J365" i="9"/>
  <c r="K365" i="9"/>
  <c r="M365" i="9"/>
  <c r="N365" i="9"/>
  <c r="N364" i="9"/>
  <c r="O365" i="9"/>
  <c r="U365" i="9"/>
  <c r="V365" i="9"/>
  <c r="V364" i="9"/>
  <c r="W365" i="9"/>
  <c r="D58" i="12"/>
  <c r="D38" i="12"/>
  <c r="D18" i="12"/>
  <c r="N363" i="9"/>
  <c r="C58" i="12"/>
  <c r="C38" i="12"/>
  <c r="C18" i="12"/>
  <c r="C6" i="12"/>
  <c r="D6" i="12"/>
  <c r="E6" i="12"/>
  <c r="F6" i="12"/>
  <c r="G6" i="12"/>
  <c r="H6" i="12"/>
  <c r="I6" i="12"/>
  <c r="J6" i="12"/>
  <c r="K6" i="12"/>
  <c r="L6" i="12"/>
  <c r="M6" i="12"/>
  <c r="N6" i="12"/>
  <c r="C7" i="12"/>
  <c r="D7" i="12"/>
  <c r="E7" i="12"/>
  <c r="F7" i="12"/>
  <c r="G7" i="12"/>
  <c r="H7" i="12"/>
  <c r="I7" i="12"/>
  <c r="J7" i="12"/>
  <c r="K7" i="12"/>
  <c r="L7" i="12"/>
  <c r="M7" i="12"/>
  <c r="N7" i="12"/>
  <c r="C8" i="12"/>
  <c r="D8" i="12"/>
  <c r="E8" i="12"/>
  <c r="F8" i="12"/>
  <c r="G8" i="12"/>
  <c r="H8" i="12"/>
  <c r="I8" i="12"/>
  <c r="J8" i="12"/>
  <c r="K8" i="12"/>
  <c r="L8" i="12"/>
  <c r="M8" i="12"/>
  <c r="N8" i="12"/>
  <c r="C9" i="12"/>
  <c r="D9" i="12"/>
  <c r="E9" i="12"/>
  <c r="F9" i="12"/>
  <c r="G9" i="12"/>
  <c r="H9" i="12"/>
  <c r="I9" i="12"/>
  <c r="J9" i="12"/>
  <c r="K9" i="12"/>
  <c r="L9" i="12"/>
  <c r="M9" i="12"/>
  <c r="N9" i="12"/>
  <c r="C10" i="12"/>
  <c r="D10" i="12"/>
  <c r="E10" i="12"/>
  <c r="F10" i="12"/>
  <c r="G10" i="12"/>
  <c r="H10" i="12"/>
  <c r="I10" i="12"/>
  <c r="J10" i="12"/>
  <c r="K10" i="12"/>
  <c r="L10" i="12"/>
  <c r="M10" i="12"/>
  <c r="N10" i="12"/>
  <c r="C11" i="12"/>
  <c r="D11" i="12"/>
  <c r="E11" i="12"/>
  <c r="F11" i="12"/>
  <c r="G11" i="12"/>
  <c r="H11" i="12"/>
  <c r="I11" i="12"/>
  <c r="J11" i="12"/>
  <c r="K11" i="12"/>
  <c r="L11" i="12"/>
  <c r="M11" i="12"/>
  <c r="N11" i="12"/>
  <c r="C12" i="12"/>
  <c r="D12" i="12"/>
  <c r="E12" i="12"/>
  <c r="F12" i="12"/>
  <c r="G12" i="12"/>
  <c r="H12" i="12"/>
  <c r="I12" i="12"/>
  <c r="J12" i="12"/>
  <c r="K12" i="12"/>
  <c r="L12" i="12"/>
  <c r="M12" i="12"/>
  <c r="N12" i="12"/>
  <c r="C13" i="12"/>
  <c r="D13" i="12"/>
  <c r="E13" i="12"/>
  <c r="F13" i="12"/>
  <c r="G13" i="12"/>
  <c r="H13" i="12"/>
  <c r="I13" i="12"/>
  <c r="J13" i="12"/>
  <c r="K13" i="12"/>
  <c r="L13" i="12"/>
  <c r="M13" i="12"/>
  <c r="N13" i="12"/>
  <c r="C14" i="12"/>
  <c r="D14" i="12"/>
  <c r="E14" i="12"/>
  <c r="F14" i="12"/>
  <c r="G14" i="12"/>
  <c r="H14" i="12"/>
  <c r="I14" i="12"/>
  <c r="J14" i="12"/>
  <c r="K14" i="12"/>
  <c r="L14" i="12"/>
  <c r="M14" i="12"/>
  <c r="N14" i="12"/>
  <c r="C15" i="12"/>
  <c r="D15" i="12"/>
  <c r="E15" i="12"/>
  <c r="F15" i="12"/>
  <c r="G15" i="12"/>
  <c r="H15" i="12"/>
  <c r="I15" i="12"/>
  <c r="J15" i="12"/>
  <c r="K15" i="12"/>
  <c r="L15" i="12"/>
  <c r="M15" i="12"/>
  <c r="N15" i="12"/>
  <c r="C16" i="12"/>
  <c r="D16" i="12"/>
  <c r="E16" i="12"/>
  <c r="F16" i="12"/>
  <c r="G16" i="12"/>
  <c r="H16" i="12"/>
  <c r="I16" i="12"/>
  <c r="J16" i="12"/>
  <c r="K16" i="12"/>
  <c r="L16" i="12"/>
  <c r="M16" i="12"/>
  <c r="N16" i="12"/>
  <c r="I364" i="9"/>
  <c r="J364" i="9"/>
  <c r="K364" i="9"/>
  <c r="M364" i="9"/>
  <c r="M363" i="9"/>
  <c r="O364" i="9"/>
  <c r="U364" i="9"/>
  <c r="U363" i="9"/>
  <c r="W364" i="9"/>
  <c r="I363" i="9"/>
  <c r="J363" i="9"/>
  <c r="K363" i="9"/>
  <c r="O363" i="9"/>
  <c r="V363" i="9"/>
  <c r="W363" i="9"/>
  <c r="N57" i="12"/>
  <c r="N37" i="12"/>
  <c r="N17" i="12"/>
  <c r="M57" i="12"/>
  <c r="M37" i="12"/>
  <c r="M17" i="12"/>
  <c r="I362" i="9"/>
  <c r="J362" i="9"/>
  <c r="K362" i="9"/>
  <c r="M362" i="9"/>
  <c r="N362" i="9"/>
  <c r="O362" i="9"/>
  <c r="U362" i="9"/>
  <c r="V362" i="9"/>
  <c r="W362" i="9"/>
  <c r="W361" i="9"/>
  <c r="I361" i="9"/>
  <c r="J361" i="9"/>
  <c r="K361" i="9"/>
  <c r="M361" i="9"/>
  <c r="N361" i="9"/>
  <c r="O361" i="9"/>
  <c r="U361" i="9"/>
  <c r="V361" i="9"/>
  <c r="L57" i="12"/>
  <c r="L37" i="12"/>
  <c r="L17" i="12"/>
  <c r="I360" i="9"/>
  <c r="J360" i="9"/>
  <c r="K360" i="9"/>
  <c r="M360" i="9"/>
  <c r="N360" i="9"/>
  <c r="O360" i="9"/>
  <c r="O359" i="9"/>
  <c r="U360" i="9"/>
  <c r="V360" i="9"/>
  <c r="W360" i="9"/>
  <c r="K57" i="12"/>
  <c r="K37" i="12"/>
  <c r="K17" i="12"/>
  <c r="I359" i="9"/>
  <c r="J359" i="9"/>
  <c r="K359" i="9"/>
  <c r="M359" i="9"/>
  <c r="N359" i="9"/>
  <c r="U359" i="9"/>
  <c r="V359" i="9"/>
  <c r="W359" i="9"/>
  <c r="AA359" i="9" s="1"/>
  <c r="J57" i="12"/>
  <c r="J37" i="12"/>
  <c r="J17" i="12"/>
  <c r="I358" i="9"/>
  <c r="J358" i="9"/>
  <c r="K358" i="9"/>
  <c r="M358" i="9"/>
  <c r="N358" i="9"/>
  <c r="R358" i="9" s="1"/>
  <c r="O358" i="9"/>
  <c r="O357" i="9"/>
  <c r="U358" i="9"/>
  <c r="U357" i="9"/>
  <c r="V358" i="9"/>
  <c r="W358" i="9"/>
  <c r="I57" i="12"/>
  <c r="I37" i="12"/>
  <c r="I17" i="12"/>
  <c r="I357" i="9"/>
  <c r="J357" i="9"/>
  <c r="K357" i="9"/>
  <c r="M357" i="9"/>
  <c r="N357" i="9"/>
  <c r="O356" i="9"/>
  <c r="V357" i="9"/>
  <c r="W357" i="9"/>
  <c r="H57" i="12"/>
  <c r="H37" i="12"/>
  <c r="H17" i="12"/>
  <c r="I356" i="9"/>
  <c r="J356" i="9"/>
  <c r="K356" i="9"/>
  <c r="M356" i="9"/>
  <c r="N356" i="9"/>
  <c r="O355" i="9"/>
  <c r="U356" i="9"/>
  <c r="U355" i="9"/>
  <c r="Y355" i="9" s="1"/>
  <c r="V356" i="9"/>
  <c r="W356" i="9"/>
  <c r="G57" i="12"/>
  <c r="G37" i="12"/>
  <c r="G17" i="12"/>
  <c r="I355" i="9"/>
  <c r="J355" i="9"/>
  <c r="K355" i="9"/>
  <c r="M355" i="9"/>
  <c r="N355" i="9"/>
  <c r="V355" i="9"/>
  <c r="W355" i="9"/>
  <c r="F57" i="12"/>
  <c r="F37" i="12"/>
  <c r="F17" i="12"/>
  <c r="I354" i="9"/>
  <c r="J354" i="9"/>
  <c r="K354" i="9"/>
  <c r="M354" i="9"/>
  <c r="N354" i="9"/>
  <c r="O354" i="9"/>
  <c r="U354" i="9"/>
  <c r="V354" i="9"/>
  <c r="W354" i="9"/>
  <c r="W353" i="9"/>
  <c r="E57" i="12"/>
  <c r="E37" i="12"/>
  <c r="E17" i="12"/>
  <c r="D57" i="12"/>
  <c r="D37" i="12"/>
  <c r="D17" i="12"/>
  <c r="I353" i="9"/>
  <c r="J353" i="9"/>
  <c r="K353" i="9"/>
  <c r="M353" i="9"/>
  <c r="M352" i="9"/>
  <c r="N353" i="9"/>
  <c r="O353" i="9"/>
  <c r="U353" i="9"/>
  <c r="V353" i="9"/>
  <c r="W352" i="9"/>
  <c r="I297" i="9"/>
  <c r="J297" i="9"/>
  <c r="K297" i="9"/>
  <c r="M297" i="9"/>
  <c r="N297" i="9"/>
  <c r="O297" i="9"/>
  <c r="U297" i="9"/>
  <c r="V297" i="9"/>
  <c r="W297" i="9"/>
  <c r="W298" i="9"/>
  <c r="I298" i="9"/>
  <c r="J298" i="9"/>
  <c r="K298" i="9"/>
  <c r="M298" i="9"/>
  <c r="N298" i="9"/>
  <c r="O298" i="9"/>
  <c r="U298" i="9"/>
  <c r="V298" i="9"/>
  <c r="I299" i="9"/>
  <c r="J299" i="9"/>
  <c r="K299" i="9"/>
  <c r="M299" i="9"/>
  <c r="N299" i="9"/>
  <c r="O299" i="9"/>
  <c r="U299" i="9"/>
  <c r="V299" i="9"/>
  <c r="W299" i="9"/>
  <c r="I300" i="9"/>
  <c r="J300" i="9"/>
  <c r="K300" i="9"/>
  <c r="M300" i="9"/>
  <c r="N300" i="9"/>
  <c r="O300" i="9"/>
  <c r="U300" i="9"/>
  <c r="V300" i="9"/>
  <c r="W300" i="9"/>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W303" i="9"/>
  <c r="I304" i="9"/>
  <c r="J304" i="9"/>
  <c r="K304" i="9"/>
  <c r="M304" i="9"/>
  <c r="N304" i="9"/>
  <c r="N305" i="9"/>
  <c r="R306" i="9" s="1"/>
  <c r="O304" i="9"/>
  <c r="U304" i="9"/>
  <c r="V304" i="9"/>
  <c r="W304" i="9"/>
  <c r="I305" i="9"/>
  <c r="J305" i="9"/>
  <c r="K305" i="9"/>
  <c r="M305" i="9"/>
  <c r="O305" i="9"/>
  <c r="U305" i="9"/>
  <c r="V305" i="9"/>
  <c r="W305" i="9"/>
  <c r="I306" i="9"/>
  <c r="J306" i="9"/>
  <c r="K306" i="9"/>
  <c r="M306" i="9"/>
  <c r="N306" i="9"/>
  <c r="O306" i="9"/>
  <c r="U306" i="9"/>
  <c r="U307" i="9"/>
  <c r="V306" i="9"/>
  <c r="W306" i="9"/>
  <c r="I307" i="9"/>
  <c r="J307" i="9"/>
  <c r="K307" i="9"/>
  <c r="M307" i="9"/>
  <c r="N307" i="9"/>
  <c r="N308" i="9"/>
  <c r="O307" i="9"/>
  <c r="V307" i="9"/>
  <c r="W307" i="9"/>
  <c r="I308" i="9"/>
  <c r="J308" i="9"/>
  <c r="K308" i="9"/>
  <c r="M308" i="9"/>
  <c r="O308" i="9"/>
  <c r="U308" i="9"/>
  <c r="V308" i="9"/>
  <c r="W308" i="9"/>
  <c r="I309" i="9"/>
  <c r="J309" i="9"/>
  <c r="K309" i="9"/>
  <c r="M309" i="9"/>
  <c r="N309" i="9"/>
  <c r="O309" i="9"/>
  <c r="U309" i="9"/>
  <c r="V309" i="9"/>
  <c r="W309" i="9"/>
  <c r="I310" i="9"/>
  <c r="J310" i="9"/>
  <c r="K310" i="9"/>
  <c r="M310" i="9"/>
  <c r="N310" i="9"/>
  <c r="O310" i="9"/>
  <c r="U310" i="9"/>
  <c r="V310" i="9"/>
  <c r="W310" i="9"/>
  <c r="I311" i="9"/>
  <c r="J311" i="9"/>
  <c r="K311" i="9"/>
  <c r="M311" i="9"/>
  <c r="N311" i="9"/>
  <c r="O311" i="9"/>
  <c r="U311" i="9"/>
  <c r="V311" i="9"/>
  <c r="W311" i="9"/>
  <c r="I312" i="9"/>
  <c r="J312" i="9"/>
  <c r="K312" i="9"/>
  <c r="M312" i="9"/>
  <c r="N312" i="9"/>
  <c r="O312" i="9"/>
  <c r="U312" i="9"/>
  <c r="V312" i="9"/>
  <c r="W312" i="9"/>
  <c r="I313" i="9"/>
  <c r="J313" i="9"/>
  <c r="K313" i="9"/>
  <c r="M313" i="9"/>
  <c r="N313" i="9"/>
  <c r="O313" i="9"/>
  <c r="U313" i="9"/>
  <c r="V313" i="9"/>
  <c r="W313" i="9"/>
  <c r="I314" i="9"/>
  <c r="J314" i="9"/>
  <c r="K314" i="9"/>
  <c r="M314" i="9"/>
  <c r="N314" i="9"/>
  <c r="O314" i="9"/>
  <c r="U314" i="9"/>
  <c r="V314" i="9"/>
  <c r="W314" i="9"/>
  <c r="I315" i="9"/>
  <c r="J315" i="9"/>
  <c r="K315" i="9"/>
  <c r="M315" i="9"/>
  <c r="N315" i="9"/>
  <c r="O315" i="9"/>
  <c r="U315" i="9"/>
  <c r="V315" i="9"/>
  <c r="W315" i="9"/>
  <c r="I316" i="9"/>
  <c r="J316" i="9"/>
  <c r="K316" i="9"/>
  <c r="M316" i="9"/>
  <c r="N316" i="9"/>
  <c r="O316" i="9"/>
  <c r="U316" i="9"/>
  <c r="V316" i="9"/>
  <c r="W316" i="9"/>
  <c r="I317" i="9"/>
  <c r="J317" i="9"/>
  <c r="K317" i="9"/>
  <c r="M317" i="9"/>
  <c r="N317" i="9"/>
  <c r="O317" i="9"/>
  <c r="U317" i="9"/>
  <c r="V317" i="9"/>
  <c r="W317" i="9"/>
  <c r="W318" i="9"/>
  <c r="I318" i="9"/>
  <c r="J318" i="9"/>
  <c r="K318" i="9"/>
  <c r="M318" i="9"/>
  <c r="N318" i="9"/>
  <c r="O318" i="9"/>
  <c r="U318" i="9"/>
  <c r="U319" i="9"/>
  <c r="V318" i="9"/>
  <c r="I319" i="9"/>
  <c r="J319" i="9"/>
  <c r="K319" i="9"/>
  <c r="M319" i="9"/>
  <c r="N319" i="9"/>
  <c r="N320" i="9"/>
  <c r="O319" i="9"/>
  <c r="V319" i="9"/>
  <c r="W319" i="9"/>
  <c r="AA319" i="9" s="1"/>
  <c r="I320" i="9"/>
  <c r="J320" i="9"/>
  <c r="K320" i="9"/>
  <c r="M320" i="9"/>
  <c r="O320" i="9"/>
  <c r="U320" i="9"/>
  <c r="U321" i="9"/>
  <c r="V320" i="9"/>
  <c r="W320" i="9"/>
  <c r="I321" i="9"/>
  <c r="J321" i="9"/>
  <c r="K321" i="9"/>
  <c r="M321" i="9"/>
  <c r="N321" i="9"/>
  <c r="O321" i="9"/>
  <c r="O322" i="9"/>
  <c r="V321" i="9"/>
  <c r="V322" i="9"/>
  <c r="W321" i="9"/>
  <c r="I322" i="9"/>
  <c r="J322" i="9"/>
  <c r="K322" i="9"/>
  <c r="M322" i="9"/>
  <c r="N322" i="9"/>
  <c r="U322" i="9"/>
  <c r="W322" i="9"/>
  <c r="I323" i="9"/>
  <c r="J323" i="9"/>
  <c r="K323" i="9"/>
  <c r="M323" i="9"/>
  <c r="N323" i="9"/>
  <c r="O323" i="9"/>
  <c r="U323" i="9"/>
  <c r="Y324" i="9" s="1"/>
  <c r="V323" i="9"/>
  <c r="W323" i="9"/>
  <c r="I324" i="9"/>
  <c r="J324" i="9"/>
  <c r="K324" i="9"/>
  <c r="M324" i="9"/>
  <c r="N324" i="9"/>
  <c r="O324" i="9"/>
  <c r="U324" i="9"/>
  <c r="V324" i="9"/>
  <c r="W324" i="9"/>
  <c r="I325" i="9"/>
  <c r="J325" i="9"/>
  <c r="K325" i="9"/>
  <c r="M325" i="9"/>
  <c r="N325" i="9"/>
  <c r="O325" i="9"/>
  <c r="U325" i="9"/>
  <c r="U326" i="9"/>
  <c r="V325" i="9"/>
  <c r="Z325" i="9" s="1"/>
  <c r="W325" i="9"/>
  <c r="I326" i="9"/>
  <c r="J326" i="9"/>
  <c r="K326" i="9"/>
  <c r="M326" i="9"/>
  <c r="N326" i="9"/>
  <c r="O326" i="9"/>
  <c r="V326" i="9"/>
  <c r="W326" i="9"/>
  <c r="I327" i="9"/>
  <c r="J327" i="9"/>
  <c r="K327" i="9"/>
  <c r="M327" i="9"/>
  <c r="N327" i="9"/>
  <c r="O327" i="9"/>
  <c r="U327" i="9"/>
  <c r="V327" i="9"/>
  <c r="W327" i="9"/>
  <c r="I328" i="9"/>
  <c r="J328" i="9"/>
  <c r="K328" i="9"/>
  <c r="M328" i="9"/>
  <c r="N328" i="9"/>
  <c r="O328" i="9"/>
  <c r="U328" i="9"/>
  <c r="V328" i="9"/>
  <c r="W328" i="9"/>
  <c r="I329" i="9"/>
  <c r="J329" i="9"/>
  <c r="K329" i="9"/>
  <c r="M329" i="9"/>
  <c r="N329" i="9"/>
  <c r="O329" i="9"/>
  <c r="U329" i="9"/>
  <c r="V329" i="9"/>
  <c r="W329" i="9"/>
  <c r="I330" i="9"/>
  <c r="J330" i="9"/>
  <c r="K330" i="9"/>
  <c r="M330" i="9"/>
  <c r="N330" i="9"/>
  <c r="O330" i="9"/>
  <c r="U330" i="9"/>
  <c r="V330" i="9"/>
  <c r="W330" i="9"/>
  <c r="I331" i="9"/>
  <c r="J331" i="9"/>
  <c r="K331" i="9"/>
  <c r="M331" i="9"/>
  <c r="N331" i="9"/>
  <c r="O331" i="9"/>
  <c r="U331" i="9"/>
  <c r="V331" i="9"/>
  <c r="W331" i="9"/>
  <c r="I332" i="9"/>
  <c r="J332" i="9"/>
  <c r="K332" i="9"/>
  <c r="M332" i="9"/>
  <c r="N332" i="9"/>
  <c r="O332" i="9"/>
  <c r="U332" i="9"/>
  <c r="V332" i="9"/>
  <c r="V333" i="9"/>
  <c r="W332" i="9"/>
  <c r="AA333" i="9" s="1"/>
  <c r="I333" i="9"/>
  <c r="J333" i="9"/>
  <c r="K333" i="9"/>
  <c r="M333" i="9"/>
  <c r="N333" i="9"/>
  <c r="O333" i="9"/>
  <c r="U333" i="9"/>
  <c r="W333" i="9"/>
  <c r="I334" i="9"/>
  <c r="J334" i="9"/>
  <c r="K334" i="9"/>
  <c r="M334" i="9"/>
  <c r="N334" i="9"/>
  <c r="O334" i="9"/>
  <c r="U334" i="9"/>
  <c r="V334" i="9"/>
  <c r="W334" i="9"/>
  <c r="I335" i="9"/>
  <c r="J335" i="9"/>
  <c r="K335" i="9"/>
  <c r="M335" i="9"/>
  <c r="N335" i="9"/>
  <c r="O335" i="9"/>
  <c r="U335" i="9"/>
  <c r="Y335" i="9" s="1"/>
  <c r="V335" i="9"/>
  <c r="W335" i="9"/>
  <c r="I336" i="9"/>
  <c r="J336" i="9"/>
  <c r="K336" i="9"/>
  <c r="M336" i="9"/>
  <c r="Q336" i="9" s="1"/>
  <c r="N336" i="9"/>
  <c r="O336" i="9"/>
  <c r="U336" i="9"/>
  <c r="V336" i="9"/>
  <c r="W336" i="9"/>
  <c r="I337" i="9"/>
  <c r="J337" i="9"/>
  <c r="K337" i="9"/>
  <c r="M337" i="9"/>
  <c r="N337" i="9"/>
  <c r="O337" i="9"/>
  <c r="U337" i="9"/>
  <c r="V337" i="9"/>
  <c r="W337" i="9"/>
  <c r="I338" i="9"/>
  <c r="J338" i="9"/>
  <c r="K338" i="9"/>
  <c r="M338" i="9"/>
  <c r="Q338" i="9" s="1"/>
  <c r="N338" i="9"/>
  <c r="O338" i="9"/>
  <c r="U338" i="9"/>
  <c r="V338" i="9"/>
  <c r="W338" i="9"/>
  <c r="I339" i="9"/>
  <c r="J339" i="9"/>
  <c r="K339" i="9"/>
  <c r="M339" i="9"/>
  <c r="N339" i="9"/>
  <c r="N340" i="9"/>
  <c r="O339" i="9"/>
  <c r="S339" i="9" s="1"/>
  <c r="U339" i="9"/>
  <c r="V339" i="9"/>
  <c r="W339" i="9"/>
  <c r="I340" i="9"/>
  <c r="J340" i="9"/>
  <c r="K340" i="9"/>
  <c r="M340" i="9"/>
  <c r="O340" i="9"/>
  <c r="U340" i="9"/>
  <c r="V340" i="9"/>
  <c r="W340" i="9"/>
  <c r="I341" i="9"/>
  <c r="J341" i="9"/>
  <c r="K341" i="9"/>
  <c r="M341" i="9"/>
  <c r="N341" i="9"/>
  <c r="O341" i="9"/>
  <c r="U341" i="9"/>
  <c r="V341" i="9"/>
  <c r="W341" i="9"/>
  <c r="I342" i="9"/>
  <c r="J342" i="9"/>
  <c r="K342" i="9"/>
  <c r="M342" i="9"/>
  <c r="Q342" i="9" s="1"/>
  <c r="N342" i="9"/>
  <c r="O342" i="9"/>
  <c r="U342" i="9"/>
  <c r="V342" i="9"/>
  <c r="V343" i="9"/>
  <c r="W342" i="9"/>
  <c r="AA343" i="9" s="1"/>
  <c r="I343" i="9"/>
  <c r="J343" i="9"/>
  <c r="K343" i="9"/>
  <c r="M343" i="9"/>
  <c r="N343" i="9"/>
  <c r="O343" i="9"/>
  <c r="O344" i="9"/>
  <c r="U343" i="9"/>
  <c r="W343" i="9"/>
  <c r="I344" i="9"/>
  <c r="J344" i="9"/>
  <c r="K344" i="9"/>
  <c r="M344" i="9"/>
  <c r="N344" i="9"/>
  <c r="U344" i="9"/>
  <c r="V344" i="9"/>
  <c r="W344" i="9"/>
  <c r="I345" i="9"/>
  <c r="J345" i="9"/>
  <c r="K345" i="9"/>
  <c r="M345" i="9"/>
  <c r="N345" i="9"/>
  <c r="O345" i="9"/>
  <c r="U345" i="9"/>
  <c r="Y346" i="9" s="1"/>
  <c r="V345" i="9"/>
  <c r="W345" i="9"/>
  <c r="I346" i="9"/>
  <c r="J346" i="9"/>
  <c r="K346" i="9"/>
  <c r="M346" i="9"/>
  <c r="Q346" i="9" s="1"/>
  <c r="N346" i="9"/>
  <c r="O346" i="9"/>
  <c r="U346" i="9"/>
  <c r="U347" i="9"/>
  <c r="V346" i="9"/>
  <c r="W346" i="9"/>
  <c r="I347" i="9"/>
  <c r="J347" i="9"/>
  <c r="K347" i="9"/>
  <c r="M347" i="9"/>
  <c r="N347" i="9"/>
  <c r="O347" i="9"/>
  <c r="V347" i="9"/>
  <c r="W347" i="9"/>
  <c r="I348" i="9"/>
  <c r="J348" i="9"/>
  <c r="K348" i="9"/>
  <c r="M348" i="9"/>
  <c r="N348" i="9"/>
  <c r="O348" i="9"/>
  <c r="U348" i="9"/>
  <c r="U349" i="9"/>
  <c r="V348" i="9"/>
  <c r="W348" i="9"/>
  <c r="I349" i="9"/>
  <c r="J349" i="9"/>
  <c r="K349" i="9"/>
  <c r="M349" i="9"/>
  <c r="N349" i="9"/>
  <c r="O349" i="9"/>
  <c r="S350" i="9" s="1"/>
  <c r="V349" i="9"/>
  <c r="W349" i="9"/>
  <c r="I350" i="9"/>
  <c r="J350" i="9"/>
  <c r="K350" i="9"/>
  <c r="M350" i="9"/>
  <c r="N350" i="9"/>
  <c r="N351" i="9"/>
  <c r="O350" i="9"/>
  <c r="U350" i="9"/>
  <c r="V350" i="9"/>
  <c r="W350" i="9"/>
  <c r="I351" i="9"/>
  <c r="J351" i="9"/>
  <c r="K351" i="9"/>
  <c r="M351" i="9"/>
  <c r="O351" i="9"/>
  <c r="O352" i="9"/>
  <c r="U351" i="9"/>
  <c r="V351" i="9"/>
  <c r="W351" i="9"/>
  <c r="I352" i="9"/>
  <c r="J352" i="9"/>
  <c r="K352" i="9"/>
  <c r="N352" i="9"/>
  <c r="U352" i="9"/>
  <c r="V352" i="9"/>
  <c r="U277" i="9"/>
  <c r="V277" i="9"/>
  <c r="W277" i="9"/>
  <c r="AA278" i="9" s="1"/>
  <c r="U278" i="9"/>
  <c r="V278" i="9"/>
  <c r="W278" i="9"/>
  <c r="U279" i="9"/>
  <c r="V279" i="9"/>
  <c r="W279" i="9"/>
  <c r="AA280" i="9" s="1"/>
  <c r="U280" i="9"/>
  <c r="V280" i="9"/>
  <c r="W280" i="9"/>
  <c r="U281" i="9"/>
  <c r="V281" i="9"/>
  <c r="W281" i="9"/>
  <c r="AA282" i="9" s="1"/>
  <c r="U282" i="9"/>
  <c r="V282" i="9"/>
  <c r="W282" i="9"/>
  <c r="U283" i="9"/>
  <c r="V283" i="9"/>
  <c r="W283" i="9"/>
  <c r="AA284" i="9" s="1"/>
  <c r="U284" i="9"/>
  <c r="V284" i="9"/>
  <c r="W284" i="9"/>
  <c r="U285" i="9"/>
  <c r="V285" i="9"/>
  <c r="W285" i="9"/>
  <c r="AA286" i="9" s="1"/>
  <c r="U286" i="9"/>
  <c r="V286" i="9"/>
  <c r="W286" i="9"/>
  <c r="U287" i="9"/>
  <c r="V287" i="9"/>
  <c r="W287" i="9"/>
  <c r="AA287" i="9" s="1"/>
  <c r="U288" i="9"/>
  <c r="V288" i="9"/>
  <c r="W288" i="9"/>
  <c r="U289" i="9"/>
  <c r="V289" i="9"/>
  <c r="W289" i="9"/>
  <c r="U290" i="9"/>
  <c r="V290" i="9"/>
  <c r="W290" i="9"/>
  <c r="U291" i="9"/>
  <c r="V291" i="9"/>
  <c r="W291" i="9"/>
  <c r="AA291" i="9" s="1"/>
  <c r="U292" i="9"/>
  <c r="V292" i="9"/>
  <c r="W292" i="9"/>
  <c r="U293" i="9"/>
  <c r="V293" i="9"/>
  <c r="W293" i="9"/>
  <c r="AA293" i="9" s="1"/>
  <c r="U294" i="9"/>
  <c r="V294" i="9"/>
  <c r="W294" i="9"/>
  <c r="U295" i="9"/>
  <c r="V295" i="9"/>
  <c r="W295" i="9"/>
  <c r="U296" i="9"/>
  <c r="V296" i="9"/>
  <c r="W296" i="9"/>
  <c r="N56" i="12"/>
  <c r="M56" i="12"/>
  <c r="L56" i="12"/>
  <c r="K56" i="12"/>
  <c r="J56" i="12"/>
  <c r="I56" i="12"/>
  <c r="H56" i="12"/>
  <c r="G56" i="12"/>
  <c r="F56" i="12"/>
  <c r="E56" i="12"/>
  <c r="D56" i="12"/>
  <c r="C56" i="12"/>
  <c r="N36" i="12"/>
  <c r="M36" i="12"/>
  <c r="L36" i="12"/>
  <c r="K36" i="12"/>
  <c r="J36" i="12"/>
  <c r="I36" i="12"/>
  <c r="H36" i="12"/>
  <c r="G36" i="12"/>
  <c r="F36" i="12"/>
  <c r="E36" i="12"/>
  <c r="D36" i="12"/>
  <c r="C36" i="12"/>
  <c r="C17" i="12"/>
  <c r="N55" i="12"/>
  <c r="C57" i="12"/>
  <c r="M55" i="12"/>
  <c r="L55" i="12"/>
  <c r="K55" i="12"/>
  <c r="J55" i="12"/>
  <c r="I55" i="12"/>
  <c r="H55" i="12"/>
  <c r="G55" i="12"/>
  <c r="F55" i="12"/>
  <c r="E55" i="12"/>
  <c r="D55" i="12"/>
  <c r="C55" i="12"/>
  <c r="C37" i="12"/>
  <c r="N35" i="12"/>
  <c r="M35" i="12"/>
  <c r="L35" i="12"/>
  <c r="K35" i="12"/>
  <c r="J35" i="12"/>
  <c r="I35" i="12"/>
  <c r="H35" i="12"/>
  <c r="G35" i="12"/>
  <c r="F35" i="12"/>
  <c r="E35" i="12"/>
  <c r="D35" i="12"/>
  <c r="C35" i="12"/>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Q296" i="9" s="1"/>
  <c r="O294" i="9"/>
  <c r="N294" i="9"/>
  <c r="N293" i="9"/>
  <c r="M294" i="9"/>
  <c r="O293" i="9"/>
  <c r="M293" i="9"/>
  <c r="O292" i="9"/>
  <c r="N292" i="9"/>
  <c r="M292" i="9"/>
  <c r="N54" i="12"/>
  <c r="M54" i="12"/>
  <c r="L54" i="12"/>
  <c r="K54" i="12"/>
  <c r="J54" i="12"/>
  <c r="I54" i="12"/>
  <c r="H54" i="12"/>
  <c r="G54" i="12"/>
  <c r="F54" i="12"/>
  <c r="E54" i="12"/>
  <c r="D54" i="12"/>
  <c r="C54" i="12"/>
  <c r="N34" i="12"/>
  <c r="M34" i="12"/>
  <c r="L34" i="12"/>
  <c r="K34" i="12"/>
  <c r="J34" i="12"/>
  <c r="I34" i="12"/>
  <c r="H34" i="12"/>
  <c r="G34" i="12"/>
  <c r="F34" i="12"/>
  <c r="E34" i="12"/>
  <c r="D34" i="12"/>
  <c r="C34" i="12"/>
  <c r="W256" i="9"/>
  <c r="V256" i="9"/>
  <c r="U256" i="9"/>
  <c r="O256" i="9"/>
  <c r="N256" i="9"/>
  <c r="M256" i="9"/>
  <c r="O289" i="9"/>
  <c r="N289" i="9"/>
  <c r="N290" i="9"/>
  <c r="N288" i="9"/>
  <c r="M288" i="9"/>
  <c r="Q289" i="9" s="1"/>
  <c r="M287" i="9"/>
  <c r="M280" i="9"/>
  <c r="N280" i="9"/>
  <c r="O280" i="9"/>
  <c r="S281" i="9" s="1"/>
  <c r="M281" i="9"/>
  <c r="N281" i="9"/>
  <c r="O281" i="9"/>
  <c r="M282" i="9"/>
  <c r="N282" i="9"/>
  <c r="O282" i="9"/>
  <c r="S283" i="9" s="1"/>
  <c r="M283" i="9"/>
  <c r="N283" i="9"/>
  <c r="O283" i="9"/>
  <c r="M284" i="9"/>
  <c r="N284" i="9"/>
  <c r="O284" i="9"/>
  <c r="M285" i="9"/>
  <c r="N285" i="9"/>
  <c r="O285" i="9"/>
  <c r="M286" i="9"/>
  <c r="N286" i="9"/>
  <c r="O286" i="9"/>
  <c r="N287" i="9"/>
  <c r="O287" i="9"/>
  <c r="U268" i="9"/>
  <c r="U257" i="9"/>
  <c r="N275" i="9"/>
  <c r="R275" i="9" s="1"/>
  <c r="N274" i="9"/>
  <c r="N272" i="9"/>
  <c r="N271" i="9"/>
  <c r="N270" i="9"/>
  <c r="N269" i="9"/>
  <c r="N268" i="9"/>
  <c r="O268" i="9"/>
  <c r="O269" i="9"/>
  <c r="O270" i="9"/>
  <c r="O271" i="9"/>
  <c r="O272" i="9"/>
  <c r="N273" i="9"/>
  <c r="O273" i="9"/>
  <c r="M275" i="9"/>
  <c r="M274" i="9"/>
  <c r="M273" i="9"/>
  <c r="M272" i="9"/>
  <c r="M271" i="9"/>
  <c r="M270" i="9"/>
  <c r="M269" i="9"/>
  <c r="M268" i="9"/>
  <c r="M276" i="9"/>
  <c r="M267" i="9"/>
  <c r="M266" i="9"/>
  <c r="M265" i="9"/>
  <c r="M264" i="9"/>
  <c r="M263" i="9"/>
  <c r="M262" i="9"/>
  <c r="M261" i="9"/>
  <c r="M260" i="9"/>
  <c r="M259" i="9"/>
  <c r="M258" i="9"/>
  <c r="M257" i="9"/>
  <c r="M255" i="9"/>
  <c r="M254" i="9"/>
  <c r="M291" i="9"/>
  <c r="Q291" i="9" s="1"/>
  <c r="N43" i="12"/>
  <c r="N23" i="12"/>
  <c r="N3" i="12"/>
  <c r="K5" i="4"/>
  <c r="K17" i="4"/>
  <c r="L11" i="2"/>
  <c r="N53" i="12"/>
  <c r="M53" i="12"/>
  <c r="L53" i="12"/>
  <c r="K53" i="12"/>
  <c r="J53" i="12"/>
  <c r="I53" i="12"/>
  <c r="H53" i="12"/>
  <c r="G53" i="12"/>
  <c r="F53" i="12"/>
  <c r="E53" i="12"/>
  <c r="D53" i="12"/>
  <c r="C53" i="12"/>
  <c r="N33" i="12"/>
  <c r="M33" i="12"/>
  <c r="L33" i="12"/>
  <c r="K33" i="12"/>
  <c r="J33" i="12"/>
  <c r="I33" i="12"/>
  <c r="H33" i="12"/>
  <c r="G33" i="12"/>
  <c r="F33" i="12"/>
  <c r="E33" i="12"/>
  <c r="D33" i="12"/>
  <c r="C33" i="12"/>
  <c r="N52" i="12"/>
  <c r="M52" i="12"/>
  <c r="L52" i="12"/>
  <c r="J52" i="12"/>
  <c r="I52" i="12"/>
  <c r="H52" i="12"/>
  <c r="G52" i="12"/>
  <c r="F52" i="12"/>
  <c r="E52" i="12"/>
  <c r="D52" i="12"/>
  <c r="C52" i="12"/>
  <c r="M32" i="12"/>
  <c r="L32" i="12"/>
  <c r="K32" i="12"/>
  <c r="J32" i="12"/>
  <c r="I32" i="12"/>
  <c r="H32" i="12"/>
  <c r="G32" i="12"/>
  <c r="F32" i="12"/>
  <c r="E32" i="12"/>
  <c r="N32" i="12"/>
  <c r="D32" i="12"/>
  <c r="C32" i="12"/>
  <c r="N51" i="12"/>
  <c r="M51" i="12"/>
  <c r="L51" i="12"/>
  <c r="K51" i="12"/>
  <c r="J51" i="12"/>
  <c r="I51" i="12"/>
  <c r="H51" i="12"/>
  <c r="G51" i="12"/>
  <c r="F51" i="12"/>
  <c r="E51" i="12"/>
  <c r="D51" i="12"/>
  <c r="C51" i="12"/>
  <c r="N31" i="12"/>
  <c r="M31" i="12"/>
  <c r="L31" i="12"/>
  <c r="K31" i="12"/>
  <c r="J31" i="12"/>
  <c r="I31" i="12"/>
  <c r="H31" i="12"/>
  <c r="G31" i="12"/>
  <c r="F31" i="12"/>
  <c r="E31" i="12"/>
  <c r="D31" i="12"/>
  <c r="C31" i="12"/>
  <c r="O291" i="9"/>
  <c r="N291" i="9"/>
  <c r="O290" i="9"/>
  <c r="M290" i="9"/>
  <c r="M289" i="9"/>
  <c r="O288" i="9"/>
  <c r="S288" i="9" s="1"/>
  <c r="M279" i="9"/>
  <c r="K268" i="9"/>
  <c r="J268" i="9"/>
  <c r="I268" i="9"/>
  <c r="N50" i="12"/>
  <c r="M50" i="12"/>
  <c r="L50" i="12"/>
  <c r="K50" i="12"/>
  <c r="J50" i="12"/>
  <c r="I50" i="12"/>
  <c r="H50" i="12"/>
  <c r="G50" i="12"/>
  <c r="F50" i="12"/>
  <c r="E50" i="12"/>
  <c r="D50" i="12"/>
  <c r="C50" i="12"/>
  <c r="N30" i="12"/>
  <c r="M30" i="12"/>
  <c r="L30" i="12"/>
  <c r="K30" i="12"/>
  <c r="J30" i="12"/>
  <c r="I30" i="12"/>
  <c r="H30" i="12"/>
  <c r="G30" i="12"/>
  <c r="F30" i="12"/>
  <c r="E30" i="12"/>
  <c r="D30" i="12"/>
  <c r="C30" i="12"/>
  <c r="U269" i="9"/>
  <c r="U270" i="9"/>
  <c r="U271" i="9"/>
  <c r="U272" i="9"/>
  <c r="U273" i="9"/>
  <c r="Y273" i="9" s="1"/>
  <c r="U274" i="9"/>
  <c r="U275" i="9"/>
  <c r="U276" i="9"/>
  <c r="Y276" i="9" s="1"/>
  <c r="V268" i="9"/>
  <c r="W268" i="9"/>
  <c r="V269" i="9"/>
  <c r="W269" i="9"/>
  <c r="V270" i="9"/>
  <c r="W270" i="9"/>
  <c r="V271" i="9"/>
  <c r="W271" i="9"/>
  <c r="V272" i="9"/>
  <c r="W272" i="9"/>
  <c r="V273" i="9"/>
  <c r="W273" i="9"/>
  <c r="V274" i="9"/>
  <c r="W274" i="9"/>
  <c r="V275" i="9"/>
  <c r="W275" i="9"/>
  <c r="V276" i="9"/>
  <c r="W276" i="9"/>
  <c r="O279" i="9"/>
  <c r="N279" i="9"/>
  <c r="O278" i="9"/>
  <c r="N278" i="9"/>
  <c r="M278" i="9"/>
  <c r="O277" i="9"/>
  <c r="N277" i="9"/>
  <c r="M277" i="9"/>
  <c r="O276" i="9"/>
  <c r="N276" i="9"/>
  <c r="O275" i="9"/>
  <c r="O274"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V267" i="9"/>
  <c r="W267" i="9"/>
  <c r="AA268" i="9" s="1"/>
  <c r="I267" i="9"/>
  <c r="J267" i="9"/>
  <c r="K267" i="9"/>
  <c r="N257" i="9"/>
  <c r="O257" i="9"/>
  <c r="N258" i="9"/>
  <c r="O258" i="9"/>
  <c r="N259" i="9"/>
  <c r="O259" i="9"/>
  <c r="N260" i="9"/>
  <c r="O260" i="9"/>
  <c r="N261" i="9"/>
  <c r="O261" i="9"/>
  <c r="N262" i="9"/>
  <c r="O262" i="9"/>
  <c r="N263" i="9"/>
  <c r="O263" i="9"/>
  <c r="N264" i="9"/>
  <c r="O264" i="9"/>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49" i="12"/>
  <c r="M49" i="12"/>
  <c r="L49" i="12"/>
  <c r="K49" i="12"/>
  <c r="J49" i="12"/>
  <c r="I49" i="12"/>
  <c r="H49" i="12"/>
  <c r="G49" i="12"/>
  <c r="F49" i="12"/>
  <c r="E49" i="12"/>
  <c r="D49" i="12"/>
  <c r="C49" i="12"/>
  <c r="N29" i="12"/>
  <c r="M29" i="12"/>
  <c r="L29" i="12"/>
  <c r="K29" i="12"/>
  <c r="J29" i="12"/>
  <c r="I29" i="12"/>
  <c r="H29" i="12"/>
  <c r="G29" i="12"/>
  <c r="F29" i="12"/>
  <c r="E29" i="12"/>
  <c r="D29" i="12"/>
  <c r="C29" i="12"/>
  <c r="N48" i="12"/>
  <c r="N28" i="12"/>
  <c r="N255" i="9"/>
  <c r="R255" i="9" s="1"/>
  <c r="O255" i="9"/>
  <c r="U255" i="9"/>
  <c r="V255" i="9"/>
  <c r="W255" i="9"/>
  <c r="C26" i="12"/>
  <c r="D26" i="12"/>
  <c r="E26" i="12"/>
  <c r="F26" i="12"/>
  <c r="G26" i="12"/>
  <c r="H26" i="12"/>
  <c r="I26" i="12"/>
  <c r="J26" i="12"/>
  <c r="K26" i="12"/>
  <c r="L26" i="12"/>
  <c r="M26" i="12"/>
  <c r="N26" i="12"/>
  <c r="C27" i="12"/>
  <c r="D27" i="12"/>
  <c r="E27" i="12"/>
  <c r="F27" i="12"/>
  <c r="G27" i="12"/>
  <c r="H27" i="12"/>
  <c r="I27" i="12"/>
  <c r="J27" i="12"/>
  <c r="K27" i="12"/>
  <c r="L27" i="12"/>
  <c r="M27" i="12"/>
  <c r="N27" i="12"/>
  <c r="C28" i="12"/>
  <c r="D28" i="12"/>
  <c r="E28" i="12"/>
  <c r="F28" i="12"/>
  <c r="G28" i="12"/>
  <c r="H28" i="12"/>
  <c r="I28" i="12"/>
  <c r="J28" i="12"/>
  <c r="K28" i="12"/>
  <c r="L28" i="12"/>
  <c r="M28" i="12"/>
  <c r="M48" i="12"/>
  <c r="N254" i="9"/>
  <c r="O254" i="9"/>
  <c r="S254" i="9" s="1"/>
  <c r="U254" i="9"/>
  <c r="V254" i="9"/>
  <c r="W254" i="9"/>
  <c r="L48" i="12"/>
  <c r="M253" i="9"/>
  <c r="N253" i="9"/>
  <c r="O253" i="9"/>
  <c r="S253" i="9" s="1"/>
  <c r="U253" i="9"/>
  <c r="V253" i="9"/>
  <c r="W253" i="9"/>
  <c r="K48" i="12"/>
  <c r="M252" i="9"/>
  <c r="N252" i="9"/>
  <c r="O252" i="9"/>
  <c r="U252" i="9"/>
  <c r="V252" i="9"/>
  <c r="W252" i="9"/>
  <c r="J48" i="12"/>
  <c r="M251" i="9"/>
  <c r="Q252" i="9" s="1"/>
  <c r="N251" i="9"/>
  <c r="O251" i="9"/>
  <c r="U251" i="9"/>
  <c r="V251" i="9"/>
  <c r="W251" i="9"/>
  <c r="I48" i="12"/>
  <c r="M250" i="9"/>
  <c r="N250" i="9"/>
  <c r="O250" i="9"/>
  <c r="U250" i="9"/>
  <c r="V250" i="9"/>
  <c r="W250" i="9"/>
  <c r="U249" i="9"/>
  <c r="V249" i="9"/>
  <c r="W249" i="9"/>
  <c r="AA249" i="9" s="1"/>
  <c r="M249" i="9"/>
  <c r="N249" i="9"/>
  <c r="O249" i="9"/>
  <c r="H48" i="12"/>
  <c r="G48" i="12"/>
  <c r="M248" i="9"/>
  <c r="N248" i="9"/>
  <c r="O248" i="9"/>
  <c r="U248" i="9"/>
  <c r="V248" i="9"/>
  <c r="W248" i="9"/>
  <c r="W247" i="9"/>
  <c r="V247" i="9"/>
  <c r="U247" i="9"/>
  <c r="W246" i="9"/>
  <c r="V246" i="9"/>
  <c r="U246" i="9"/>
  <c r="W245" i="9"/>
  <c r="V245" i="9"/>
  <c r="U245" i="9"/>
  <c r="W244" i="9"/>
  <c r="V244" i="9"/>
  <c r="U244" i="9"/>
  <c r="O247" i="9"/>
  <c r="N247" i="9"/>
  <c r="M247" i="9"/>
  <c r="O246" i="9"/>
  <c r="S246" i="9" s="1"/>
  <c r="N246" i="9"/>
  <c r="M246" i="9"/>
  <c r="O245" i="9"/>
  <c r="N245" i="9"/>
  <c r="M245" i="9"/>
  <c r="O244" i="9"/>
  <c r="N244" i="9"/>
  <c r="M244" i="9"/>
  <c r="F48" i="12"/>
  <c r="E48" i="12"/>
  <c r="D48" i="12"/>
  <c r="C48" i="12"/>
  <c r="N47" i="12"/>
  <c r="U242" i="9"/>
  <c r="V242" i="9"/>
  <c r="W242" i="9"/>
  <c r="U243" i="9"/>
  <c r="V243" i="9"/>
  <c r="W243" i="9"/>
  <c r="M242" i="9"/>
  <c r="N242" i="9"/>
  <c r="O242" i="9"/>
  <c r="M243" i="9"/>
  <c r="N243" i="9"/>
  <c r="R244" i="9" s="1"/>
  <c r="O243" i="9"/>
  <c r="N241" i="9"/>
  <c r="O241" i="9"/>
  <c r="M47" i="12"/>
  <c r="L47" i="12"/>
  <c r="U241" i="9"/>
  <c r="V241" i="9"/>
  <c r="W241" i="9"/>
  <c r="M241" i="9"/>
  <c r="U240" i="9"/>
  <c r="V240" i="9"/>
  <c r="W240" i="9"/>
  <c r="M240" i="9"/>
  <c r="N240" i="9"/>
  <c r="O240" i="9"/>
  <c r="K47" i="12"/>
  <c r="U239" i="9"/>
  <c r="V239" i="9"/>
  <c r="W239" i="9"/>
  <c r="M239" i="9"/>
  <c r="N239" i="9"/>
  <c r="O239" i="9"/>
  <c r="J47" i="12"/>
  <c r="U238" i="9"/>
  <c r="V238" i="9"/>
  <c r="W238" i="9"/>
  <c r="M238" i="9"/>
  <c r="N238" i="9"/>
  <c r="O238" i="9"/>
  <c r="I47" i="12"/>
  <c r="U237" i="9"/>
  <c r="V237" i="9"/>
  <c r="W237" i="9"/>
  <c r="AA237" i="9" s="1"/>
  <c r="N237" i="9"/>
  <c r="O237" i="9"/>
  <c r="M237" i="9"/>
  <c r="H47" i="12"/>
  <c r="G47" i="12"/>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O7" i="9"/>
  <c r="I8" i="9"/>
  <c r="J8" i="9"/>
  <c r="K8" i="9"/>
  <c r="M8" i="9"/>
  <c r="N8" i="9"/>
  <c r="O8" i="9"/>
  <c r="I9" i="9"/>
  <c r="J9" i="9"/>
  <c r="K9" i="9"/>
  <c r="M9" i="9"/>
  <c r="Q9" i="9"/>
  <c r="N9" i="9"/>
  <c r="R9" i="9" s="1"/>
  <c r="O9" i="9"/>
  <c r="I10" i="9"/>
  <c r="J10" i="9"/>
  <c r="K10" i="9"/>
  <c r="M10" i="9"/>
  <c r="Q10" i="9"/>
  <c r="N10" i="9"/>
  <c r="O10" i="9"/>
  <c r="U10" i="9"/>
  <c r="V10" i="9"/>
  <c r="W10" i="9"/>
  <c r="AA11" i="9" s="1"/>
  <c r="I11" i="9"/>
  <c r="J11" i="9"/>
  <c r="K11" i="9"/>
  <c r="M11" i="9"/>
  <c r="N11" i="9"/>
  <c r="O11" i="9"/>
  <c r="U11" i="9"/>
  <c r="V11" i="9"/>
  <c r="W11" i="9"/>
  <c r="I12" i="9"/>
  <c r="J12" i="9"/>
  <c r="K12" i="9"/>
  <c r="M12" i="9"/>
  <c r="N12" i="9"/>
  <c r="R12" i="9"/>
  <c r="O12" i="9"/>
  <c r="U12" i="9"/>
  <c r="V12" i="9"/>
  <c r="Z12" i="9" s="1"/>
  <c r="W12" i="9"/>
  <c r="I13" i="9"/>
  <c r="J13" i="9"/>
  <c r="K13" i="9"/>
  <c r="M13" i="9"/>
  <c r="N13" i="9"/>
  <c r="R13" i="9" s="1"/>
  <c r="O13" i="9"/>
  <c r="U13" i="9"/>
  <c r="V13" i="9"/>
  <c r="W13" i="9"/>
  <c r="I14" i="9"/>
  <c r="J14" i="9"/>
  <c r="K14" i="9"/>
  <c r="M14" i="9"/>
  <c r="Q14" i="9" s="1"/>
  <c r="N14" i="9"/>
  <c r="O14" i="9"/>
  <c r="S15" i="9" s="1"/>
  <c r="U14" i="9"/>
  <c r="Y14" i="9" s="1"/>
  <c r="V14" i="9"/>
  <c r="W14" i="9"/>
  <c r="I15" i="9"/>
  <c r="J15" i="9"/>
  <c r="K15" i="9"/>
  <c r="M15" i="9"/>
  <c r="N15" i="9"/>
  <c r="O15" i="9"/>
  <c r="U15" i="9"/>
  <c r="V15" i="9"/>
  <c r="W15" i="9"/>
  <c r="I16" i="9"/>
  <c r="J16" i="9"/>
  <c r="K16" i="9"/>
  <c r="M16" i="9"/>
  <c r="N16" i="9"/>
  <c r="O16" i="9"/>
  <c r="S17" i="9" s="1"/>
  <c r="U16" i="9"/>
  <c r="V16" i="9"/>
  <c r="W16" i="9"/>
  <c r="I17" i="9"/>
  <c r="J17" i="9"/>
  <c r="K17" i="9"/>
  <c r="M17" i="9"/>
  <c r="N17" i="9"/>
  <c r="O17" i="9"/>
  <c r="U17" i="9"/>
  <c r="Y17" i="9" s="1"/>
  <c r="V17" i="9"/>
  <c r="Z17" i="9" s="1"/>
  <c r="W17" i="9"/>
  <c r="AA17" i="9" s="1"/>
  <c r="I18" i="9"/>
  <c r="J18" i="9"/>
  <c r="K18" i="9"/>
  <c r="M18" i="9"/>
  <c r="Q18" i="9" s="1"/>
  <c r="N18" i="9"/>
  <c r="R18" i="9" s="1"/>
  <c r="O18" i="9"/>
  <c r="S18" i="9"/>
  <c r="U18" i="9"/>
  <c r="Y18" i="9" s="1"/>
  <c r="V18" i="9"/>
  <c r="W18" i="9"/>
  <c r="I19" i="9"/>
  <c r="J19" i="9"/>
  <c r="K19" i="9"/>
  <c r="M19" i="9"/>
  <c r="N19" i="9"/>
  <c r="R20" i="9" s="1"/>
  <c r="O19" i="9"/>
  <c r="U19" i="9"/>
  <c r="V19" i="9"/>
  <c r="W19" i="9"/>
  <c r="I20" i="9"/>
  <c r="J20" i="9"/>
  <c r="K20" i="9"/>
  <c r="M20" i="9"/>
  <c r="N20" i="9"/>
  <c r="O20" i="9"/>
  <c r="U20" i="9"/>
  <c r="Y21" i="9" s="1"/>
  <c r="V20" i="9"/>
  <c r="W20" i="9"/>
  <c r="I21" i="9"/>
  <c r="J21" i="9"/>
  <c r="K21" i="9"/>
  <c r="M21" i="9"/>
  <c r="Q22" i="9" s="1"/>
  <c r="N21" i="9"/>
  <c r="O21" i="9"/>
  <c r="U21" i="9"/>
  <c r="V21" i="9"/>
  <c r="Z22" i="9" s="1"/>
  <c r="W21" i="9"/>
  <c r="I22" i="9"/>
  <c r="J22" i="9"/>
  <c r="K22" i="9"/>
  <c r="M22" i="9"/>
  <c r="N22" i="9"/>
  <c r="O22" i="9"/>
  <c r="U22" i="9"/>
  <c r="Y22" i="9" s="1"/>
  <c r="V22" i="9"/>
  <c r="W22" i="9"/>
  <c r="I23" i="9"/>
  <c r="J23" i="9"/>
  <c r="K23" i="9"/>
  <c r="M23" i="9"/>
  <c r="Q23" i="9" s="1"/>
  <c r="N23" i="9"/>
  <c r="O23" i="9"/>
  <c r="U23" i="9"/>
  <c r="V23" i="9"/>
  <c r="Z23" i="9" s="1"/>
  <c r="W23" i="9"/>
  <c r="AA24" i="9" s="1"/>
  <c r="I24" i="9"/>
  <c r="J24" i="9"/>
  <c r="K24" i="9"/>
  <c r="M24" i="9"/>
  <c r="N24" i="9"/>
  <c r="R24" i="9" s="1"/>
  <c r="O24" i="9"/>
  <c r="U24" i="9"/>
  <c r="V24" i="9"/>
  <c r="W24" i="9"/>
  <c r="I25" i="9"/>
  <c r="J25" i="9"/>
  <c r="K25" i="9"/>
  <c r="M25" i="9"/>
  <c r="N25" i="9"/>
  <c r="O25" i="9"/>
  <c r="U25" i="9"/>
  <c r="V25" i="9"/>
  <c r="W25" i="9"/>
  <c r="I26" i="9"/>
  <c r="J26" i="9"/>
  <c r="K26" i="9"/>
  <c r="M26" i="9"/>
  <c r="Q27" i="9" s="1"/>
  <c r="N26" i="9"/>
  <c r="O26" i="9"/>
  <c r="U26" i="9"/>
  <c r="V26" i="9"/>
  <c r="W26" i="9"/>
  <c r="I27" i="9"/>
  <c r="J27" i="9"/>
  <c r="K27" i="9"/>
  <c r="M27" i="9"/>
  <c r="N27" i="9"/>
  <c r="O27" i="9"/>
  <c r="U27" i="9"/>
  <c r="V27" i="9"/>
  <c r="W27" i="9"/>
  <c r="I28" i="9"/>
  <c r="J28" i="9"/>
  <c r="K28" i="9"/>
  <c r="M28" i="9"/>
  <c r="N28" i="9"/>
  <c r="O28" i="9"/>
  <c r="U28" i="9"/>
  <c r="V28" i="9"/>
  <c r="W28" i="9"/>
  <c r="I29" i="9"/>
  <c r="J29" i="9"/>
  <c r="K29" i="9"/>
  <c r="M29" i="9"/>
  <c r="N29" i="9"/>
  <c r="O29" i="9"/>
  <c r="U29" i="9"/>
  <c r="Y29" i="9" s="1"/>
  <c r="V29" i="9"/>
  <c r="W29" i="9"/>
  <c r="I30" i="9"/>
  <c r="J30" i="9"/>
  <c r="K30" i="9"/>
  <c r="M30" i="9"/>
  <c r="Q30" i="9" s="1"/>
  <c r="N30" i="9"/>
  <c r="O30" i="9"/>
  <c r="U30" i="9"/>
  <c r="V30" i="9"/>
  <c r="Z30" i="9" s="1"/>
  <c r="W30" i="9"/>
  <c r="I31" i="9"/>
  <c r="J31" i="9"/>
  <c r="K31" i="9"/>
  <c r="M31" i="9"/>
  <c r="N31" i="9"/>
  <c r="R31" i="9"/>
  <c r="O31" i="9"/>
  <c r="U31" i="9"/>
  <c r="V31" i="9"/>
  <c r="W31" i="9"/>
  <c r="I32" i="9"/>
  <c r="J32" i="9"/>
  <c r="K32" i="9"/>
  <c r="M32" i="9"/>
  <c r="N32" i="9"/>
  <c r="O32" i="9"/>
  <c r="U32" i="9"/>
  <c r="Y32" i="9" s="1"/>
  <c r="V32" i="9"/>
  <c r="W32" i="9"/>
  <c r="I33" i="9"/>
  <c r="J33" i="9"/>
  <c r="K33" i="9"/>
  <c r="M33" i="9"/>
  <c r="N33" i="9"/>
  <c r="O33" i="9"/>
  <c r="U33" i="9"/>
  <c r="V33" i="9"/>
  <c r="W33" i="9"/>
  <c r="AA34" i="9"/>
  <c r="I34" i="9"/>
  <c r="J34" i="9"/>
  <c r="K34" i="9"/>
  <c r="M34" i="9"/>
  <c r="N34" i="9"/>
  <c r="O34" i="9"/>
  <c r="U34" i="9"/>
  <c r="Y34" i="9" s="1"/>
  <c r="V34" i="9"/>
  <c r="Z34" i="9" s="1"/>
  <c r="W34" i="9"/>
  <c r="AA35" i="9" s="1"/>
  <c r="I35" i="9"/>
  <c r="J35" i="9"/>
  <c r="K35" i="9"/>
  <c r="M35" i="9"/>
  <c r="Q35" i="9" s="1"/>
  <c r="N35" i="9"/>
  <c r="R36" i="9" s="1"/>
  <c r="O35" i="9"/>
  <c r="U35" i="9"/>
  <c r="Y35" i="9" s="1"/>
  <c r="V35" i="9"/>
  <c r="W35" i="9"/>
  <c r="I36" i="9"/>
  <c r="J36" i="9"/>
  <c r="K36" i="9"/>
  <c r="M36" i="9"/>
  <c r="Q36" i="9" s="1"/>
  <c r="N36" i="9"/>
  <c r="O36" i="9"/>
  <c r="U36" i="9"/>
  <c r="V36" i="9"/>
  <c r="W36" i="9"/>
  <c r="I37" i="9"/>
  <c r="J37" i="9"/>
  <c r="K37" i="9"/>
  <c r="M37" i="9"/>
  <c r="N37" i="9"/>
  <c r="O37" i="9"/>
  <c r="U37" i="9"/>
  <c r="Y38" i="9" s="1"/>
  <c r="V37" i="9"/>
  <c r="W37" i="9"/>
  <c r="I38" i="9"/>
  <c r="J38" i="9"/>
  <c r="K38" i="9"/>
  <c r="M38" i="9"/>
  <c r="N38" i="9"/>
  <c r="O38" i="9"/>
  <c r="U38" i="9"/>
  <c r="V38" i="9"/>
  <c r="W38" i="9"/>
  <c r="AA39" i="9" s="1"/>
  <c r="I39" i="9"/>
  <c r="J39" i="9"/>
  <c r="K39" i="9"/>
  <c r="M39" i="9"/>
  <c r="N39" i="9"/>
  <c r="R40" i="9" s="1"/>
  <c r="O39" i="9"/>
  <c r="U39" i="9"/>
  <c r="V39" i="9"/>
  <c r="W39" i="9"/>
  <c r="I40" i="9"/>
  <c r="J40" i="9"/>
  <c r="K40" i="9"/>
  <c r="M40" i="9"/>
  <c r="N40" i="9"/>
  <c r="O40" i="9"/>
  <c r="S40" i="9"/>
  <c r="U40" i="9"/>
  <c r="V40" i="9"/>
  <c r="W40" i="9"/>
  <c r="I41" i="9"/>
  <c r="J41" i="9"/>
  <c r="K41" i="9"/>
  <c r="M41" i="9"/>
  <c r="Q42" i="9" s="1"/>
  <c r="N41" i="9"/>
  <c r="R41" i="9" s="1"/>
  <c r="O41" i="9"/>
  <c r="U41" i="9"/>
  <c r="V41" i="9"/>
  <c r="W41" i="9"/>
  <c r="AA42" i="9" s="1"/>
  <c r="I42" i="9"/>
  <c r="J42" i="9"/>
  <c r="K42" i="9"/>
  <c r="M42" i="9"/>
  <c r="N42" i="9"/>
  <c r="R43" i="9" s="1"/>
  <c r="O42" i="9"/>
  <c r="S42" i="9" s="1"/>
  <c r="U42" i="9"/>
  <c r="Y42" i="9" s="1"/>
  <c r="V42" i="9"/>
  <c r="W42" i="9"/>
  <c r="I43" i="9"/>
  <c r="J43" i="9"/>
  <c r="K43" i="9"/>
  <c r="M43" i="9"/>
  <c r="N43" i="9"/>
  <c r="O43" i="9"/>
  <c r="U43" i="9"/>
  <c r="V43" i="9"/>
  <c r="Z43" i="9" s="1"/>
  <c r="W43" i="9"/>
  <c r="I44" i="9"/>
  <c r="J44" i="9"/>
  <c r="K44" i="9"/>
  <c r="M44" i="9"/>
  <c r="N44" i="9"/>
  <c r="O44" i="9"/>
  <c r="U44" i="9"/>
  <c r="V44" i="9"/>
  <c r="Z44" i="9" s="1"/>
  <c r="W44" i="9"/>
  <c r="AA44" i="9" s="1"/>
  <c r="I45" i="9"/>
  <c r="J45" i="9"/>
  <c r="K45" i="9"/>
  <c r="M45" i="9"/>
  <c r="N45" i="9"/>
  <c r="R45" i="9" s="1"/>
  <c r="O45" i="9"/>
  <c r="U45" i="9"/>
  <c r="V45" i="9"/>
  <c r="W45" i="9"/>
  <c r="AA45" i="9" s="1"/>
  <c r="I46" i="9"/>
  <c r="J46" i="9"/>
  <c r="K46" i="9"/>
  <c r="M46" i="9"/>
  <c r="N46" i="9"/>
  <c r="O46" i="9"/>
  <c r="S46" i="9" s="1"/>
  <c r="U46" i="9"/>
  <c r="Y46" i="9"/>
  <c r="V46" i="9"/>
  <c r="Z46" i="9" s="1"/>
  <c r="W46" i="9"/>
  <c r="AA47" i="9" s="1"/>
  <c r="I47" i="9"/>
  <c r="J47" i="9"/>
  <c r="K47" i="9"/>
  <c r="M47" i="9"/>
  <c r="Q47" i="9" s="1"/>
  <c r="N47" i="9"/>
  <c r="R47" i="9"/>
  <c r="O47" i="9"/>
  <c r="U47" i="9"/>
  <c r="V47" i="9"/>
  <c r="W47" i="9"/>
  <c r="I48" i="9"/>
  <c r="J48" i="9"/>
  <c r="K48" i="9"/>
  <c r="M48" i="9"/>
  <c r="N48" i="9"/>
  <c r="O48" i="9"/>
  <c r="U48" i="9"/>
  <c r="Y48" i="9"/>
  <c r="V48" i="9"/>
  <c r="W48" i="9"/>
  <c r="I49" i="9"/>
  <c r="J49" i="9"/>
  <c r="K49" i="9"/>
  <c r="M49" i="9"/>
  <c r="N49" i="9"/>
  <c r="O49" i="9"/>
  <c r="U49" i="9"/>
  <c r="V49" i="9"/>
  <c r="W49" i="9"/>
  <c r="I50" i="9"/>
  <c r="J50" i="9"/>
  <c r="K50" i="9"/>
  <c r="M50" i="9"/>
  <c r="N50" i="9"/>
  <c r="O50" i="9"/>
  <c r="S51" i="9" s="1"/>
  <c r="U50" i="9"/>
  <c r="V50" i="9"/>
  <c r="W50" i="9"/>
  <c r="I51" i="9"/>
  <c r="J51" i="9"/>
  <c r="K51" i="9"/>
  <c r="M51" i="9"/>
  <c r="N51" i="9"/>
  <c r="O51" i="9"/>
  <c r="U51" i="9"/>
  <c r="V51" i="9"/>
  <c r="W51" i="9"/>
  <c r="AA52" i="9" s="1"/>
  <c r="I52" i="9"/>
  <c r="J52" i="9"/>
  <c r="K52" i="9"/>
  <c r="M52" i="9"/>
  <c r="N52" i="9"/>
  <c r="R53" i="9" s="1"/>
  <c r="O52" i="9"/>
  <c r="U52" i="9"/>
  <c r="V52" i="9"/>
  <c r="W52" i="9"/>
  <c r="I53" i="9"/>
  <c r="J53" i="9"/>
  <c r="K53" i="9"/>
  <c r="M53" i="9"/>
  <c r="Q53" i="9" s="1"/>
  <c r="N53" i="9"/>
  <c r="O53" i="9"/>
  <c r="U53" i="9"/>
  <c r="Y54" i="9" s="1"/>
  <c r="V53" i="9"/>
  <c r="W53" i="9"/>
  <c r="I54" i="9"/>
  <c r="J54" i="9"/>
  <c r="K54" i="9"/>
  <c r="M54" i="9"/>
  <c r="N54" i="9"/>
  <c r="O54" i="9"/>
  <c r="S55" i="9" s="1"/>
  <c r="U54" i="9"/>
  <c r="V54" i="9"/>
  <c r="Z54" i="9" s="1"/>
  <c r="W54" i="9"/>
  <c r="I55" i="9"/>
  <c r="J55" i="9"/>
  <c r="K55" i="9"/>
  <c r="M55" i="9"/>
  <c r="Q55" i="9" s="1"/>
  <c r="N55" i="9"/>
  <c r="O55" i="9"/>
  <c r="U55" i="9"/>
  <c r="V55" i="9"/>
  <c r="W55" i="9"/>
  <c r="I56" i="9"/>
  <c r="J56" i="9"/>
  <c r="K56" i="9"/>
  <c r="M56" i="9"/>
  <c r="N56" i="9"/>
  <c r="O56" i="9"/>
  <c r="U56" i="9"/>
  <c r="V56" i="9"/>
  <c r="Z57" i="9" s="1"/>
  <c r="W56" i="9"/>
  <c r="AA57" i="9" s="1"/>
  <c r="I57" i="9"/>
  <c r="J57" i="9"/>
  <c r="K57" i="9"/>
  <c r="M57" i="9"/>
  <c r="Q57" i="9"/>
  <c r="N57" i="9"/>
  <c r="O57" i="9"/>
  <c r="U57" i="9"/>
  <c r="V57" i="9"/>
  <c r="W57" i="9"/>
  <c r="I58" i="9"/>
  <c r="J58" i="9"/>
  <c r="K58" i="9"/>
  <c r="M58" i="9"/>
  <c r="N58" i="9"/>
  <c r="O58" i="9"/>
  <c r="S58" i="9" s="1"/>
  <c r="U58" i="9"/>
  <c r="Y58" i="9" s="1"/>
  <c r="V58" i="9"/>
  <c r="W58" i="9"/>
  <c r="AA58" i="9" s="1"/>
  <c r="I59" i="9"/>
  <c r="J59" i="9"/>
  <c r="K59" i="9"/>
  <c r="M59" i="9"/>
  <c r="Q59" i="9"/>
  <c r="N59" i="9"/>
  <c r="O59" i="9"/>
  <c r="U59" i="9"/>
  <c r="V59" i="9"/>
  <c r="W59" i="9"/>
  <c r="AA59" i="9"/>
  <c r="I60" i="9"/>
  <c r="J60" i="9"/>
  <c r="K60" i="9"/>
  <c r="M60" i="9"/>
  <c r="Q60" i="9" s="1"/>
  <c r="N60" i="9"/>
  <c r="O60" i="9"/>
  <c r="U60" i="9"/>
  <c r="V60" i="9"/>
  <c r="W60" i="9"/>
  <c r="AA61" i="9" s="1"/>
  <c r="I61" i="9"/>
  <c r="J61" i="9"/>
  <c r="K61" i="9"/>
  <c r="M61" i="9"/>
  <c r="N61" i="9"/>
  <c r="O61" i="9"/>
  <c r="S62" i="9" s="1"/>
  <c r="U61" i="9"/>
  <c r="V61" i="9"/>
  <c r="W61" i="9"/>
  <c r="I62" i="9"/>
  <c r="J62" i="9"/>
  <c r="K62" i="9"/>
  <c r="M62" i="9"/>
  <c r="N62" i="9"/>
  <c r="O62" i="9"/>
  <c r="U62" i="9"/>
  <c r="Y62" i="9"/>
  <c r="V62" i="9"/>
  <c r="W62" i="9"/>
  <c r="M63" i="9"/>
  <c r="N63" i="9"/>
  <c r="R63" i="9" s="1"/>
  <c r="O63" i="9"/>
  <c r="U63" i="9"/>
  <c r="Y63" i="9" s="1"/>
  <c r="V63" i="9"/>
  <c r="Z63" i="9" s="1"/>
  <c r="W63" i="9"/>
  <c r="M64" i="9"/>
  <c r="Q64" i="9" s="1"/>
  <c r="N64" i="9"/>
  <c r="R64" i="9" s="1"/>
  <c r="O64" i="9"/>
  <c r="S64" i="9" s="1"/>
  <c r="U64" i="9"/>
  <c r="Y64" i="9" s="1"/>
  <c r="V64" i="9"/>
  <c r="W64" i="9"/>
  <c r="AA64" i="9" s="1"/>
  <c r="M65" i="9"/>
  <c r="Q65" i="9" s="1"/>
  <c r="N65" i="9"/>
  <c r="R65" i="9" s="1"/>
  <c r="O65" i="9"/>
  <c r="S65" i="9" s="1"/>
  <c r="U65" i="9"/>
  <c r="Y65" i="9" s="1"/>
  <c r="V65" i="9"/>
  <c r="W65" i="9"/>
  <c r="AA65" i="9" s="1"/>
  <c r="M66" i="9"/>
  <c r="N66" i="9"/>
  <c r="O66" i="9"/>
  <c r="U66" i="9"/>
  <c r="V66" i="9"/>
  <c r="W66" i="9"/>
  <c r="M67" i="9"/>
  <c r="Q67" i="9" s="1"/>
  <c r="N67" i="9"/>
  <c r="O67" i="9"/>
  <c r="S67" i="9" s="1"/>
  <c r="U67" i="9"/>
  <c r="V67" i="9"/>
  <c r="Z67" i="9" s="1"/>
  <c r="W67" i="9"/>
  <c r="AA67" i="9" s="1"/>
  <c r="M68" i="9"/>
  <c r="Q68" i="9" s="1"/>
  <c r="N68" i="9"/>
  <c r="R68" i="9" s="1"/>
  <c r="O68" i="9"/>
  <c r="U68" i="9"/>
  <c r="Y68" i="9" s="1"/>
  <c r="V68" i="9"/>
  <c r="Z68" i="9" s="1"/>
  <c r="W68" i="9"/>
  <c r="AA68" i="9" s="1"/>
  <c r="M69" i="9"/>
  <c r="Q69" i="9" s="1"/>
  <c r="N69" i="9"/>
  <c r="R69" i="9" s="1"/>
  <c r="O69" i="9"/>
  <c r="U69" i="9"/>
  <c r="Y69" i="9" s="1"/>
  <c r="V69" i="9"/>
  <c r="Z69" i="9" s="1"/>
  <c r="W69" i="9"/>
  <c r="AA69" i="9" s="1"/>
  <c r="M70" i="9"/>
  <c r="Q70" i="9" s="1"/>
  <c r="N70" i="9"/>
  <c r="O70" i="9"/>
  <c r="U70" i="9"/>
  <c r="Y70" i="9" s="1"/>
  <c r="V70" i="9"/>
  <c r="Z70" i="9" s="1"/>
  <c r="W70" i="9"/>
  <c r="AA70" i="9" s="1"/>
  <c r="M71" i="9"/>
  <c r="Q71" i="9" s="1"/>
  <c r="N71" i="9"/>
  <c r="O71" i="9"/>
  <c r="S71" i="9" s="1"/>
  <c r="U71" i="9"/>
  <c r="Y71" i="9" s="1"/>
  <c r="V71" i="9"/>
  <c r="Z71" i="9" s="1"/>
  <c r="W71" i="9"/>
  <c r="AA71" i="9" s="1"/>
  <c r="M72" i="9"/>
  <c r="N72" i="9"/>
  <c r="O72" i="9"/>
  <c r="S72" i="9" s="1"/>
  <c r="U72" i="9"/>
  <c r="Y72" i="9" s="1"/>
  <c r="V72" i="9"/>
  <c r="W72" i="9"/>
  <c r="AA72" i="9" s="1"/>
  <c r="M73" i="9"/>
  <c r="N73" i="9"/>
  <c r="O73" i="9"/>
  <c r="S73" i="9" s="1"/>
  <c r="U73" i="9"/>
  <c r="V73" i="9"/>
  <c r="Z73" i="9" s="1"/>
  <c r="W73" i="9"/>
  <c r="AA73" i="9" s="1"/>
  <c r="M74" i="9"/>
  <c r="Q74" i="9" s="1"/>
  <c r="N74" i="9"/>
  <c r="O74" i="9"/>
  <c r="S74" i="9" s="1"/>
  <c r="U74" i="9"/>
  <c r="V74" i="9"/>
  <c r="Z74" i="9" s="1"/>
  <c r="W74" i="9"/>
  <c r="AA74" i="9" s="1"/>
  <c r="M75" i="9"/>
  <c r="Q75" i="9" s="1"/>
  <c r="N75" i="9"/>
  <c r="R75" i="9" s="1"/>
  <c r="O75" i="9"/>
  <c r="S75" i="9" s="1"/>
  <c r="U75" i="9"/>
  <c r="V75" i="9"/>
  <c r="Z75" i="9" s="1"/>
  <c r="W75" i="9"/>
  <c r="AA75" i="9" s="1"/>
  <c r="M76" i="9"/>
  <c r="Q76" i="9" s="1"/>
  <c r="N76" i="9"/>
  <c r="R76" i="9" s="1"/>
  <c r="O76" i="9"/>
  <c r="U76" i="9"/>
  <c r="Y76" i="9" s="1"/>
  <c r="V76" i="9"/>
  <c r="Z76" i="9" s="1"/>
  <c r="W76" i="9"/>
  <c r="AA76" i="9" s="1"/>
  <c r="M77" i="9"/>
  <c r="Q77" i="9" s="1"/>
  <c r="N77" i="9"/>
  <c r="O77" i="9"/>
  <c r="U77" i="9"/>
  <c r="Y77" i="9" s="1"/>
  <c r="V77" i="9"/>
  <c r="W77" i="9"/>
  <c r="M78" i="9"/>
  <c r="Q78" i="9" s="1"/>
  <c r="N78" i="9"/>
  <c r="O78" i="9"/>
  <c r="S78" i="9" s="1"/>
  <c r="U78" i="9"/>
  <c r="V78" i="9"/>
  <c r="Z78" i="9" s="1"/>
  <c r="W78" i="9"/>
  <c r="M79" i="9"/>
  <c r="Q79" i="9" s="1"/>
  <c r="N79" i="9"/>
  <c r="R79" i="9" s="1"/>
  <c r="O79" i="9"/>
  <c r="S79" i="9" s="1"/>
  <c r="U79" i="9"/>
  <c r="V79" i="9"/>
  <c r="Z79" i="9" s="1"/>
  <c r="W79" i="9"/>
  <c r="M80" i="9"/>
  <c r="Q80" i="9" s="1"/>
  <c r="N80" i="9"/>
  <c r="O80" i="9"/>
  <c r="S80" i="9" s="1"/>
  <c r="U80" i="9"/>
  <c r="Y80" i="9" s="1"/>
  <c r="V80" i="9"/>
  <c r="W80" i="9"/>
  <c r="AA80" i="9" s="1"/>
  <c r="M81" i="9"/>
  <c r="Q81" i="9" s="1"/>
  <c r="N81" i="9"/>
  <c r="R81" i="9" s="1"/>
  <c r="O81" i="9"/>
  <c r="U81" i="9"/>
  <c r="Y81" i="9" s="1"/>
  <c r="V81" i="9"/>
  <c r="Z81" i="9" s="1"/>
  <c r="W81" i="9"/>
  <c r="M82" i="9"/>
  <c r="N82" i="9"/>
  <c r="R82" i="9" s="1"/>
  <c r="O82" i="9"/>
  <c r="U82" i="9"/>
  <c r="Y82" i="9" s="1"/>
  <c r="V82" i="9"/>
  <c r="Z82" i="9" s="1"/>
  <c r="W82" i="9"/>
  <c r="M83" i="9"/>
  <c r="N83" i="9"/>
  <c r="O83" i="9"/>
  <c r="S83" i="9" s="1"/>
  <c r="U83" i="9"/>
  <c r="Y83" i="9" s="1"/>
  <c r="V83" i="9"/>
  <c r="Z83" i="9" s="1"/>
  <c r="W83" i="9"/>
  <c r="M84" i="9"/>
  <c r="N84" i="9"/>
  <c r="O84" i="9"/>
  <c r="U84" i="9"/>
  <c r="V84" i="9"/>
  <c r="Z84" i="9" s="1"/>
  <c r="W84" i="9"/>
  <c r="AA84" i="9" s="1"/>
  <c r="M85" i="9"/>
  <c r="Q85" i="9" s="1"/>
  <c r="N85" i="9"/>
  <c r="R85" i="9" s="1"/>
  <c r="O85" i="9"/>
  <c r="S85" i="9" s="1"/>
  <c r="U85" i="9"/>
  <c r="V85" i="9"/>
  <c r="W85" i="9"/>
  <c r="AA85" i="9" s="1"/>
  <c r="M86" i="9"/>
  <c r="N86" i="9"/>
  <c r="O86" i="9"/>
  <c r="S86" i="9" s="1"/>
  <c r="U86" i="9"/>
  <c r="Y86" i="9" s="1"/>
  <c r="V86" i="9"/>
  <c r="W86" i="9"/>
  <c r="M87" i="9"/>
  <c r="N87" i="9"/>
  <c r="R87" i="9" s="1"/>
  <c r="O87" i="9"/>
  <c r="S87" i="9" s="1"/>
  <c r="U87" i="9"/>
  <c r="V87" i="9"/>
  <c r="Z87" i="9" s="1"/>
  <c r="W87" i="9"/>
  <c r="M88" i="9"/>
  <c r="Q88" i="9" s="1"/>
  <c r="N88" i="9"/>
  <c r="R88" i="9" s="1"/>
  <c r="O88" i="9"/>
  <c r="S88" i="9" s="1"/>
  <c r="U88" i="9"/>
  <c r="V88" i="9"/>
  <c r="Z88" i="9" s="1"/>
  <c r="W88" i="9"/>
  <c r="M89" i="9"/>
  <c r="Q89" i="9" s="1"/>
  <c r="N89" i="9"/>
  <c r="O89" i="9"/>
  <c r="S89" i="9" s="1"/>
  <c r="U89" i="9"/>
  <c r="Y89" i="9" s="1"/>
  <c r="V89" i="9"/>
  <c r="Z89" i="9" s="1"/>
  <c r="W89" i="9"/>
  <c r="AA89" i="9" s="1"/>
  <c r="M90" i="9"/>
  <c r="N90" i="9"/>
  <c r="O90" i="9"/>
  <c r="U90" i="9"/>
  <c r="Y90" i="9" s="1"/>
  <c r="V90" i="9"/>
  <c r="W90" i="9"/>
  <c r="M91" i="9"/>
  <c r="Q91" i="9" s="1"/>
  <c r="N91" i="9"/>
  <c r="O91" i="9"/>
  <c r="U91" i="9"/>
  <c r="Y91" i="9" s="1"/>
  <c r="V91" i="9"/>
  <c r="Z91" i="9" s="1"/>
  <c r="W91" i="9"/>
  <c r="AA91" i="9" s="1"/>
  <c r="M92" i="9"/>
  <c r="Q92" i="9" s="1"/>
  <c r="N92" i="9"/>
  <c r="O92" i="9"/>
  <c r="S92" i="9" s="1"/>
  <c r="U92" i="9"/>
  <c r="Y92" i="9" s="1"/>
  <c r="V92" i="9"/>
  <c r="Z92" i="9" s="1"/>
  <c r="W92" i="9"/>
  <c r="AA92" i="9" s="1"/>
  <c r="M93" i="9"/>
  <c r="Q93" i="9" s="1"/>
  <c r="N93" i="9"/>
  <c r="O93" i="9"/>
  <c r="S93" i="9" s="1"/>
  <c r="U93" i="9"/>
  <c r="Y93" i="9" s="1"/>
  <c r="V93" i="9"/>
  <c r="W93" i="9"/>
  <c r="M94" i="9"/>
  <c r="N94" i="9"/>
  <c r="R94" i="9" s="1"/>
  <c r="O94" i="9"/>
  <c r="S94" i="9" s="1"/>
  <c r="U94" i="9"/>
  <c r="Y94" i="9" s="1"/>
  <c r="V94" i="9"/>
  <c r="Z94" i="9" s="1"/>
  <c r="W94" i="9"/>
  <c r="M95" i="9"/>
  <c r="Q95" i="9" s="1"/>
  <c r="N95" i="9"/>
  <c r="O95" i="9"/>
  <c r="S95" i="9" s="1"/>
  <c r="U95" i="9"/>
  <c r="Y95" i="9" s="1"/>
  <c r="V95" i="9"/>
  <c r="W95" i="9"/>
  <c r="AA95" i="9" s="1"/>
  <c r="M96" i="9"/>
  <c r="Q96" i="9" s="1"/>
  <c r="N96" i="9"/>
  <c r="O96" i="9"/>
  <c r="S96" i="9" s="1"/>
  <c r="U96" i="9"/>
  <c r="Y96" i="9" s="1"/>
  <c r="V96" i="9"/>
  <c r="Z96" i="9" s="1"/>
  <c r="W96" i="9"/>
  <c r="M97" i="9"/>
  <c r="N97" i="9"/>
  <c r="R97" i="9" s="1"/>
  <c r="O97" i="9"/>
  <c r="S97" i="9" s="1"/>
  <c r="U97" i="9"/>
  <c r="Y97" i="9" s="1"/>
  <c r="V97" i="9"/>
  <c r="Z97" i="9" s="1"/>
  <c r="W97" i="9"/>
  <c r="M98" i="9"/>
  <c r="Q98" i="9" s="1"/>
  <c r="N98" i="9"/>
  <c r="O98" i="9"/>
  <c r="U98" i="9"/>
  <c r="Y98" i="9" s="1"/>
  <c r="V98" i="9"/>
  <c r="Z98" i="9" s="1"/>
  <c r="W98" i="9"/>
  <c r="AA98" i="9" s="1"/>
  <c r="M99" i="9"/>
  <c r="Q99" i="9" s="1"/>
  <c r="N99" i="9"/>
  <c r="R99" i="9" s="1"/>
  <c r="O99" i="9"/>
  <c r="S99" i="9" s="1"/>
  <c r="U99" i="9"/>
  <c r="Y99" i="9" s="1"/>
  <c r="V99" i="9"/>
  <c r="Z99" i="9" s="1"/>
  <c r="W99" i="9"/>
  <c r="M100" i="9"/>
  <c r="Q100" i="9" s="1"/>
  <c r="N100" i="9"/>
  <c r="R100" i="9" s="1"/>
  <c r="O100" i="9"/>
  <c r="S100" i="9" s="1"/>
  <c r="U100" i="9"/>
  <c r="Y100" i="9" s="1"/>
  <c r="V100" i="9"/>
  <c r="Z100" i="9" s="1"/>
  <c r="W100" i="9"/>
  <c r="M101" i="9"/>
  <c r="N101" i="9"/>
  <c r="R101" i="9" s="1"/>
  <c r="O101" i="9"/>
  <c r="S101" i="9" s="1"/>
  <c r="U101" i="9"/>
  <c r="Y101" i="9" s="1"/>
  <c r="V101" i="9"/>
  <c r="Z101" i="9" s="1"/>
  <c r="W101" i="9"/>
  <c r="AA101" i="9" s="1"/>
  <c r="M102" i="9"/>
  <c r="N102" i="9"/>
  <c r="O102" i="9"/>
  <c r="U102" i="9"/>
  <c r="Y102" i="9" s="1"/>
  <c r="V102" i="9"/>
  <c r="W102" i="9"/>
  <c r="AA102" i="9" s="1"/>
  <c r="M103" i="9"/>
  <c r="Q103" i="9" s="1"/>
  <c r="N103" i="9"/>
  <c r="R103" i="9" s="1"/>
  <c r="O103" i="9"/>
  <c r="S103" i="9" s="1"/>
  <c r="U103" i="9"/>
  <c r="V103" i="9"/>
  <c r="W103" i="9"/>
  <c r="M104" i="9"/>
  <c r="N104" i="9"/>
  <c r="O104" i="9"/>
  <c r="S104" i="9" s="1"/>
  <c r="U104" i="9"/>
  <c r="V104" i="9"/>
  <c r="Z104" i="9" s="1"/>
  <c r="W104" i="9"/>
  <c r="M105" i="9"/>
  <c r="N105" i="9"/>
  <c r="O105" i="9"/>
  <c r="U105" i="9"/>
  <c r="Y105" i="9" s="1"/>
  <c r="V105" i="9"/>
  <c r="Z105" i="9" s="1"/>
  <c r="W105" i="9"/>
  <c r="M106" i="9"/>
  <c r="N106" i="9"/>
  <c r="R106" i="9" s="1"/>
  <c r="O106" i="9"/>
  <c r="U106" i="9"/>
  <c r="Y106" i="9" s="1"/>
  <c r="V106" i="9"/>
  <c r="Z106" i="9" s="1"/>
  <c r="W106" i="9"/>
  <c r="M107" i="9"/>
  <c r="Q107" i="9" s="1"/>
  <c r="N107" i="9"/>
  <c r="R107" i="9" s="1"/>
  <c r="O107" i="9"/>
  <c r="S107" i="9" s="1"/>
  <c r="U107" i="9"/>
  <c r="Y107" i="9" s="1"/>
  <c r="V107" i="9"/>
  <c r="Z107" i="9" s="1"/>
  <c r="W107" i="9"/>
  <c r="M108" i="9"/>
  <c r="Q108" i="9" s="1"/>
  <c r="N108" i="9"/>
  <c r="R108" i="9" s="1"/>
  <c r="O108" i="9"/>
  <c r="S108" i="9" s="1"/>
  <c r="U108" i="9"/>
  <c r="V108" i="9"/>
  <c r="Z108" i="9" s="1"/>
  <c r="W108" i="9"/>
  <c r="M109" i="9"/>
  <c r="Q109" i="9" s="1"/>
  <c r="N109" i="9"/>
  <c r="R109" i="9" s="1"/>
  <c r="O109" i="9"/>
  <c r="S109" i="9" s="1"/>
  <c r="U109" i="9"/>
  <c r="Y109" i="9" s="1"/>
  <c r="V109" i="9"/>
  <c r="W109" i="9"/>
  <c r="M110" i="9"/>
  <c r="Q110" i="9" s="1"/>
  <c r="N110" i="9"/>
  <c r="O110" i="9"/>
  <c r="S110" i="9" s="1"/>
  <c r="U110" i="9"/>
  <c r="Y110" i="9" s="1"/>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O113" i="9"/>
  <c r="U113" i="9"/>
  <c r="Y113" i="9" s="1"/>
  <c r="V113" i="9"/>
  <c r="Z113" i="9" s="1"/>
  <c r="W113" i="9"/>
  <c r="M114" i="9"/>
  <c r="N114" i="9"/>
  <c r="R114" i="9" s="1"/>
  <c r="O114" i="9"/>
  <c r="U114" i="9"/>
  <c r="Y114" i="9" s="1"/>
  <c r="V114" i="9"/>
  <c r="Z114" i="9" s="1"/>
  <c r="W114" i="9"/>
  <c r="AA114" i="9" s="1"/>
  <c r="M115" i="9"/>
  <c r="Q115" i="9" s="1"/>
  <c r="N115" i="9"/>
  <c r="R115" i="9" s="1"/>
  <c r="O115" i="9"/>
  <c r="S115" i="9" s="1"/>
  <c r="U115" i="9"/>
  <c r="Y115" i="9" s="1"/>
  <c r="V115" i="9"/>
  <c r="Z115" i="9" s="1"/>
  <c r="W115" i="9"/>
  <c r="M116" i="9"/>
  <c r="Q116" i="9" s="1"/>
  <c r="N116" i="9"/>
  <c r="O116" i="9"/>
  <c r="U116" i="9"/>
  <c r="Y116" i="9" s="1"/>
  <c r="V116" i="9"/>
  <c r="Z116" i="9" s="1"/>
  <c r="W116" i="9"/>
  <c r="M117" i="9"/>
  <c r="N117" i="9"/>
  <c r="R117" i="9" s="1"/>
  <c r="O117" i="9"/>
  <c r="S117" i="9" s="1"/>
  <c r="U117" i="9"/>
  <c r="Y117" i="9" s="1"/>
  <c r="V117" i="9"/>
  <c r="W117" i="9"/>
  <c r="AA117" i="9" s="1"/>
  <c r="M118" i="9"/>
  <c r="Q118" i="9" s="1"/>
  <c r="N118" i="9"/>
  <c r="R118" i="9" s="1"/>
  <c r="O118" i="9"/>
  <c r="S118" i="9" s="1"/>
  <c r="U118" i="9"/>
  <c r="Y118" i="9" s="1"/>
  <c r="V118" i="9"/>
  <c r="Z118" i="9" s="1"/>
  <c r="W118" i="9"/>
  <c r="AA118" i="9" s="1"/>
  <c r="M119" i="9"/>
  <c r="Q119" i="9" s="1"/>
  <c r="N119" i="9"/>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Z121" i="9" s="1"/>
  <c r="W121" i="9"/>
  <c r="AA121" i="9" s="1"/>
  <c r="M122" i="9"/>
  <c r="Q122" i="9" s="1"/>
  <c r="N122" i="9"/>
  <c r="O122" i="9"/>
  <c r="S122" i="9" s="1"/>
  <c r="U122" i="9"/>
  <c r="Y122" i="9" s="1"/>
  <c r="V122" i="9"/>
  <c r="Z122" i="9" s="1"/>
  <c r="W122" i="9"/>
  <c r="AA122" i="9" s="1"/>
  <c r="M123" i="9"/>
  <c r="N123" i="9"/>
  <c r="O123" i="9"/>
  <c r="U123" i="9"/>
  <c r="Y123" i="9" s="1"/>
  <c r="V123" i="9"/>
  <c r="W123" i="9"/>
  <c r="M124" i="9"/>
  <c r="Q124" i="9" s="1"/>
  <c r="N124" i="9"/>
  <c r="R124" i="9" s="1"/>
  <c r="O124" i="9"/>
  <c r="S124" i="9" s="1"/>
  <c r="U124" i="9"/>
  <c r="Y124" i="9" s="1"/>
  <c r="V124" i="9"/>
  <c r="Z124" i="9" s="1"/>
  <c r="W124" i="9"/>
  <c r="AA124" i="9" s="1"/>
  <c r="M125" i="9"/>
  <c r="Q125" i="9" s="1"/>
  <c r="N125" i="9"/>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Q128" i="9" s="1"/>
  <c r="N128" i="9"/>
  <c r="R128" i="9" s="1"/>
  <c r="O128" i="9"/>
  <c r="U128" i="9"/>
  <c r="Y128" i="9" s="1"/>
  <c r="V128" i="9"/>
  <c r="Z128" i="9" s="1"/>
  <c r="W128" i="9"/>
  <c r="AA128" i="9" s="1"/>
  <c r="M129" i="9"/>
  <c r="Q129" i="9" s="1"/>
  <c r="N129" i="9"/>
  <c r="O129" i="9"/>
  <c r="S129" i="9" s="1"/>
  <c r="U129" i="9"/>
  <c r="Y129" i="9" s="1"/>
  <c r="V129" i="9"/>
  <c r="W129" i="9"/>
  <c r="AA129" i="9" s="1"/>
  <c r="M130" i="9"/>
  <c r="Q130" i="9" s="1"/>
  <c r="N130" i="9"/>
  <c r="O130" i="9"/>
  <c r="U130" i="9"/>
  <c r="V130" i="9"/>
  <c r="Z130" i="9" s="1"/>
  <c r="W130" i="9"/>
  <c r="M131" i="9"/>
  <c r="N131" i="9"/>
  <c r="O131" i="9"/>
  <c r="S131" i="9" s="1"/>
  <c r="U131" i="9"/>
  <c r="V131" i="9"/>
  <c r="Z131" i="9" s="1"/>
  <c r="W131" i="9"/>
  <c r="AA131" i="9" s="1"/>
  <c r="M132" i="9"/>
  <c r="Q132" i="9" s="1"/>
  <c r="N132" i="9"/>
  <c r="O132" i="9"/>
  <c r="S132" i="9" s="1"/>
  <c r="U132" i="9"/>
  <c r="Y132" i="9" s="1"/>
  <c r="V132" i="9"/>
  <c r="Z132" i="9" s="1"/>
  <c r="W132" i="9"/>
  <c r="AA132" i="9" s="1"/>
  <c r="M133" i="9"/>
  <c r="Q133" i="9" s="1"/>
  <c r="N133" i="9"/>
  <c r="R133" i="9" s="1"/>
  <c r="O133" i="9"/>
  <c r="S133" i="9" s="1"/>
  <c r="U133" i="9"/>
  <c r="Y133" i="9" s="1"/>
  <c r="V133" i="9"/>
  <c r="Z133" i="9" s="1"/>
  <c r="W133" i="9"/>
  <c r="AA133" i="9" s="1"/>
  <c r="M134" i="9"/>
  <c r="N134" i="9"/>
  <c r="R134" i="9" s="1"/>
  <c r="O134" i="9"/>
  <c r="S134" i="9" s="1"/>
  <c r="U134" i="9"/>
  <c r="Y134" i="9" s="1"/>
  <c r="V134" i="9"/>
  <c r="W134" i="9"/>
  <c r="AA134" i="9" s="1"/>
  <c r="M135" i="9"/>
  <c r="Q135" i="9" s="1"/>
  <c r="N135" i="9"/>
  <c r="R135" i="9" s="1"/>
  <c r="O135" i="9"/>
  <c r="S135" i="9" s="1"/>
  <c r="U135" i="9"/>
  <c r="Y135" i="9" s="1"/>
  <c r="V135" i="9"/>
  <c r="Z135" i="9" s="1"/>
  <c r="W135" i="9"/>
  <c r="M136" i="9"/>
  <c r="N136" i="9"/>
  <c r="O136" i="9"/>
  <c r="S136" i="9" s="1"/>
  <c r="U136" i="9"/>
  <c r="Y136" i="9" s="1"/>
  <c r="V136" i="9"/>
  <c r="Z136" i="9" s="1"/>
  <c r="W136" i="9"/>
  <c r="AA136" i="9" s="1"/>
  <c r="M137" i="9"/>
  <c r="Q137" i="9" s="1"/>
  <c r="N137" i="9"/>
  <c r="R137" i="9" s="1"/>
  <c r="O137" i="9"/>
  <c r="S137" i="9" s="1"/>
  <c r="U137" i="9"/>
  <c r="Y137" i="9" s="1"/>
  <c r="V137" i="9"/>
  <c r="Z137" i="9" s="1"/>
  <c r="W137" i="9"/>
  <c r="M138" i="9"/>
  <c r="N138" i="9"/>
  <c r="O138" i="9"/>
  <c r="S138" i="9" s="1"/>
  <c r="U138" i="9"/>
  <c r="V138" i="9"/>
  <c r="Z138" i="9" s="1"/>
  <c r="W138" i="9"/>
  <c r="AA138" i="9" s="1"/>
  <c r="M139" i="9"/>
  <c r="Q139" i="9" s="1"/>
  <c r="N139" i="9"/>
  <c r="R139" i="9" s="1"/>
  <c r="O139" i="9"/>
  <c r="S139" i="9" s="1"/>
  <c r="U139" i="9"/>
  <c r="Y139" i="9" s="1"/>
  <c r="V139" i="9"/>
  <c r="Z139" i="9" s="1"/>
  <c r="W139" i="9"/>
  <c r="M140" i="9"/>
  <c r="Q140" i="9" s="1"/>
  <c r="N140" i="9"/>
  <c r="R140" i="9" s="1"/>
  <c r="O140" i="9"/>
  <c r="S140" i="9" s="1"/>
  <c r="U140" i="9"/>
  <c r="Y140" i="9" s="1"/>
  <c r="V140" i="9"/>
  <c r="Z140" i="9" s="1"/>
  <c r="W140" i="9"/>
  <c r="AA140" i="9" s="1"/>
  <c r="M141" i="9"/>
  <c r="N141" i="9"/>
  <c r="R141" i="9" s="1"/>
  <c r="O141" i="9"/>
  <c r="S141" i="9" s="1"/>
  <c r="U141" i="9"/>
  <c r="V141" i="9"/>
  <c r="Z141" i="9" s="1"/>
  <c r="W141" i="9"/>
  <c r="M142" i="9"/>
  <c r="Q142" i="9" s="1"/>
  <c r="N142" i="9"/>
  <c r="O142" i="9"/>
  <c r="U142" i="9"/>
  <c r="Y142" i="9" s="1"/>
  <c r="V142" i="9"/>
  <c r="Z142" i="9" s="1"/>
  <c r="W142" i="9"/>
  <c r="M143" i="9"/>
  <c r="Q143" i="9" s="1"/>
  <c r="N143" i="9"/>
  <c r="R143" i="9" s="1"/>
  <c r="O143" i="9"/>
  <c r="U143" i="9"/>
  <c r="Y143" i="9" s="1"/>
  <c r="V143" i="9"/>
  <c r="Z143" i="9" s="1"/>
  <c r="W143" i="9"/>
  <c r="M144" i="9"/>
  <c r="Q144" i="9" s="1"/>
  <c r="N144" i="9"/>
  <c r="O144" i="9"/>
  <c r="S144" i="9" s="1"/>
  <c r="U144" i="9"/>
  <c r="Y144" i="9" s="1"/>
  <c r="V144" i="9"/>
  <c r="Z144" i="9" s="1"/>
  <c r="W144" i="9"/>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M148" i="9"/>
  <c r="Q148" i="9" s="1"/>
  <c r="N148" i="9"/>
  <c r="O148" i="9"/>
  <c r="S148" i="9" s="1"/>
  <c r="U148" i="9"/>
  <c r="Y148" i="9" s="1"/>
  <c r="V148" i="9"/>
  <c r="W148" i="9"/>
  <c r="AA148" i="9" s="1"/>
  <c r="M149" i="9"/>
  <c r="Q149" i="9" s="1"/>
  <c r="N149" i="9"/>
  <c r="R149" i="9" s="1"/>
  <c r="O149" i="9"/>
  <c r="S149" i="9" s="1"/>
  <c r="U149" i="9"/>
  <c r="V149" i="9"/>
  <c r="W149" i="9"/>
  <c r="M150" i="9"/>
  <c r="N150" i="9"/>
  <c r="O150" i="9"/>
  <c r="U150" i="9"/>
  <c r="Y150" i="9" s="1"/>
  <c r="V150" i="9"/>
  <c r="Z150" i="9" s="1"/>
  <c r="W150" i="9"/>
  <c r="AA150" i="9" s="1"/>
  <c r="M151" i="9"/>
  <c r="N151" i="9"/>
  <c r="R151" i="9" s="1"/>
  <c r="O151" i="9"/>
  <c r="U151" i="9"/>
  <c r="Y151" i="9" s="1"/>
  <c r="V151" i="9"/>
  <c r="Z151" i="9" s="1"/>
  <c r="W151" i="9"/>
  <c r="M152" i="9"/>
  <c r="Q152" i="9" s="1"/>
  <c r="N152" i="9"/>
  <c r="R152" i="9" s="1"/>
  <c r="O152" i="9"/>
  <c r="S152" i="9" s="1"/>
  <c r="U152" i="9"/>
  <c r="Y152" i="9" s="1"/>
  <c r="V152" i="9"/>
  <c r="Z152" i="9" s="1"/>
  <c r="W152" i="9"/>
  <c r="AA152" i="9" s="1"/>
  <c r="M153" i="9"/>
  <c r="Q153" i="9" s="1"/>
  <c r="N153" i="9"/>
  <c r="R153" i="9" s="1"/>
  <c r="O153" i="9"/>
  <c r="U153" i="9"/>
  <c r="Y153" i="9" s="1"/>
  <c r="V153" i="9"/>
  <c r="Z153" i="9" s="1"/>
  <c r="W153" i="9"/>
  <c r="AA153" i="9" s="1"/>
  <c r="M154" i="9"/>
  <c r="Q154" i="9" s="1"/>
  <c r="N154" i="9"/>
  <c r="O154" i="9"/>
  <c r="S154" i="9" s="1"/>
  <c r="U154" i="9"/>
  <c r="V154" i="9"/>
  <c r="Z154" i="9" s="1"/>
  <c r="W154" i="9"/>
  <c r="AA154" i="9" s="1"/>
  <c r="M155" i="9"/>
  <c r="Q155" i="9" s="1"/>
  <c r="N155" i="9"/>
  <c r="O155" i="9"/>
  <c r="S155" i="9" s="1"/>
  <c r="U155" i="9"/>
  <c r="Y155" i="9" s="1"/>
  <c r="V155" i="9"/>
  <c r="W155" i="9"/>
  <c r="AA155" i="9" s="1"/>
  <c r="M156" i="9"/>
  <c r="Q156" i="9" s="1"/>
  <c r="N156" i="9"/>
  <c r="R156" i="9" s="1"/>
  <c r="O156" i="9"/>
  <c r="U156" i="9"/>
  <c r="Y156" i="9" s="1"/>
  <c r="V156" i="9"/>
  <c r="Z156" i="9" s="1"/>
  <c r="W156" i="9"/>
  <c r="AA156" i="9" s="1"/>
  <c r="M157" i="9"/>
  <c r="Q157" i="9" s="1"/>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Z159" i="9" s="1"/>
  <c r="W159" i="9"/>
  <c r="M160" i="9"/>
  <c r="Q160" i="9" s="1"/>
  <c r="N160" i="9"/>
  <c r="O160" i="9"/>
  <c r="U160" i="9"/>
  <c r="Y160" i="9" s="1"/>
  <c r="V160" i="9"/>
  <c r="Z160" i="9" s="1"/>
  <c r="W160" i="9"/>
  <c r="AA160" i="9" s="1"/>
  <c r="M161" i="9"/>
  <c r="Q161" i="9" s="1"/>
  <c r="N161" i="9"/>
  <c r="O161" i="9"/>
  <c r="S161" i="9" s="1"/>
  <c r="U161" i="9"/>
  <c r="V161" i="9"/>
  <c r="Z161" i="9" s="1"/>
  <c r="W161" i="9"/>
  <c r="AA161" i="9" s="1"/>
  <c r="M162" i="9"/>
  <c r="N162" i="9"/>
  <c r="R162" i="9" s="1"/>
  <c r="O162" i="9"/>
  <c r="S162" i="9" s="1"/>
  <c r="U162" i="9"/>
  <c r="V162" i="9"/>
  <c r="Z162" i="9" s="1"/>
  <c r="W162" i="9"/>
  <c r="AA162" i="9" s="1"/>
  <c r="M163" i="9"/>
  <c r="Q163" i="9" s="1"/>
  <c r="N163" i="9"/>
  <c r="R163" i="9" s="1"/>
  <c r="O163" i="9"/>
  <c r="S163" i="9" s="1"/>
  <c r="U163" i="9"/>
  <c r="Y163" i="9" s="1"/>
  <c r="V163" i="9"/>
  <c r="W163" i="9"/>
  <c r="M164" i="9"/>
  <c r="Q164" i="9" s="1"/>
  <c r="N164" i="9"/>
  <c r="R164" i="9" s="1"/>
  <c r="O164" i="9"/>
  <c r="S164" i="9" s="1"/>
  <c r="U164" i="9"/>
  <c r="Y164" i="9" s="1"/>
  <c r="V164" i="9"/>
  <c r="W164" i="9"/>
  <c r="M165" i="9"/>
  <c r="Q165" i="9" s="1"/>
  <c r="N165" i="9"/>
  <c r="O165" i="9"/>
  <c r="U165" i="9"/>
  <c r="Y165" i="9" s="1"/>
  <c r="V165" i="9"/>
  <c r="Z165" i="9" s="1"/>
  <c r="W165" i="9"/>
  <c r="AA165" i="9" s="1"/>
  <c r="M166" i="9"/>
  <c r="Q166" i="9" s="1"/>
  <c r="N166" i="9"/>
  <c r="O166" i="9"/>
  <c r="U166" i="9"/>
  <c r="V166" i="9"/>
  <c r="W166" i="9"/>
  <c r="AA166" i="9" s="1"/>
  <c r="M167" i="9"/>
  <c r="N167" i="9"/>
  <c r="O167" i="9"/>
  <c r="S167" i="9" s="1"/>
  <c r="U167" i="9"/>
  <c r="Y167" i="9" s="1"/>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Y170" i="9" s="1"/>
  <c r="V170" i="9"/>
  <c r="Z170" i="9" s="1"/>
  <c r="W170" i="9"/>
  <c r="M171" i="9"/>
  <c r="Q171" i="9" s="1"/>
  <c r="N171" i="9"/>
  <c r="R171" i="9" s="1"/>
  <c r="O171" i="9"/>
  <c r="S171" i="9" s="1"/>
  <c r="U171" i="9"/>
  <c r="V171" i="9"/>
  <c r="W171" i="9"/>
  <c r="M172" i="9"/>
  <c r="Q172" i="9" s="1"/>
  <c r="N172" i="9"/>
  <c r="R172" i="9" s="1"/>
  <c r="O172" i="9"/>
  <c r="S172" i="9" s="1"/>
  <c r="U172" i="9"/>
  <c r="V172" i="9"/>
  <c r="Z172" i="9" s="1"/>
  <c r="W172" i="9"/>
  <c r="M173" i="9"/>
  <c r="Q173" i="9" s="1"/>
  <c r="N173" i="9"/>
  <c r="O173" i="9"/>
  <c r="S173" i="9" s="1"/>
  <c r="U173" i="9"/>
  <c r="Y173" i="9" s="1"/>
  <c r="V173" i="9"/>
  <c r="Z173" i="9" s="1"/>
  <c r="W173" i="9"/>
  <c r="AA173" i="9" s="1"/>
  <c r="M174" i="9"/>
  <c r="Q174" i="9" s="1"/>
  <c r="N174" i="9"/>
  <c r="O174" i="9"/>
  <c r="S174" i="9" s="1"/>
  <c r="U174" i="9"/>
  <c r="Y174" i="9" s="1"/>
  <c r="V174" i="9"/>
  <c r="W174" i="9"/>
  <c r="M175" i="9"/>
  <c r="Q175" i="9" s="1"/>
  <c r="N175" i="9"/>
  <c r="O175" i="9"/>
  <c r="U175" i="9"/>
  <c r="Y175" i="9" s="1"/>
  <c r="V175" i="9"/>
  <c r="Z175" i="9" s="1"/>
  <c r="W175" i="9"/>
  <c r="AA175" i="9" s="1"/>
  <c r="M176" i="9"/>
  <c r="Q176" i="9" s="1"/>
  <c r="N176" i="9"/>
  <c r="R176" i="9" s="1"/>
  <c r="O176" i="9"/>
  <c r="S176" i="9" s="1"/>
  <c r="U176" i="9"/>
  <c r="Y176" i="9" s="1"/>
  <c r="V176" i="9"/>
  <c r="Z176" i="9" s="1"/>
  <c r="W176" i="9"/>
  <c r="AA176" i="9" s="1"/>
  <c r="M177" i="9"/>
  <c r="Q177" i="9" s="1"/>
  <c r="N177" i="9"/>
  <c r="O177" i="9"/>
  <c r="S177" i="9" s="1"/>
  <c r="U177" i="9"/>
  <c r="Y177" i="9" s="1"/>
  <c r="V177" i="9"/>
  <c r="W177" i="9"/>
  <c r="AA177" i="9" s="1"/>
  <c r="M178" i="9"/>
  <c r="Q178" i="9" s="1"/>
  <c r="N178" i="9"/>
  <c r="O178" i="9"/>
  <c r="S178" i="9" s="1"/>
  <c r="U178" i="9"/>
  <c r="Y178" i="9" s="1"/>
  <c r="V178" i="9"/>
  <c r="Z178" i="9" s="1"/>
  <c r="W178" i="9"/>
  <c r="AA178" i="9" s="1"/>
  <c r="M179" i="9"/>
  <c r="Q179" i="9" s="1"/>
  <c r="N179" i="9"/>
  <c r="O179" i="9"/>
  <c r="S179" i="9" s="1"/>
  <c r="U179" i="9"/>
  <c r="V179" i="9"/>
  <c r="Z179" i="9" s="1"/>
  <c r="W179" i="9"/>
  <c r="AA179" i="9" s="1"/>
  <c r="M180" i="9"/>
  <c r="Q180" i="9" s="1"/>
  <c r="N180" i="9"/>
  <c r="O180" i="9"/>
  <c r="S180" i="9" s="1"/>
  <c r="U180" i="9"/>
  <c r="Y180" i="9" s="1"/>
  <c r="V180" i="9"/>
  <c r="Z180" i="9" s="1"/>
  <c r="W180" i="9"/>
  <c r="AA180" i="9" s="1"/>
  <c r="M181" i="9"/>
  <c r="Q181" i="9" s="1"/>
  <c r="N181" i="9"/>
  <c r="O181" i="9"/>
  <c r="U181" i="9"/>
  <c r="Y181" i="9" s="1"/>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M184" i="9"/>
  <c r="Q184" i="9" s="1"/>
  <c r="N184" i="9"/>
  <c r="O184" i="9"/>
  <c r="S184" i="9" s="1"/>
  <c r="U184" i="9"/>
  <c r="Y184" i="9" s="1"/>
  <c r="V184" i="9"/>
  <c r="Z184" i="9" s="1"/>
  <c r="W184" i="9"/>
  <c r="M185" i="9"/>
  <c r="Q185" i="9" s="1"/>
  <c r="N185" i="9"/>
  <c r="R185" i="9" s="1"/>
  <c r="O185" i="9"/>
  <c r="S185" i="9" s="1"/>
  <c r="U185" i="9"/>
  <c r="Y185" i="9" s="1"/>
  <c r="V185" i="9"/>
  <c r="Z185" i="9" s="1"/>
  <c r="W185" i="9"/>
  <c r="M186" i="9"/>
  <c r="Q186" i="9" s="1"/>
  <c r="N186" i="9"/>
  <c r="O186" i="9"/>
  <c r="S186" i="9" s="1"/>
  <c r="U186" i="9"/>
  <c r="Y186" i="9" s="1"/>
  <c r="V186" i="9"/>
  <c r="W186" i="9"/>
  <c r="M187" i="9"/>
  <c r="Q187" i="9" s="1"/>
  <c r="N187" i="9"/>
  <c r="R187" i="9" s="1"/>
  <c r="O187" i="9"/>
  <c r="S187" i="9" s="1"/>
  <c r="U187" i="9"/>
  <c r="Y187" i="9" s="1"/>
  <c r="V187" i="9"/>
  <c r="W187" i="9"/>
  <c r="AA187" i="9" s="1"/>
  <c r="M188" i="9"/>
  <c r="Q188" i="9" s="1"/>
  <c r="N188" i="9"/>
  <c r="R188" i="9" s="1"/>
  <c r="O188" i="9"/>
  <c r="U188" i="9"/>
  <c r="V188" i="9"/>
  <c r="W188" i="9"/>
  <c r="M189" i="9"/>
  <c r="N189" i="9"/>
  <c r="O189" i="9"/>
  <c r="U189" i="9"/>
  <c r="V189" i="9"/>
  <c r="W189" i="9"/>
  <c r="AA189" i="9" s="1"/>
  <c r="M190" i="9"/>
  <c r="N190" i="9"/>
  <c r="O190" i="9"/>
  <c r="S190" i="9" s="1"/>
  <c r="U190" i="9"/>
  <c r="V190" i="9"/>
  <c r="W190" i="9"/>
  <c r="M191" i="9"/>
  <c r="N191" i="9"/>
  <c r="O191" i="9"/>
  <c r="S191" i="9" s="1"/>
  <c r="U191" i="9"/>
  <c r="Y191" i="9" s="1"/>
  <c r="V191" i="9"/>
  <c r="Z191" i="9" s="1"/>
  <c r="W191" i="9"/>
  <c r="M192" i="9"/>
  <c r="N192" i="9"/>
  <c r="O192" i="9"/>
  <c r="S192" i="9" s="1"/>
  <c r="U192" i="9"/>
  <c r="Y192" i="9" s="1"/>
  <c r="V192" i="9"/>
  <c r="W192" i="9"/>
  <c r="M193" i="9"/>
  <c r="N193" i="9"/>
  <c r="R193" i="9" s="1"/>
  <c r="O193" i="9"/>
  <c r="U193" i="9"/>
  <c r="V193" i="9"/>
  <c r="W193" i="9"/>
  <c r="M194" i="9"/>
  <c r="Q194" i="9" s="1"/>
  <c r="N194" i="9"/>
  <c r="R194" i="9" s="1"/>
  <c r="O194" i="9"/>
  <c r="S194" i="9" s="1"/>
  <c r="U194" i="9"/>
  <c r="V194" i="9"/>
  <c r="Z194" i="9" s="1"/>
  <c r="W194" i="9"/>
  <c r="AA194" i="9" s="1"/>
  <c r="M195" i="9"/>
  <c r="N195" i="9"/>
  <c r="R195" i="9" s="1"/>
  <c r="O195" i="9"/>
  <c r="S195" i="9" s="1"/>
  <c r="U195" i="9"/>
  <c r="Y195" i="9" s="1"/>
  <c r="V195" i="9"/>
  <c r="W195" i="9"/>
  <c r="AA195" i="9" s="1"/>
  <c r="M196" i="9"/>
  <c r="Q196" i="9" s="1"/>
  <c r="N196" i="9"/>
  <c r="O196" i="9"/>
  <c r="S196" i="9" s="1"/>
  <c r="U196" i="9"/>
  <c r="V196" i="9"/>
  <c r="Z196" i="9" s="1"/>
  <c r="W196" i="9"/>
  <c r="AA196" i="9" s="1"/>
  <c r="M197" i="9"/>
  <c r="Q197" i="9" s="1"/>
  <c r="N197" i="9"/>
  <c r="O197" i="9"/>
  <c r="S197" i="9" s="1"/>
  <c r="U197" i="9"/>
  <c r="Y197" i="9" s="1"/>
  <c r="V197" i="9"/>
  <c r="Z197" i="9" s="1"/>
  <c r="W197" i="9"/>
  <c r="M198" i="9"/>
  <c r="Q198" i="9" s="1"/>
  <c r="N198" i="9"/>
  <c r="O198" i="9"/>
  <c r="U198" i="9"/>
  <c r="V198" i="9"/>
  <c r="W198" i="9"/>
  <c r="M199" i="9"/>
  <c r="Q199" i="9" s="1"/>
  <c r="N199" i="9"/>
  <c r="O199" i="9"/>
  <c r="S199" i="9" s="1"/>
  <c r="U199" i="9"/>
  <c r="Y199" i="9" s="1"/>
  <c r="V199" i="9"/>
  <c r="W199" i="9"/>
  <c r="AA199" i="9" s="1"/>
  <c r="M200" i="9"/>
  <c r="N200" i="9"/>
  <c r="O200" i="9"/>
  <c r="U200" i="9"/>
  <c r="V200" i="9"/>
  <c r="W200" i="9"/>
  <c r="M201" i="9"/>
  <c r="N201" i="9"/>
  <c r="O201" i="9"/>
  <c r="S201" i="9" s="1"/>
  <c r="U201" i="9"/>
  <c r="Y201" i="9" s="1"/>
  <c r="V201" i="9"/>
  <c r="W201" i="9"/>
  <c r="M202" i="9"/>
  <c r="Q202" i="9" s="1"/>
  <c r="N202" i="9"/>
  <c r="R202" i="9" s="1"/>
  <c r="O202" i="9"/>
  <c r="S202" i="9" s="1"/>
  <c r="U202" i="9"/>
  <c r="Y202" i="9" s="1"/>
  <c r="V202" i="9"/>
  <c r="Z202" i="9" s="1"/>
  <c r="W202" i="9"/>
  <c r="AA202" i="9" s="1"/>
  <c r="M203" i="9"/>
  <c r="Q203" i="9" s="1"/>
  <c r="N203" i="9"/>
  <c r="R203" i="9" s="1"/>
  <c r="O203" i="9"/>
  <c r="S203" i="9" s="1"/>
  <c r="U203" i="9"/>
  <c r="V203" i="9"/>
  <c r="Z203" i="9" s="1"/>
  <c r="W203" i="9"/>
  <c r="M204" i="9"/>
  <c r="Q204" i="9" s="1"/>
  <c r="N204" i="9"/>
  <c r="O204" i="9"/>
  <c r="S204" i="9" s="1"/>
  <c r="U204" i="9"/>
  <c r="Y204" i="9" s="1"/>
  <c r="V204" i="9"/>
  <c r="W204" i="9"/>
  <c r="M205" i="9"/>
  <c r="Q205" i="9" s="1"/>
  <c r="N205" i="9"/>
  <c r="O205" i="9"/>
  <c r="U205" i="9"/>
  <c r="Y205" i="9" s="1"/>
  <c r="V205" i="9"/>
  <c r="W205" i="9"/>
  <c r="M206" i="9"/>
  <c r="Q206" i="9" s="1"/>
  <c r="N206" i="9"/>
  <c r="O206" i="9"/>
  <c r="S206" i="9" s="1"/>
  <c r="U206" i="9"/>
  <c r="V206" i="9"/>
  <c r="W206" i="9"/>
  <c r="M207" i="9"/>
  <c r="Q207" i="9" s="1"/>
  <c r="N207" i="9"/>
  <c r="O207" i="9"/>
  <c r="S207" i="9" s="1"/>
  <c r="U207" i="9"/>
  <c r="Y207" i="9" s="1"/>
  <c r="V207" i="9"/>
  <c r="Z207" i="9" s="1"/>
  <c r="W207" i="9"/>
  <c r="M208" i="9"/>
  <c r="N208" i="9"/>
  <c r="O208" i="9"/>
  <c r="U208" i="9"/>
  <c r="V208" i="9"/>
  <c r="Z208" i="9" s="1"/>
  <c r="W208" i="9"/>
  <c r="M209" i="9"/>
  <c r="N209" i="9"/>
  <c r="O209" i="9"/>
  <c r="S209" i="9" s="1"/>
  <c r="U209" i="9"/>
  <c r="V209" i="9"/>
  <c r="W209" i="9"/>
  <c r="M210" i="9"/>
  <c r="N210" i="9"/>
  <c r="O210" i="9"/>
  <c r="S210" i="9" s="1"/>
  <c r="U210" i="9"/>
  <c r="V210" i="9"/>
  <c r="Z210" i="9" s="1"/>
  <c r="W210" i="9"/>
  <c r="AA210" i="9" s="1"/>
  <c r="M211" i="9"/>
  <c r="N211" i="9"/>
  <c r="O211" i="9"/>
  <c r="S211" i="9" s="1"/>
  <c r="U211" i="9"/>
  <c r="Y211" i="9" s="1"/>
  <c r="V211" i="9"/>
  <c r="Z211" i="9" s="1"/>
  <c r="W211" i="9"/>
  <c r="M212" i="9"/>
  <c r="N212" i="9"/>
  <c r="R212" i="9" s="1"/>
  <c r="O212" i="9"/>
  <c r="U212" i="9"/>
  <c r="Y212" i="9" s="1"/>
  <c r="V212" i="9"/>
  <c r="Z212" i="9" s="1"/>
  <c r="W212" i="9"/>
  <c r="M213" i="9"/>
  <c r="Q213" i="9" s="1"/>
  <c r="N213" i="9"/>
  <c r="O213" i="9"/>
  <c r="U213" i="9"/>
  <c r="V213" i="9"/>
  <c r="Z213" i="9" s="1"/>
  <c r="W213" i="9"/>
  <c r="AA213" i="9" s="1"/>
  <c r="M214" i="9"/>
  <c r="Q214" i="9" s="1"/>
  <c r="N214" i="9"/>
  <c r="R214" i="9" s="1"/>
  <c r="O214" i="9"/>
  <c r="S214" i="9" s="1"/>
  <c r="U214" i="9"/>
  <c r="Y214" i="9" s="1"/>
  <c r="V214" i="9"/>
  <c r="Z214" i="9" s="1"/>
  <c r="W214" i="9"/>
  <c r="AA214" i="9" s="1"/>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N218" i="9"/>
  <c r="O218" i="9"/>
  <c r="U218" i="9"/>
  <c r="Y218" i="9" s="1"/>
  <c r="V218" i="9"/>
  <c r="W218" i="9"/>
  <c r="AA218" i="9" s="1"/>
  <c r="M219" i="9"/>
  <c r="N219" i="9"/>
  <c r="R219" i="9" s="1"/>
  <c r="O219" i="9"/>
  <c r="U219" i="9"/>
  <c r="Y219" i="9" s="1"/>
  <c r="V219" i="9"/>
  <c r="W219" i="9"/>
  <c r="AA219" i="9" s="1"/>
  <c r="M220" i="9"/>
  <c r="Q220" i="9" s="1"/>
  <c r="N220" i="9"/>
  <c r="R220" i="9" s="1"/>
  <c r="O220" i="9"/>
  <c r="S220" i="9" s="1"/>
  <c r="U220" i="9"/>
  <c r="Y220" i="9" s="1"/>
  <c r="V220" i="9"/>
  <c r="W220" i="9"/>
  <c r="M221" i="9"/>
  <c r="N221" i="9"/>
  <c r="O221" i="9"/>
  <c r="S221" i="9" s="1"/>
  <c r="U221" i="9"/>
  <c r="V221" i="9"/>
  <c r="W221" i="9"/>
  <c r="M222" i="9"/>
  <c r="Q222" i="9" s="1"/>
  <c r="N222" i="9"/>
  <c r="R222" i="9" s="1"/>
  <c r="O222" i="9"/>
  <c r="S222" i="9" s="1"/>
  <c r="U222" i="9"/>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S225" i="9" s="1"/>
  <c r="U225" i="9"/>
  <c r="V225" i="9"/>
  <c r="W225" i="9"/>
  <c r="M226" i="9"/>
  <c r="N226" i="9"/>
  <c r="O226" i="9"/>
  <c r="S226" i="9" s="1"/>
  <c r="U226" i="9"/>
  <c r="V226" i="9"/>
  <c r="W226" i="9"/>
  <c r="AA226" i="9" s="1"/>
  <c r="M227" i="9"/>
  <c r="Q227" i="9" s="1"/>
  <c r="N227" i="9"/>
  <c r="O227" i="9"/>
  <c r="U227" i="9"/>
  <c r="Y227" i="9" s="1"/>
  <c r="V227" i="9"/>
  <c r="Z227" i="9" s="1"/>
  <c r="W227" i="9"/>
  <c r="AA227" i="9" s="1"/>
  <c r="M228" i="9"/>
  <c r="N228" i="9"/>
  <c r="R228" i="9" s="1"/>
  <c r="O228" i="9"/>
  <c r="S228" i="9" s="1"/>
  <c r="U228" i="9"/>
  <c r="Y228" i="9" s="1"/>
  <c r="V228" i="9"/>
  <c r="W228" i="9"/>
  <c r="M229" i="9"/>
  <c r="Q229" i="9" s="1"/>
  <c r="N229" i="9"/>
  <c r="O229" i="9"/>
  <c r="U229" i="9"/>
  <c r="Y229" i="9" s="1"/>
  <c r="V229" i="9"/>
  <c r="Z229" i="9" s="1"/>
  <c r="W229" i="9"/>
  <c r="M230" i="9"/>
  <c r="N230" i="9"/>
  <c r="O230" i="9"/>
  <c r="U230" i="9"/>
  <c r="Y230" i="9" s="1"/>
  <c r="V230" i="9"/>
  <c r="W230" i="9"/>
  <c r="AA230" i="9" s="1"/>
  <c r="M231" i="9"/>
  <c r="Q231" i="9" s="1"/>
  <c r="N231" i="9"/>
  <c r="R231" i="9" s="1"/>
  <c r="O231" i="9"/>
  <c r="S231" i="9" s="1"/>
  <c r="U231" i="9"/>
  <c r="V231" i="9"/>
  <c r="W231" i="9"/>
  <c r="M232" i="9"/>
  <c r="Q232" i="9" s="1"/>
  <c r="N232" i="9"/>
  <c r="O232" i="9"/>
  <c r="S232" i="9" s="1"/>
  <c r="U232" i="9"/>
  <c r="Y232" i="9" s="1"/>
  <c r="V232" i="9"/>
  <c r="Z232" i="9" s="1"/>
  <c r="W232" i="9"/>
  <c r="AA232" i="9" s="1"/>
  <c r="M233" i="9"/>
  <c r="Q233" i="9" s="1"/>
  <c r="N233" i="9"/>
  <c r="O233" i="9"/>
  <c r="U233" i="9"/>
  <c r="V233" i="9"/>
  <c r="W233" i="9"/>
  <c r="AA233" i="9" s="1"/>
  <c r="M234" i="9"/>
  <c r="N234" i="9"/>
  <c r="O234" i="9"/>
  <c r="U234" i="9"/>
  <c r="V234" i="9"/>
  <c r="Z234" i="9" s="1"/>
  <c r="W234" i="9"/>
  <c r="AA234" i="9" s="1"/>
  <c r="M235" i="9"/>
  <c r="Q235" i="9" s="1"/>
  <c r="N235" i="9"/>
  <c r="O235" i="9"/>
  <c r="U235" i="9"/>
  <c r="V235" i="9"/>
  <c r="W235" i="9"/>
  <c r="C46" i="12"/>
  <c r="D46" i="12"/>
  <c r="E46" i="12"/>
  <c r="F46" i="12"/>
  <c r="G46" i="12"/>
  <c r="H46" i="12"/>
  <c r="I46" i="12"/>
  <c r="J46" i="12"/>
  <c r="K46" i="12"/>
  <c r="L46" i="12"/>
  <c r="M46" i="12"/>
  <c r="N46" i="12"/>
  <c r="C47" i="12"/>
  <c r="D47" i="12"/>
  <c r="E47" i="12"/>
  <c r="F47" i="12"/>
  <c r="F9" i="4"/>
  <c r="I9" i="4"/>
  <c r="L9" i="4"/>
  <c r="F10" i="4"/>
  <c r="I10" i="4"/>
  <c r="L10" i="4"/>
  <c r="F11" i="4"/>
  <c r="I11" i="4"/>
  <c r="L11" i="4"/>
  <c r="K9" i="1"/>
  <c r="B10" i="1"/>
  <c r="Y16" i="9"/>
  <c r="Y27" i="9"/>
  <c r="R54" i="9"/>
  <c r="Y40" i="9"/>
  <c r="S31" i="9"/>
  <c r="S32" i="9"/>
  <c r="S16" i="9"/>
  <c r="S7" i="9"/>
  <c r="S8" i="9"/>
  <c r="Z58" i="9"/>
  <c r="Z52" i="9"/>
  <c r="R15" i="9"/>
  <c r="AA13" i="9"/>
  <c r="Y11" i="9"/>
  <c r="Q8" i="9"/>
  <c r="Q16" i="9"/>
  <c r="Z38" i="9"/>
  <c r="S30" i="9"/>
  <c r="Y33" i="9"/>
  <c r="R7" i="9"/>
  <c r="R32" i="9"/>
  <c r="S54" i="9"/>
  <c r="Q11" i="9"/>
  <c r="Y26" i="9"/>
  <c r="Y59" i="9"/>
  <c r="S53" i="9"/>
  <c r="S12" i="9"/>
  <c r="R44" i="9"/>
  <c r="R22" i="9"/>
  <c r="Z41" i="9"/>
  <c r="AA20" i="9"/>
  <c r="S22" i="9"/>
  <c r="Y43" i="9"/>
  <c r="R8" i="9"/>
  <c r="R51" i="9"/>
  <c r="AA19" i="9"/>
  <c r="R25" i="9"/>
  <c r="R58" i="9"/>
  <c r="S52" i="9"/>
  <c r="Z40" i="9"/>
  <c r="Y56" i="9"/>
  <c r="Z62" i="9"/>
  <c r="Z33" i="9"/>
  <c r="Z26" i="9"/>
  <c r="Y13" i="9"/>
  <c r="Z47" i="9"/>
  <c r="Q43" i="9"/>
  <c r="S21" i="9"/>
  <c r="R28" i="9"/>
  <c r="H7" i="24"/>
  <c r="K7" i="24" s="1"/>
  <c r="R62" i="9"/>
  <c r="AA41" i="9"/>
  <c r="Z27" i="9"/>
  <c r="R19" i="9"/>
  <c r="S41" i="9"/>
  <c r="Q50" i="9"/>
  <c r="H8" i="24"/>
  <c r="Z59" i="9"/>
  <c r="Z60" i="9"/>
  <c r="AA62" i="9"/>
  <c r="Q28" i="9"/>
  <c r="I7" i="24"/>
  <c r="I8" i="24" s="1"/>
  <c r="Q58" i="9"/>
  <c r="S45" i="9"/>
  <c r="R35" i="9"/>
  <c r="Q13" i="9"/>
  <c r="Q46" i="9"/>
  <c r="S39" i="9"/>
  <c r="Y30" i="9"/>
  <c r="Y31" i="9"/>
  <c r="S19" i="9"/>
  <c r="S20" i="9"/>
  <c r="J6" i="24"/>
  <c r="G7" i="24"/>
  <c r="R57" i="9"/>
  <c r="Q29" i="9"/>
  <c r="Z56" i="9"/>
  <c r="Y36" i="9"/>
  <c r="AA12" i="9"/>
  <c r="Z11" i="9"/>
  <c r="R10" i="9"/>
  <c r="R11" i="9"/>
  <c r="S57" i="9"/>
  <c r="AA37" i="9"/>
  <c r="R37" i="9"/>
  <c r="AA18" i="9"/>
  <c r="Y51" i="9"/>
  <c r="Y52" i="9"/>
  <c r="R23" i="9"/>
  <c r="Z55" i="9"/>
  <c r="Z45" i="9"/>
  <c r="S354" i="9"/>
  <c r="R370" i="9"/>
  <c r="R372" i="9"/>
  <c r="AA159" i="9"/>
  <c r="Z273" i="9"/>
  <c r="Z134" i="9"/>
  <c r="AA36" i="9"/>
  <c r="S24" i="9"/>
  <c r="Z15" i="9"/>
  <c r="Q34" i="9"/>
  <c r="R367" i="9"/>
  <c r="Q31" i="9"/>
  <c r="AA43" i="9"/>
  <c r="Y49" i="9"/>
  <c r="S49" i="9"/>
  <c r="AA48" i="9"/>
  <c r="R27" i="9"/>
  <c r="AA15" i="9"/>
  <c r="AA16" i="9"/>
  <c r="S14" i="9"/>
  <c r="Y15" i="9"/>
  <c r="Z28" i="9"/>
  <c r="Q54" i="9"/>
  <c r="Q17" i="9"/>
  <c r="Q62" i="9"/>
  <c r="S35" i="9"/>
  <c r="R16" i="9"/>
  <c r="R17" i="9"/>
  <c r="Q26" i="9"/>
  <c r="Y53" i="9"/>
  <c r="S44" i="9"/>
  <c r="Q37" i="9"/>
  <c r="R33" i="9"/>
  <c r="AA23" i="9"/>
  <c r="R60" i="9"/>
  <c r="Q15" i="9"/>
  <c r="Z335" i="9"/>
  <c r="Q121" i="9"/>
  <c r="AA137" i="9"/>
  <c r="R371" i="9"/>
  <c r="Z353" i="9"/>
  <c r="R360" i="9"/>
  <c r="R269" i="9"/>
  <c r="AA81" i="9"/>
  <c r="S317" i="9"/>
  <c r="AA97" i="9"/>
  <c r="Q61" i="9"/>
  <c r="S56" i="9"/>
  <c r="AA50" i="9"/>
  <c r="AA51" i="9"/>
  <c r="Y47" i="9"/>
  <c r="R29" i="9"/>
  <c r="Z16" i="9"/>
  <c r="Y60" i="9"/>
  <c r="S36" i="9"/>
  <c r="S37" i="9"/>
  <c r="Z20" i="9"/>
  <c r="S271" i="9"/>
  <c r="AA108" i="9"/>
  <c r="AA109" i="9"/>
  <c r="AA46" i="9"/>
  <c r="Z42" i="9"/>
  <c r="AA40" i="9"/>
  <c r="Y44" i="9"/>
  <c r="Y45" i="9"/>
  <c r="AA25" i="9"/>
  <c r="AA26" i="9"/>
  <c r="Q384" i="9"/>
  <c r="AA60" i="9"/>
  <c r="S59" i="9"/>
  <c r="S60" i="9"/>
  <c r="Q48" i="9"/>
  <c r="Q49" i="9"/>
  <c r="AA30" i="9"/>
  <c r="AA31" i="9"/>
  <c r="S10" i="9"/>
  <c r="S11" i="9"/>
  <c r="Q56" i="9"/>
  <c r="R48" i="9"/>
  <c r="R59" i="9"/>
  <c r="S34" i="9"/>
  <c r="AA33" i="9"/>
  <c r="R26" i="9"/>
  <c r="R21" i="9"/>
  <c r="Z14" i="9"/>
  <c r="Q12" i="9"/>
  <c r="Y57" i="9"/>
  <c r="R52" i="9"/>
  <c r="S50" i="9"/>
  <c r="AA49" i="9"/>
  <c r="Y39" i="9"/>
  <c r="Q21" i="9"/>
  <c r="S13" i="9"/>
  <c r="AA146" i="9"/>
  <c r="AA38" i="9"/>
  <c r="Y28" i="9"/>
  <c r="AA21" i="9"/>
  <c r="R39" i="9"/>
  <c r="AA56" i="9"/>
  <c r="Y55" i="9"/>
  <c r="R42" i="9"/>
  <c r="Y41" i="9"/>
  <c r="Z37" i="9"/>
  <c r="Q33" i="9"/>
  <c r="R30" i="9"/>
  <c r="Z29" i="9"/>
  <c r="Q25" i="9"/>
  <c r="Z21" i="9"/>
  <c r="Y12" i="9"/>
  <c r="S43" i="9"/>
  <c r="Z169" i="9"/>
  <c r="Y290" i="9"/>
  <c r="Q335" i="9"/>
  <c r="Q345" i="9"/>
  <c r="Y322" i="9"/>
  <c r="Y382" i="9"/>
  <c r="Y304" i="9"/>
  <c r="Y321" i="9"/>
  <c r="Y371" i="9"/>
  <c r="Q371" i="9"/>
  <c r="Q83" i="9"/>
  <c r="Y343" i="9"/>
  <c r="Q256" i="9"/>
  <c r="Q82" i="9"/>
  <c r="AA377" i="9"/>
  <c r="R382" i="9"/>
  <c r="R323" i="9"/>
  <c r="S381" i="9"/>
  <c r="S337" i="9"/>
  <c r="Q357" i="9"/>
  <c r="Q374" i="9"/>
  <c r="R288" i="9"/>
  <c r="AA322" i="9"/>
  <c r="Z310" i="9"/>
  <c r="T415" i="9"/>
  <c r="S376" i="9"/>
  <c r="AA113" i="9"/>
  <c r="S359" i="9"/>
  <c r="R356" i="9"/>
  <c r="AA372" i="9"/>
  <c r="AA373" i="9"/>
  <c r="AA366" i="9"/>
  <c r="Z386" i="9"/>
  <c r="AA384" i="9"/>
  <c r="AA79" i="9"/>
  <c r="AA107" i="9"/>
  <c r="AA186" i="9"/>
  <c r="R387" i="9"/>
  <c r="S358" i="9"/>
  <c r="R347" i="9"/>
  <c r="R366" i="9"/>
  <c r="Q361" i="9"/>
  <c r="Z326" i="9"/>
  <c r="S387" i="9"/>
  <c r="Q377" i="9"/>
  <c r="Q385" i="9"/>
  <c r="Y377" i="9"/>
  <c r="Z379" i="9"/>
  <c r="Z395" i="9"/>
  <c r="S395" i="9"/>
  <c r="AA78" i="9"/>
  <c r="Z385" i="9"/>
  <c r="R350" i="9"/>
  <c r="AA185" i="9"/>
  <c r="AA144" i="9"/>
  <c r="AA83" i="9"/>
  <c r="S91" i="9"/>
  <c r="G26" i="6"/>
  <c r="D26" i="6"/>
  <c r="AA347" i="9"/>
  <c r="AA147" i="9"/>
  <c r="AA376" i="9"/>
  <c r="AA297" i="9"/>
  <c r="AA142" i="9"/>
  <c r="Q191" i="9"/>
  <c r="R302" i="9"/>
  <c r="S390" i="9"/>
  <c r="S389" i="9"/>
  <c r="Q114" i="9"/>
  <c r="AA99" i="9"/>
  <c r="AA100" i="9"/>
  <c r="S265" i="9"/>
  <c r="S290" i="9"/>
  <c r="Q134" i="9"/>
  <c r="Y288" i="9"/>
  <c r="S98" i="9"/>
  <c r="Q63" i="9"/>
  <c r="AA171" i="9"/>
  <c r="AA172" i="9"/>
  <c r="AA164" i="9"/>
  <c r="AA344" i="9"/>
  <c r="Z109" i="9"/>
  <c r="AA96" i="9"/>
  <c r="S297" i="9"/>
  <c r="Y350" i="9"/>
  <c r="Q288" i="9"/>
  <c r="Y353" i="9"/>
  <c r="AA314" i="9"/>
  <c r="AA111" i="9"/>
  <c r="AA82" i="9"/>
  <c r="D12" i="2"/>
  <c r="D6" i="4" s="1"/>
  <c r="C26" i="7"/>
  <c r="AA149" i="9"/>
  <c r="Y380" i="9"/>
  <c r="S364" i="9"/>
  <c r="S365" i="9"/>
  <c r="Y283" i="9"/>
  <c r="Y284" i="9"/>
  <c r="R332" i="9"/>
  <c r="AA300" i="9"/>
  <c r="AA299" i="9"/>
  <c r="AA191" i="9"/>
  <c r="Z123" i="9"/>
  <c r="Q97" i="9"/>
  <c r="R294" i="9"/>
  <c r="AA105" i="9"/>
  <c r="AA106" i="9"/>
  <c r="Q105" i="9"/>
  <c r="Y79" i="9"/>
  <c r="R248" i="9"/>
  <c r="Q276" i="9"/>
  <c r="R271" i="9"/>
  <c r="R272" i="9"/>
  <c r="Z90" i="9"/>
  <c r="R260" i="9"/>
  <c r="AA141" i="9"/>
  <c r="S63" i="9"/>
  <c r="AA139" i="9"/>
  <c r="AA305" i="9"/>
  <c r="AA86" i="9"/>
  <c r="AA87" i="9"/>
  <c r="R391" i="9"/>
  <c r="R392" i="9"/>
  <c r="Q218" i="9"/>
  <c r="R297" i="9"/>
  <c r="Z313" i="9"/>
  <c r="AA151" i="9"/>
  <c r="S70" i="9"/>
  <c r="AA188" i="9"/>
  <c r="Q287" i="9"/>
  <c r="AA94" i="9"/>
  <c r="S84" i="9"/>
  <c r="AA170" i="9"/>
  <c r="AA157" i="9"/>
  <c r="AA273" i="9"/>
  <c r="S360" i="9"/>
  <c r="C369" i="24"/>
  <c r="P370" i="24" s="1"/>
  <c r="Z382" i="9"/>
  <c r="Z148" i="9"/>
  <c r="AA183" i="9"/>
  <c r="AA135" i="9"/>
  <c r="Z252" i="9"/>
  <c r="Q162" i="9"/>
  <c r="Y294" i="9"/>
  <c r="Z117" i="9"/>
  <c r="AA116" i="9"/>
  <c r="AA115" i="9"/>
  <c r="Y293" i="9"/>
  <c r="AA312" i="9"/>
  <c r="AA313" i="9"/>
  <c r="Z158" i="9"/>
  <c r="Q269" i="9"/>
  <c r="Y268" i="9"/>
  <c r="Y269" i="9"/>
  <c r="AA203" i="9"/>
  <c r="Q226" i="9"/>
  <c r="Q136" i="9"/>
  <c r="AA174" i="9"/>
  <c r="AA63" i="9"/>
  <c r="AA337" i="9"/>
  <c r="S361" i="9"/>
  <c r="AA361" i="9"/>
  <c r="AA362" i="9"/>
  <c r="Q369" i="9"/>
  <c r="Q370" i="9"/>
  <c r="S374" i="9"/>
  <c r="Z377" i="9"/>
  <c r="Q117" i="9"/>
  <c r="Q340" i="9"/>
  <c r="R359" i="9"/>
  <c r="Q376" i="9"/>
  <c r="AA143" i="9"/>
  <c r="AA261" i="9"/>
  <c r="R376" i="9"/>
  <c r="AA386" i="9"/>
  <c r="C468" i="24"/>
  <c r="P469" i="24" s="1"/>
  <c r="C442" i="24"/>
  <c r="N443" i="24" s="1"/>
  <c r="C420" i="24"/>
  <c r="C364" i="24"/>
  <c r="C387" i="24"/>
  <c r="C374" i="24"/>
  <c r="C546" i="24"/>
  <c r="C505" i="24"/>
  <c r="C416" i="24"/>
  <c r="P417" i="24" s="1"/>
  <c r="C548" i="24"/>
  <c r="C547" i="24"/>
  <c r="P548" i="24" s="1"/>
  <c r="C479" i="24"/>
  <c r="C515" i="24"/>
  <c r="C508" i="24"/>
  <c r="P533" i="24" s="1"/>
  <c r="C535" i="24"/>
  <c r="P536" i="24" s="1"/>
  <c r="C554" i="24"/>
  <c r="P555" i="24" s="1"/>
  <c r="C415" i="24"/>
  <c r="N416" i="24" s="1"/>
  <c r="C439" i="24"/>
  <c r="P440" i="24" s="1"/>
  <c r="C426" i="24"/>
  <c r="C467" i="24"/>
  <c r="N468" i="24" s="1"/>
  <c r="C455" i="24"/>
  <c r="C461" i="24"/>
  <c r="N462" i="24" s="1"/>
  <c r="C444" i="24"/>
  <c r="C568" i="24"/>
  <c r="C365" i="24"/>
  <c r="C556" i="24"/>
  <c r="N557" i="24" s="1"/>
  <c r="C565" i="24"/>
  <c r="N566" i="24" s="1"/>
  <c r="C396" i="24"/>
  <c r="P397" i="24" s="1"/>
  <c r="C462" i="24"/>
  <c r="P463" i="24" s="1"/>
  <c r="C558" i="24"/>
  <c r="P559" i="24" s="1"/>
  <c r="C516" i="24"/>
  <c r="N517" i="24" s="1"/>
  <c r="C356" i="24"/>
  <c r="C485" i="24"/>
  <c r="N486" i="24" s="1"/>
  <c r="C552" i="24"/>
  <c r="N553" i="24" s="1"/>
  <c r="C500" i="24"/>
  <c r="N501" i="24" s="1"/>
  <c r="C363" i="24"/>
  <c r="C562" i="24"/>
  <c r="P563" i="24" s="1"/>
  <c r="C413" i="24"/>
  <c r="C484" i="24"/>
  <c r="N497" i="24" s="1"/>
  <c r="C545" i="24"/>
  <c r="P546" i="24" s="1"/>
  <c r="C454" i="24"/>
  <c r="N455" i="24" s="1"/>
  <c r="C482" i="24"/>
  <c r="N483" i="24" s="1"/>
  <c r="C453" i="24"/>
  <c r="C407" i="24"/>
  <c r="N408" i="24" s="1"/>
  <c r="C544" i="24"/>
  <c r="C425" i="24"/>
  <c r="P426" i="24" s="1"/>
  <c r="C391" i="24"/>
  <c r="C492" i="24"/>
  <c r="C471" i="24"/>
  <c r="C379" i="24"/>
  <c r="C424" i="24"/>
  <c r="N437" i="24" s="1"/>
  <c r="C481" i="24"/>
  <c r="C518" i="24"/>
  <c r="P519" i="24" s="1"/>
  <c r="C499" i="24"/>
  <c r="C463" i="24"/>
  <c r="N464" i="24" s="1"/>
  <c r="C477" i="24"/>
  <c r="P478" i="24" s="1"/>
  <c r="C486" i="24"/>
  <c r="C495" i="24"/>
  <c r="N496" i="24" s="1"/>
  <c r="C540" i="24"/>
  <c r="N541" i="24" s="1"/>
  <c r="C480" i="24"/>
  <c r="N481" i="24" s="1"/>
  <c r="C476" i="24"/>
  <c r="P477" i="24" s="1"/>
  <c r="C498" i="24"/>
  <c r="N499" i="24" s="1"/>
  <c r="C478" i="24"/>
  <c r="C372" i="24"/>
  <c r="P373" i="24" s="1"/>
  <c r="C509" i="24"/>
  <c r="P510" i="24" s="1"/>
  <c r="C410" i="24"/>
  <c r="N411" i="24" s="1"/>
  <c r="C457" i="24"/>
  <c r="C404" i="24"/>
  <c r="P405" i="24" s="1"/>
  <c r="C524" i="24"/>
  <c r="N525" i="24" s="1"/>
  <c r="C542" i="24"/>
  <c r="N543" i="24" s="1"/>
  <c r="C437" i="24"/>
  <c r="N438" i="24" s="1"/>
  <c r="C414" i="24"/>
  <c r="C445" i="24"/>
  <c r="N446" i="24" s="1"/>
  <c r="C493" i="24"/>
  <c r="N494" i="24" s="1"/>
  <c r="C433" i="24"/>
  <c r="C434" i="24"/>
  <c r="C436" i="24"/>
  <c r="C385" i="24"/>
  <c r="N386" i="24" s="1"/>
  <c r="C525" i="24"/>
  <c r="P526" i="24" s="1"/>
  <c r="C550" i="24"/>
  <c r="N551" i="24" s="1"/>
  <c r="C472" i="24"/>
  <c r="N473" i="24" s="1"/>
  <c r="C355" i="24"/>
  <c r="C551" i="24"/>
  <c r="P552" i="24" s="1"/>
  <c r="C483" i="24"/>
  <c r="P484" i="24" s="1"/>
  <c r="C394" i="24"/>
  <c r="P395" i="24" s="1"/>
  <c r="C419" i="24"/>
  <c r="C357" i="24"/>
  <c r="C398" i="24"/>
  <c r="N399" i="24" s="1"/>
  <c r="C513" i="24"/>
  <c r="N514" i="24" s="1"/>
  <c r="C423" i="24"/>
  <c r="C370" i="24"/>
  <c r="P371" i="24" s="1"/>
  <c r="C421" i="24"/>
  <c r="C506" i="24"/>
  <c r="C381" i="24"/>
  <c r="P382" i="24" s="1"/>
  <c r="C469" i="24"/>
  <c r="P470" i="24" s="1"/>
  <c r="C353" i="24"/>
  <c r="C430" i="24"/>
  <c r="N431" i="24" s="1"/>
  <c r="C452" i="24"/>
  <c r="N453" i="24" s="1"/>
  <c r="C459" i="24"/>
  <c r="N460" i="24" s="1"/>
  <c r="C384" i="24"/>
  <c r="P385" i="24" s="1"/>
  <c r="C443" i="24"/>
  <c r="N444" i="24" s="1"/>
  <c r="C501" i="24"/>
  <c r="P502" i="24" s="1"/>
  <c r="C448" i="24"/>
  <c r="C435" i="24"/>
  <c r="C438" i="24"/>
  <c r="C359" i="24"/>
  <c r="C514" i="24"/>
  <c r="C429" i="24"/>
  <c r="P430" i="24" s="1"/>
  <c r="C367" i="24"/>
  <c r="C533" i="24"/>
  <c r="N534" i="24" s="1"/>
  <c r="C559" i="24"/>
  <c r="P560" i="24" s="1"/>
  <c r="C497" i="24"/>
  <c r="P498" i="24" s="1"/>
  <c r="C441" i="24"/>
  <c r="P442" i="24" s="1"/>
  <c r="C530" i="24"/>
  <c r="P531" i="24" s="1"/>
  <c r="C503" i="24"/>
  <c r="P504" i="24" s="1"/>
  <c r="C371" i="24"/>
  <c r="P372" i="24" s="1"/>
  <c r="C386" i="24"/>
  <c r="P387" i="24" s="1"/>
  <c r="C507" i="24"/>
  <c r="P508" i="24" s="1"/>
  <c r="C460" i="24"/>
  <c r="C566" i="24"/>
  <c r="C490" i="24"/>
  <c r="N491" i="24" s="1"/>
  <c r="C526" i="24"/>
  <c r="P527" i="24" s="1"/>
  <c r="A3" i="2"/>
  <c r="C446" i="24"/>
  <c r="P447" i="24" s="1"/>
  <c r="C519" i="24"/>
  <c r="N520" i="24" s="1"/>
  <c r="C504" i="24"/>
  <c r="N505" i="24" s="1"/>
  <c r="C529" i="24"/>
  <c r="C405" i="24"/>
  <c r="C470" i="24"/>
  <c r="P471" i="24" s="1"/>
  <c r="C408" i="24"/>
  <c r="P409" i="24" s="1"/>
  <c r="C527" i="24"/>
  <c r="C549" i="24"/>
  <c r="C376" i="24"/>
  <c r="C560" i="24"/>
  <c r="N561" i="24" s="1"/>
  <c r="C406" i="24"/>
  <c r="N407" i="24" s="1"/>
  <c r="C393" i="24"/>
  <c r="N394" i="24" s="1"/>
  <c r="C447" i="24"/>
  <c r="N448" i="24" s="1"/>
  <c r="C366" i="24"/>
  <c r="C389" i="24"/>
  <c r="N390" i="24" s="1"/>
  <c r="C360" i="24"/>
  <c r="C451" i="24"/>
  <c r="P452" i="24" s="1"/>
  <c r="N447" i="24"/>
  <c r="P415" i="24"/>
  <c r="N415" i="24"/>
  <c r="P411" i="24"/>
  <c r="P481" i="24"/>
  <c r="N500" i="24"/>
  <c r="P500" i="24"/>
  <c r="P460" i="24"/>
  <c r="N422" i="24"/>
  <c r="P422" i="24"/>
  <c r="N420" i="24"/>
  <c r="P420" i="24"/>
  <c r="P473" i="24"/>
  <c r="N510" i="24"/>
  <c r="N387" i="24"/>
  <c r="P551" i="24"/>
  <c r="N555" i="24"/>
  <c r="N549" i="24"/>
  <c r="P549" i="24"/>
  <c r="N426" i="24"/>
  <c r="N397" i="24"/>
  <c r="P485" i="24"/>
  <c r="P468" i="24"/>
  <c r="N533" i="24"/>
  <c r="P506" i="24"/>
  <c r="N506" i="24"/>
  <c r="P443" i="24"/>
  <c r="P446" i="24"/>
  <c r="P458" i="24"/>
  <c r="N458" i="24"/>
  <c r="N380" i="24"/>
  <c r="P380" i="24"/>
  <c r="P414" i="24"/>
  <c r="N414" i="24"/>
  <c r="P557" i="24"/>
  <c r="P427" i="24"/>
  <c r="N427" i="24"/>
  <c r="N516" i="24"/>
  <c r="P516" i="24"/>
  <c r="N547" i="24"/>
  <c r="P547" i="24"/>
  <c r="E406" i="9"/>
  <c r="F404" i="9"/>
  <c r="D405" i="9"/>
  <c r="F405" i="9"/>
  <c r="D404" i="9"/>
  <c r="E407" i="9"/>
  <c r="E405" i="9"/>
  <c r="E404" i="9"/>
  <c r="S349" i="9" l="1"/>
  <c r="R242" i="9"/>
  <c r="Q242" i="9"/>
  <c r="Y243" i="9"/>
  <c r="AA248" i="9"/>
  <c r="R250" i="9"/>
  <c r="S251" i="9"/>
  <c r="Z253" i="9"/>
  <c r="S264" i="9"/>
  <c r="Y259" i="9"/>
  <c r="Z269" i="9"/>
  <c r="Q257" i="9"/>
  <c r="R293" i="9"/>
  <c r="R295" i="9"/>
  <c r="Z284" i="9"/>
  <c r="Z280" i="9"/>
  <c r="S338" i="9"/>
  <c r="S333" i="9"/>
  <c r="AA309" i="9"/>
  <c r="AA304" i="9"/>
  <c r="Z64" i="9"/>
  <c r="Q337" i="9"/>
  <c r="R334" i="9"/>
  <c r="Z306" i="9"/>
  <c r="Y387" i="9"/>
  <c r="R130" i="9"/>
  <c r="R96" i="9"/>
  <c r="S280" i="9"/>
  <c r="Q138" i="9"/>
  <c r="Q84" i="9"/>
  <c r="Y240" i="9"/>
  <c r="Z334" i="9"/>
  <c r="R184" i="9"/>
  <c r="R175" i="9"/>
  <c r="N470" i="24"/>
  <c r="P407" i="24"/>
  <c r="N560" i="24"/>
  <c r="C431" i="24"/>
  <c r="Y78" i="9"/>
  <c r="Y75" i="9"/>
  <c r="Y222" i="9"/>
  <c r="Y108" i="9"/>
  <c r="Q258" i="9"/>
  <c r="Q275" i="9"/>
  <c r="R352" i="9"/>
  <c r="Y334" i="9"/>
  <c r="R330" i="9"/>
  <c r="R328" i="9"/>
  <c r="S322" i="9"/>
  <c r="S320" i="9"/>
  <c r="Q319" i="9"/>
  <c r="Z317" i="9"/>
  <c r="Z315" i="9"/>
  <c r="R315" i="9"/>
  <c r="Z311" i="9"/>
  <c r="S307" i="9"/>
  <c r="R304" i="9"/>
  <c r="R303" i="9"/>
  <c r="R300" i="9"/>
  <c r="Q298" i="9"/>
  <c r="Z297" i="9"/>
  <c r="R353" i="9"/>
  <c r="Z356" i="9"/>
  <c r="Q358" i="9"/>
  <c r="Q360" i="9"/>
  <c r="Q365" i="9"/>
  <c r="AA367" i="9"/>
  <c r="Y368" i="9"/>
  <c r="Z368" i="9"/>
  <c r="AA371" i="9"/>
  <c r="R374" i="9"/>
  <c r="R379" i="9"/>
  <c r="Q379" i="9"/>
  <c r="R381" i="9"/>
  <c r="Z381" i="9"/>
  <c r="R383" i="9"/>
  <c r="Q388" i="9"/>
  <c r="Z390" i="9"/>
  <c r="R390" i="9"/>
  <c r="Z392" i="9"/>
  <c r="R393" i="9"/>
  <c r="Z270" i="9"/>
  <c r="S267" i="9"/>
  <c r="S261" i="9"/>
  <c r="Z275" i="9"/>
  <c r="S291" i="9"/>
  <c r="S353" i="9"/>
  <c r="AA348" i="9"/>
  <c r="Y154" i="9"/>
  <c r="Y74" i="9"/>
  <c r="Y171" i="9"/>
  <c r="Q243" i="9"/>
  <c r="Y226" i="9"/>
  <c r="R240" i="9"/>
  <c r="S240" i="9"/>
  <c r="AA247" i="9"/>
  <c r="AA254" i="9"/>
  <c r="AA255" i="9"/>
  <c r="N469" i="24"/>
  <c r="P453" i="24"/>
  <c r="P386" i="24"/>
  <c r="P390" i="24"/>
  <c r="P561" i="24"/>
  <c r="N502" i="24"/>
  <c r="N382" i="24"/>
  <c r="N409" i="24"/>
  <c r="P464" i="24"/>
  <c r="N471" i="24"/>
  <c r="P566" i="24"/>
  <c r="N536" i="24"/>
  <c r="C397" i="24"/>
  <c r="C388" i="24"/>
  <c r="P389" i="24" s="1"/>
  <c r="C383" i="24"/>
  <c r="C538" i="24"/>
  <c r="C382" i="24"/>
  <c r="C561" i="24"/>
  <c r="C422" i="24"/>
  <c r="C399" i="24"/>
  <c r="P400" i="24" s="1"/>
  <c r="N498" i="24"/>
  <c r="P486" i="24"/>
  <c r="C418" i="24"/>
  <c r="B7" i="2"/>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16" i="9"/>
  <c r="R209" i="9"/>
  <c r="R229" i="9"/>
  <c r="R218" i="9"/>
  <c r="R186" i="9"/>
  <c r="R181" i="9"/>
  <c r="R177" i="9"/>
  <c r="R138" i="9"/>
  <c r="R122" i="9"/>
  <c r="R119" i="9"/>
  <c r="R113" i="9"/>
  <c r="R110" i="9"/>
  <c r="R105" i="9"/>
  <c r="R102" i="9"/>
  <c r="R98" i="9"/>
  <c r="R95" i="9"/>
  <c r="R86" i="9"/>
  <c r="R77" i="9"/>
  <c r="R74" i="9"/>
  <c r="Z218" i="9"/>
  <c r="Z163" i="9"/>
  <c r="Z316" i="9"/>
  <c r="Y236" i="9"/>
  <c r="AA350" i="9"/>
  <c r="Z372" i="9"/>
  <c r="N477" i="24"/>
  <c r="P399" i="24"/>
  <c r="P455" i="24"/>
  <c r="P394" i="24"/>
  <c r="P483" i="24"/>
  <c r="E26" i="6"/>
  <c r="H26" i="6"/>
  <c r="C557" i="24"/>
  <c r="C411" i="24"/>
  <c r="C380" i="24"/>
  <c r="G26" i="7"/>
  <c r="C567" i="24"/>
  <c r="C464" i="24"/>
  <c r="P465" i="24" s="1"/>
  <c r="C502" i="24"/>
  <c r="N503" i="24" s="1"/>
  <c r="C555" i="24"/>
  <c r="C473" i="24"/>
  <c r="C510" i="24"/>
  <c r="C432" i="24"/>
  <c r="C539" i="24"/>
  <c r="C537" i="24"/>
  <c r="C541" i="24"/>
  <c r="C536" i="24"/>
  <c r="E26" i="5"/>
  <c r="H26" i="5"/>
  <c r="E26" i="7"/>
  <c r="C362" i="24"/>
  <c r="C440" i="24"/>
  <c r="H26" i="7"/>
  <c r="C390" i="24"/>
  <c r="N391" i="24" s="1"/>
  <c r="C521" i="24"/>
  <c r="N522" i="24" s="1"/>
  <c r="C494" i="24"/>
  <c r="C378" i="24"/>
  <c r="N379" i="24" s="1"/>
  <c r="C427" i="24"/>
  <c r="C564" i="24"/>
  <c r="C377" i="24"/>
  <c r="C523" i="24"/>
  <c r="C428" i="24"/>
  <c r="C375" i="24"/>
  <c r="F26" i="6"/>
  <c r="C26" i="6"/>
  <c r="C456" i="24"/>
  <c r="C531" i="24"/>
  <c r="C373" i="24"/>
  <c r="F26" i="7"/>
  <c r="C368" i="24"/>
  <c r="C532" i="24"/>
  <c r="C450" i="24"/>
  <c r="P451" i="24" s="1"/>
  <c r="C553" i="24"/>
  <c r="N554" i="24" s="1"/>
  <c r="C403" i="24"/>
  <c r="P404" i="24" s="1"/>
  <c r="C409" i="24"/>
  <c r="P410" i="24" s="1"/>
  <c r="C395" i="24"/>
  <c r="P396" i="24" s="1"/>
  <c r="C465" i="24"/>
  <c r="N466" i="24" s="1"/>
  <c r="C417" i="24"/>
  <c r="N418" i="24" s="1"/>
  <c r="C361" i="24"/>
  <c r="C528" i="24"/>
  <c r="P529" i="24" s="1"/>
  <c r="F26" i="5"/>
  <c r="C26" i="5"/>
  <c r="A571" i="24"/>
  <c r="C489" i="24"/>
  <c r="D26" i="7"/>
  <c r="C491" i="24"/>
  <c r="C522" i="24"/>
  <c r="N523" i="24" s="1"/>
  <c r="C474" i="24"/>
  <c r="C354" i="24"/>
  <c r="C458" i="24"/>
  <c r="C449" i="24"/>
  <c r="P450" i="24" s="1"/>
  <c r="C512" i="24"/>
  <c r="C511" i="24"/>
  <c r="C520" i="24"/>
  <c r="C400" i="24"/>
  <c r="G26" i="5"/>
  <c r="C517" i="24"/>
  <c r="N518" i="24" s="1"/>
  <c r="C496" i="24"/>
  <c r="N521" i="24" s="1"/>
  <c r="C401" i="24"/>
  <c r="D26" i="5"/>
  <c r="C475" i="24"/>
  <c r="P476" i="24" s="1"/>
  <c r="C412" i="24"/>
  <c r="N425" i="24" s="1"/>
  <c r="C402" i="24"/>
  <c r="N403" i="24" s="1"/>
  <c r="C563" i="24"/>
  <c r="C358" i="24"/>
  <c r="C466" i="24"/>
  <c r="C543" i="24"/>
  <c r="C534" i="24"/>
  <c r="C487" i="24"/>
  <c r="C488" i="24"/>
  <c r="C392" i="24"/>
  <c r="P432" i="24"/>
  <c r="N432" i="24"/>
  <c r="N478" i="24"/>
  <c r="P416" i="24"/>
  <c r="P462" i="24"/>
  <c r="P505" i="24"/>
  <c r="N552" i="24"/>
  <c r="N405" i="24"/>
  <c r="P444" i="24"/>
  <c r="P501"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N519" i="24"/>
  <c r="P438" i="24"/>
  <c r="P518" i="24"/>
  <c r="N484" i="24"/>
  <c r="P522" i="24"/>
  <c r="P541" i="24"/>
  <c r="N546" i="24"/>
  <c r="N508" i="24"/>
  <c r="P523" i="24"/>
  <c r="N440"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19"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P509" i="24"/>
  <c r="N385" i="24"/>
  <c r="N417" i="24"/>
  <c r="N527" i="24"/>
  <c r="N563" i="24"/>
  <c r="P521" i="24"/>
  <c r="N404" i="24"/>
  <c r="N476" i="24"/>
  <c r="P497" i="24"/>
  <c r="P496" i="24"/>
  <c r="P553" i="24"/>
  <c r="P494" i="24"/>
  <c r="N410" i="24"/>
  <c r="P534" i="24"/>
  <c r="P449" i="24"/>
  <c r="N452" i="24"/>
  <c r="N373" i="24"/>
  <c r="N371" i="24"/>
  <c r="P448" i="24"/>
  <c r="N396" i="24"/>
  <c r="P379" i="24"/>
  <c r="N465" i="24"/>
  <c r="N529" i="24"/>
  <c r="N531" i="24"/>
  <c r="N449" i="24"/>
  <c r="P418" i="24"/>
  <c r="N395" i="24"/>
  <c r="P520" i="24"/>
  <c r="P437" i="24"/>
  <c r="N463" i="24"/>
  <c r="P543" i="24"/>
  <c r="P431" i="24"/>
  <c r="N548" i="24"/>
  <c r="AA53" i="9"/>
  <c r="AA54" i="9"/>
  <c r="AA241" i="9"/>
  <c r="AA242" i="9"/>
  <c r="S105" i="9"/>
  <c r="S106" i="9"/>
  <c r="Z18" i="9"/>
  <c r="Z19" i="9"/>
  <c r="Q240" i="9"/>
  <c r="Q241" i="9"/>
  <c r="AA250" i="9"/>
  <c r="AA251" i="9"/>
  <c r="S259" i="9"/>
  <c r="S258" i="9"/>
  <c r="R292" i="9"/>
  <c r="R291" i="9"/>
  <c r="Z394" i="9"/>
  <c r="Z393" i="9"/>
  <c r="Q51" i="9"/>
  <c r="Q52" i="9"/>
  <c r="AA239" i="9"/>
  <c r="AA240" i="9"/>
  <c r="S242" i="9"/>
  <c r="S243" i="9"/>
  <c r="P377" i="24"/>
  <c r="N377" i="24"/>
  <c r="P436" i="24"/>
  <c r="N436" i="24"/>
  <c r="N472" i="24"/>
  <c r="P472" i="24"/>
  <c r="N454" i="24"/>
  <c r="P454" i="24"/>
  <c r="N550" i="24"/>
  <c r="P550" i="24"/>
  <c r="N406" i="24"/>
  <c r="P406" i="24"/>
  <c r="P530" i="24"/>
  <c r="N530" i="24"/>
  <c r="P567" i="24"/>
  <c r="N567" i="24"/>
  <c r="P412" i="24"/>
  <c r="N412" i="24"/>
  <c r="P439" i="24"/>
  <c r="N439" i="24"/>
  <c r="N507" i="24"/>
  <c r="P507" i="24"/>
  <c r="N434" i="24"/>
  <c r="P434" i="24"/>
  <c r="N479" i="24"/>
  <c r="P479" i="24"/>
  <c r="N487" i="24"/>
  <c r="P487" i="24"/>
  <c r="N376" i="24"/>
  <c r="P376" i="24"/>
  <c r="N429" i="24"/>
  <c r="P429" i="24"/>
  <c r="N524" i="24"/>
  <c r="P524" i="24"/>
  <c r="N388" i="24"/>
  <c r="P388" i="24"/>
  <c r="P491" i="24"/>
  <c r="P493" i="24"/>
  <c r="N493" i="24"/>
  <c r="N441" i="24"/>
  <c r="P441" i="24"/>
  <c r="N532" i="24"/>
  <c r="P532" i="24"/>
  <c r="N509" i="24"/>
  <c r="N485" i="24"/>
  <c r="H9" i="24"/>
  <c r="K8" i="24"/>
  <c r="Q216" i="9"/>
  <c r="P425" i="24"/>
  <c r="P413" i="24"/>
  <c r="N413" i="24"/>
  <c r="P475" i="24"/>
  <c r="N475" i="24"/>
  <c r="AA215" i="9"/>
  <c r="AA216" i="9"/>
  <c r="R178" i="9"/>
  <c r="R179" i="9"/>
  <c r="AA28" i="9"/>
  <c r="AA29" i="9"/>
  <c r="S27" i="9"/>
  <c r="S28" i="9"/>
  <c r="Y309" i="9"/>
  <c r="Y310" i="9"/>
  <c r="Y300" i="9"/>
  <c r="Y301" i="9"/>
  <c r="S373" i="9"/>
  <c r="S372" i="9"/>
  <c r="P503" i="24"/>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R142" i="9"/>
  <c r="AA93" i="9"/>
  <c r="R73" i="9"/>
  <c r="Z53" i="9"/>
  <c r="Y23" i="9"/>
  <c r="Y20" i="9"/>
  <c r="S276" i="9"/>
  <c r="AA320" i="9"/>
  <c r="Q359" i="9"/>
  <c r="Z373" i="9"/>
  <c r="Y374" i="9"/>
  <c r="Q391" i="9"/>
  <c r="R70" i="9"/>
  <c r="R71" i="9"/>
  <c r="Z61" i="9"/>
  <c r="Y37" i="9"/>
  <c r="Q19" i="9"/>
  <c r="AA292" i="9"/>
  <c r="Q364" i="9"/>
  <c r="AA370" i="9"/>
  <c r="T417" i="9"/>
  <c r="Y85" i="9"/>
  <c r="Y84" i="9"/>
  <c r="S274" i="9"/>
  <c r="Z290" i="9"/>
  <c r="R348" i="9"/>
  <c r="Y126" i="9"/>
  <c r="S102" i="9"/>
  <c r="R34" i="9"/>
  <c r="AA27" i="9"/>
  <c r="Q20" i="9"/>
  <c r="Y266" i="9"/>
  <c r="AA339" i="9"/>
  <c r="Z338" i="9"/>
  <c r="S327" i="9"/>
  <c r="R314" i="9"/>
  <c r="AA301" i="9"/>
  <c r="AA357" i="9"/>
  <c r="AA358" i="9"/>
  <c r="Q362" i="9"/>
  <c r="Z363" i="9"/>
  <c r="D406" i="9"/>
  <c r="F406" i="9"/>
  <c r="E408" i="9"/>
  <c r="N389" i="24" l="1"/>
  <c r="N400" i="24"/>
  <c r="N539" i="24"/>
  <c r="P539" i="24"/>
  <c r="P384" i="24"/>
  <c r="N384" i="24"/>
  <c r="N419" i="24"/>
  <c r="P419" i="24"/>
  <c r="N423" i="24"/>
  <c r="P423" i="24"/>
  <c r="N562" i="24"/>
  <c r="P562" i="24"/>
  <c r="N398" i="24"/>
  <c r="P398" i="24"/>
  <c r="N393" i="24"/>
  <c r="P393" i="24"/>
  <c r="P467" i="24"/>
  <c r="N467" i="24"/>
  <c r="N492" i="24"/>
  <c r="P492" i="24"/>
  <c r="N537" i="24"/>
  <c r="P537" i="24"/>
  <c r="P511" i="24"/>
  <c r="N511" i="24"/>
  <c r="N489" i="24"/>
  <c r="P489" i="24"/>
  <c r="N457" i="24"/>
  <c r="P457" i="24"/>
  <c r="P474" i="24"/>
  <c r="N474" i="24"/>
  <c r="P466" i="24"/>
  <c r="N488" i="24"/>
  <c r="P488" i="24"/>
  <c r="P564" i="24"/>
  <c r="N564" i="24"/>
  <c r="N401" i="24"/>
  <c r="P401" i="24"/>
  <c r="P459" i="24"/>
  <c r="N459" i="24"/>
  <c r="P490" i="24"/>
  <c r="N490" i="24"/>
  <c r="N565" i="24"/>
  <c r="P565" i="24"/>
  <c r="P538" i="24"/>
  <c r="N538" i="24"/>
  <c r="N556" i="24"/>
  <c r="P556" i="24"/>
  <c r="N542" i="24"/>
  <c r="P542" i="24"/>
  <c r="P391" i="24"/>
  <c r="P535" i="24"/>
  <c r="N535" i="24"/>
  <c r="P545" i="24"/>
  <c r="N545" i="24"/>
  <c r="P369" i="24"/>
  <c r="N369" i="24"/>
  <c r="P428" i="24"/>
  <c r="N428" i="24"/>
  <c r="N402" i="24"/>
  <c r="P402" i="24"/>
  <c r="N450" i="24"/>
  <c r="N512" i="24"/>
  <c r="P512" i="24"/>
  <c r="P540" i="24"/>
  <c r="N540" i="24"/>
  <c r="P378" i="24"/>
  <c r="N378" i="24"/>
  <c r="N381" i="24"/>
  <c r="P381" i="24"/>
  <c r="N451" i="24"/>
  <c r="P544" i="24"/>
  <c r="N544" i="24"/>
  <c r="P513" i="24"/>
  <c r="N513" i="24"/>
  <c r="P374" i="24"/>
  <c r="N374" i="24"/>
  <c r="P433" i="24"/>
  <c r="N433" i="24"/>
  <c r="P408" i="24"/>
  <c r="P499" i="24"/>
  <c r="P514" i="24"/>
  <c r="N526" i="24"/>
  <c r="N372" i="24"/>
  <c r="N442" i="24"/>
  <c r="P435" i="24"/>
  <c r="N435" i="24"/>
  <c r="P456" i="24"/>
  <c r="N456" i="24"/>
  <c r="N421" i="24"/>
  <c r="P421"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N495" i="24"/>
  <c r="P495" i="24"/>
  <c r="N383" i="24"/>
  <c r="P383" i="24"/>
  <c r="N568" i="24"/>
  <c r="P568" i="24"/>
  <c r="Y188" i="9"/>
  <c r="Y189" i="9"/>
  <c r="Y24" i="9"/>
  <c r="Y25" i="9"/>
  <c r="Z254" i="9"/>
  <c r="Z255" i="9"/>
  <c r="Y256" i="9"/>
  <c r="Y255" i="9"/>
  <c r="Z266" i="9"/>
  <c r="Z267" i="9"/>
  <c r="Z260" i="9"/>
  <c r="Z261" i="9"/>
  <c r="Z259" i="9"/>
  <c r="Z258" i="9"/>
  <c r="R277" i="9"/>
  <c r="R276" i="9"/>
  <c r="R278" i="9"/>
  <c r="R279" i="9"/>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AA390" i="9"/>
  <c r="Y386" i="9"/>
  <c r="R206" i="9"/>
  <c r="R205" i="9"/>
  <c r="Z171" i="9"/>
  <c r="S38" i="9"/>
  <c r="S287" i="9"/>
  <c r="Q343" i="9"/>
  <c r="S383" i="9"/>
  <c r="N559" i="24"/>
  <c r="N370" i="24"/>
  <c r="R385" i="9"/>
  <c r="Y234" i="9"/>
  <c r="R230" i="9"/>
  <c r="Z228" i="9"/>
  <c r="R204" i="9"/>
  <c r="S175" i="9"/>
  <c r="Q168" i="9"/>
  <c r="Z164" i="9"/>
  <c r="S9" i="9"/>
  <c r="Z248" i="9"/>
  <c r="AA335" i="9"/>
  <c r="AA334" i="9"/>
  <c r="R388" i="9"/>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18"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J8" i="24"/>
  <c r="G9" i="24"/>
  <c r="K9" i="24"/>
  <c r="H10" i="24"/>
  <c r="F407" i="9"/>
  <c r="D407" i="9"/>
  <c r="E409" i="9"/>
  <c r="L9" i="24" l="1"/>
  <c r="I10" i="24"/>
  <c r="J9" i="24"/>
  <c r="G10" i="24"/>
  <c r="H11" i="24"/>
  <c r="K10" i="24"/>
  <c r="F408" i="9"/>
  <c r="D408" i="9"/>
  <c r="D16" i="2" l="1"/>
  <c r="D10" i="4" s="1"/>
  <c r="H27" i="6"/>
  <c r="G27" i="7"/>
  <c r="C27" i="6"/>
  <c r="F27" i="7"/>
  <c r="D27" i="5"/>
  <c r="G27" i="5"/>
  <c r="G27" i="6"/>
  <c r="F27" i="6"/>
  <c r="D27" i="7"/>
  <c r="D27" i="6"/>
  <c r="F27" i="5"/>
  <c r="C27" i="7"/>
  <c r="E27" i="6"/>
  <c r="C27" i="5"/>
  <c r="E27" i="5"/>
  <c r="E27" i="7"/>
  <c r="L10" i="24"/>
  <c r="I11" i="24"/>
  <c r="H12" i="24"/>
  <c r="K11" i="24"/>
  <c r="J10" i="24"/>
  <c r="G11" i="24"/>
  <c r="D409" i="9"/>
  <c r="F409" i="9"/>
  <c r="D15" i="2" l="1"/>
  <c r="D9" i="4" s="1"/>
  <c r="H27" i="5"/>
  <c r="H27" i="7"/>
  <c r="D17" i="2"/>
  <c r="D11" i="4" s="1"/>
  <c r="L11" i="24"/>
  <c r="I12" i="24"/>
  <c r="J11" i="24"/>
  <c r="G12" i="24"/>
  <c r="K12" i="24"/>
  <c r="H13" i="24"/>
  <c r="B8" i="2" l="1"/>
  <c r="B3" i="4" s="1"/>
  <c r="I13" i="24"/>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V406" i="9"/>
  <c r="Y405" i="9"/>
  <c r="V467" i="10"/>
  <c r="Q469" i="10"/>
  <c r="Y469" i="10"/>
  <c r="W407" i="9"/>
  <c r="E465" i="10"/>
  <c r="U464" i="10"/>
  <c r="N467" i="10"/>
  <c r="M407" i="9"/>
  <c r="V404" i="9"/>
  <c r="M468" i="10"/>
  <c r="K405" i="9"/>
  <c r="I469" i="10"/>
  <c r="D467" i="10"/>
  <c r="D464" i="10"/>
  <c r="V408" i="9"/>
  <c r="G468" i="10"/>
  <c r="M405" i="9"/>
  <c r="G469" i="10"/>
  <c r="S405" i="9"/>
  <c r="O466" i="10"/>
  <c r="N465" i="10"/>
  <c r="Z468" i="10"/>
  <c r="U466" i="10"/>
  <c r="I464" i="10"/>
  <c r="R466" i="10"/>
  <c r="D465" i="10"/>
  <c r="H467" i="10"/>
  <c r="AA405" i="9"/>
  <c r="Y407" i="9"/>
  <c r="M466" i="10"/>
  <c r="E464" i="10"/>
  <c r="I404" i="9"/>
  <c r="I405" i="9"/>
  <c r="K409" i="9"/>
  <c r="Y464" i="10"/>
  <c r="D469" i="10"/>
  <c r="AA406" i="9"/>
  <c r="N469" i="10"/>
  <c r="S464" i="10"/>
  <c r="Z466" i="10"/>
  <c r="S469" i="10"/>
  <c r="O467" i="10"/>
  <c r="M404" i="9"/>
  <c r="N405" i="9"/>
  <c r="U409" i="9"/>
  <c r="M408" i="9"/>
  <c r="I466" i="10"/>
  <c r="I465" i="10"/>
  <c r="M406" i="9"/>
  <c r="P465" i="10"/>
  <c r="Z467" i="10"/>
  <c r="O468" i="10"/>
  <c r="F468" i="10"/>
  <c r="AA464" i="10"/>
  <c r="U469" i="10"/>
  <c r="L465" i="10"/>
  <c r="L469" i="10"/>
  <c r="AA468" i="10"/>
  <c r="R407" i="9"/>
  <c r="F467" i="10"/>
  <c r="W468" i="10"/>
  <c r="N407" i="9"/>
  <c r="X467" i="10"/>
  <c r="P468" i="10"/>
  <c r="O406" i="9"/>
  <c r="Q467" i="10"/>
  <c r="Y408" i="9"/>
  <c r="W408" i="9"/>
  <c r="R468" i="10"/>
  <c r="R408" i="9"/>
  <c r="H464" i="10"/>
  <c r="V407" i="9"/>
  <c r="I407" i="9"/>
  <c r="R409" i="9"/>
  <c r="P469" i="10"/>
  <c r="H465" i="10"/>
  <c r="Y404" i="9"/>
  <c r="W404" i="9"/>
  <c r="F464" i="10"/>
  <c r="R469" i="10"/>
  <c r="M467" i="10"/>
  <c r="H469" i="10"/>
  <c r="J406" i="9"/>
  <c r="Q406" i="9"/>
  <c r="Y466" i="10"/>
  <c r="X466" i="10"/>
  <c r="J467" i="10"/>
  <c r="S408" i="9"/>
  <c r="AA404" i="9"/>
  <c r="J404" i="9"/>
  <c r="O464" i="10"/>
  <c r="Q465" i="10"/>
  <c r="Z407" i="9"/>
  <c r="S465" i="10"/>
  <c r="X469" i="10"/>
  <c r="Y468" i="10"/>
  <c r="Z409" i="9"/>
  <c r="R467" i="10"/>
  <c r="N466" i="10"/>
  <c r="V466" i="10"/>
  <c r="R406" i="9"/>
  <c r="F469" i="10"/>
  <c r="X465" i="10"/>
  <c r="G464" i="10"/>
  <c r="X468" i="10"/>
  <c r="P466" i="10"/>
  <c r="S468" i="10"/>
  <c r="W464" i="10"/>
  <c r="H466" i="10"/>
  <c r="Z465" i="10"/>
  <c r="M409" i="9"/>
  <c r="W466" i="10"/>
  <c r="Z404" i="9"/>
  <c r="AA469" i="10"/>
  <c r="D466" i="10"/>
  <c r="J408" i="9"/>
  <c r="M465" i="10"/>
  <c r="U468" i="10"/>
  <c r="O408" i="9"/>
  <c r="Q404" i="9"/>
  <c r="K407" i="9"/>
  <c r="N408" i="9"/>
  <c r="O469" i="10"/>
  <c r="G465" i="10"/>
  <c r="N464" i="10"/>
  <c r="AA466" i="10"/>
  <c r="S409" i="9"/>
  <c r="R404" i="9"/>
  <c r="Q408" i="9"/>
  <c r="W465" i="10"/>
  <c r="U406" i="9"/>
  <c r="I409" i="9"/>
  <c r="M464" i="10"/>
  <c r="X464" i="10"/>
  <c r="F466" i="10"/>
  <c r="E466" i="10"/>
  <c r="E469" i="10"/>
  <c r="N404" i="9"/>
  <c r="J405" i="9"/>
  <c r="J468" i="10"/>
  <c r="V465" i="10"/>
  <c r="I406" i="9"/>
  <c r="Q468" i="10"/>
  <c r="O407" i="9"/>
  <c r="Q466" i="10"/>
  <c r="G466" i="10"/>
  <c r="J407" i="9"/>
  <c r="F465" i="10"/>
  <c r="R464" i="10"/>
  <c r="W405" i="9"/>
  <c r="Z464" i="10"/>
  <c r="I468" i="10"/>
  <c r="J466" i="10"/>
  <c r="R405" i="9"/>
  <c r="V468" i="10"/>
  <c r="W406" i="9"/>
  <c r="K404" i="9"/>
  <c r="L468" i="10"/>
  <c r="V469" i="10"/>
  <c r="Z406" i="9"/>
  <c r="V405" i="9"/>
  <c r="L467" i="10"/>
  <c r="Q409" i="9"/>
  <c r="V409" i="9"/>
  <c r="Q464" i="10"/>
  <c r="I467" i="10"/>
  <c r="L466" i="10"/>
  <c r="K406" i="9"/>
  <c r="W409" i="9"/>
  <c r="O404" i="9"/>
  <c r="J469" i="10"/>
  <c r="U407" i="9"/>
  <c r="AA409" i="9"/>
  <c r="Z408" i="9"/>
  <c r="O409" i="9"/>
  <c r="S467" i="10"/>
  <c r="K408" i="9"/>
  <c r="S404" i="9"/>
  <c r="Y406" i="9"/>
  <c r="P467" i="10"/>
  <c r="O465" i="10"/>
  <c r="Q405" i="9"/>
  <c r="E467" i="10"/>
  <c r="Q407" i="9"/>
  <c r="U467" i="10"/>
  <c r="Z405" i="9"/>
  <c r="R465" i="10"/>
  <c r="AA467" i="10"/>
  <c r="N409" i="9"/>
  <c r="N468" i="10"/>
  <c r="S406" i="9"/>
  <c r="Y409" i="9"/>
  <c r="P464" i="10"/>
  <c r="U405" i="9"/>
  <c r="O405" i="9"/>
  <c r="J464" i="10"/>
  <c r="I408" i="9"/>
  <c r="S466" i="10"/>
  <c r="AA408" i="9"/>
  <c r="AA465" i="10"/>
  <c r="Y465" i="10"/>
  <c r="Z469" i="10"/>
  <c r="W469" i="10"/>
  <c r="U404" i="9"/>
  <c r="E468" i="10"/>
  <c r="D468" i="10"/>
  <c r="J409" i="9"/>
  <c r="M469" i="10"/>
  <c r="G467" i="10"/>
  <c r="S407" i="9"/>
  <c r="U408" i="9"/>
  <c r="L464" i="10"/>
  <c r="N406" i="9"/>
  <c r="J465" i="10"/>
  <c r="W467" i="10"/>
  <c r="H468" i="10"/>
  <c r="AA407" i="9"/>
  <c r="V464" i="10"/>
  <c r="Y467" i="10"/>
  <c r="U465" i="10"/>
  <c r="F48" i="7" l="1"/>
  <c r="F37" i="6"/>
  <c r="G46" i="5"/>
  <c r="U13" i="16"/>
  <c r="U12" i="16"/>
  <c r="E41" i="7"/>
  <c r="C33" i="5"/>
  <c r="C37" i="7"/>
  <c r="G37" i="5"/>
  <c r="C48" i="7"/>
  <c r="AF33" i="16"/>
  <c r="AF34" i="16" s="1"/>
  <c r="AF35" i="16" s="1"/>
  <c r="C45" i="7"/>
  <c r="C33" i="6"/>
  <c r="AD33" i="16"/>
  <c r="AD34" i="16" s="1"/>
  <c r="AD35" i="16" s="1"/>
  <c r="Y13" i="16"/>
  <c r="Y12" i="16"/>
  <c r="P33" i="16"/>
  <c r="P34" i="16" s="1"/>
  <c r="P35" i="16" s="1"/>
  <c r="E48" i="7"/>
  <c r="AF12" i="16"/>
  <c r="AF13" i="16"/>
  <c r="AK12" i="16"/>
  <c r="AK13" i="16"/>
  <c r="K413" i="9"/>
  <c r="K414" i="9"/>
  <c r="E17" i="2"/>
  <c r="E11" i="4" s="1"/>
  <c r="H28" i="7"/>
  <c r="F33" i="7"/>
  <c r="D45" i="6"/>
  <c r="C46" i="6"/>
  <c r="D35" i="5"/>
  <c r="C47" i="7"/>
  <c r="L12" i="16"/>
  <c r="L13" i="16"/>
  <c r="D28" i="5"/>
  <c r="D41" i="5"/>
  <c r="V13" i="16"/>
  <c r="V12" i="16"/>
  <c r="AQ12" i="16"/>
  <c r="AQ13" i="16"/>
  <c r="E31" i="5"/>
  <c r="H47" i="7"/>
  <c r="J17" i="2"/>
  <c r="J11" i="4" s="1"/>
  <c r="AC33" i="16"/>
  <c r="AC34" i="16" s="1"/>
  <c r="AC35" i="16" s="1"/>
  <c r="H35" i="6"/>
  <c r="H29" i="5"/>
  <c r="C28" i="5"/>
  <c r="E45" i="6"/>
  <c r="E48" i="5"/>
  <c r="E28" i="7"/>
  <c r="G45" i="6"/>
  <c r="C48" i="5"/>
  <c r="C31" i="5"/>
  <c r="C29" i="6"/>
  <c r="D29" i="7"/>
  <c r="S414" i="9"/>
  <c r="S413" i="9"/>
  <c r="H17" i="2"/>
  <c r="H11" i="4" s="1"/>
  <c r="H46" i="7"/>
  <c r="F28" i="7"/>
  <c r="D37" i="5"/>
  <c r="E31" i="6"/>
  <c r="G47" i="5"/>
  <c r="T23" i="16"/>
  <c r="T25" i="16" s="1"/>
  <c r="T24" i="16"/>
  <c r="G46" i="7"/>
  <c r="E29" i="6"/>
  <c r="C46" i="5"/>
  <c r="H37" i="6"/>
  <c r="F48" i="5"/>
  <c r="F46" i="7"/>
  <c r="C46" i="7"/>
  <c r="AH23" i="16"/>
  <c r="AH24" i="16"/>
  <c r="S33" i="16"/>
  <c r="S34" i="16" s="1"/>
  <c r="S35" i="16" s="1"/>
  <c r="N33" i="16"/>
  <c r="N34" i="16" s="1"/>
  <c r="N35" i="16" s="1"/>
  <c r="AG33" i="16"/>
  <c r="AG34" i="16" s="1"/>
  <c r="AG35" i="16" s="1"/>
  <c r="F39" i="5"/>
  <c r="G45" i="7"/>
  <c r="Z33" i="16"/>
  <c r="Z34" i="16" s="1"/>
  <c r="Z35" i="16" s="1"/>
  <c r="AH12" i="16"/>
  <c r="AH13" i="16"/>
  <c r="H16" i="2"/>
  <c r="H10" i="4" s="1"/>
  <c r="R414" i="9"/>
  <c r="R413" i="9"/>
  <c r="H46" i="6"/>
  <c r="D48" i="7"/>
  <c r="F35" i="5"/>
  <c r="E33" i="5"/>
  <c r="C39" i="6"/>
  <c r="AB12" i="16"/>
  <c r="AB13" i="16"/>
  <c r="G29" i="7"/>
  <c r="K33" i="16"/>
  <c r="K34" i="16" s="1"/>
  <c r="K35" i="16" s="1"/>
  <c r="F28" i="5"/>
  <c r="F37" i="5"/>
  <c r="H31" i="6"/>
  <c r="C45" i="5"/>
  <c r="H47" i="6"/>
  <c r="J16" i="2"/>
  <c r="J10" i="4" s="1"/>
  <c r="D31" i="6"/>
  <c r="AJ12" i="16"/>
  <c r="AJ13" i="16"/>
  <c r="K12" i="16"/>
  <c r="K13" i="16"/>
  <c r="F47" i="6"/>
  <c r="D29" i="5"/>
  <c r="J413" i="9"/>
  <c r="J414" i="9"/>
  <c r="H28" i="6"/>
  <c r="E16" i="2"/>
  <c r="E10" i="4" s="1"/>
  <c r="F37" i="7"/>
  <c r="Q414" i="9"/>
  <c r="H15" i="2"/>
  <c r="H9" i="4" s="1"/>
  <c r="H46" i="5"/>
  <c r="Q413" i="9"/>
  <c r="G28" i="6"/>
  <c r="C37" i="5"/>
  <c r="E41" i="6"/>
  <c r="G29" i="5"/>
  <c r="F41" i="5"/>
  <c r="F29" i="6"/>
  <c r="S23" i="16"/>
  <c r="S24" i="16"/>
  <c r="E29" i="5"/>
  <c r="AM23" i="16"/>
  <c r="AM24" i="16"/>
  <c r="AF24" i="16"/>
  <c r="AF23" i="16"/>
  <c r="G46" i="6"/>
  <c r="C39" i="5"/>
  <c r="G31" i="5"/>
  <c r="G28" i="7"/>
  <c r="S13" i="16"/>
  <c r="S12" i="16"/>
  <c r="D47" i="6"/>
  <c r="H41" i="7"/>
  <c r="AI13" i="16"/>
  <c r="AI12" i="16"/>
  <c r="G41" i="6"/>
  <c r="E29" i="7"/>
  <c r="C47" i="5"/>
  <c r="C35" i="7"/>
  <c r="E48" i="6"/>
  <c r="AO12" i="16"/>
  <c r="AO13" i="16"/>
  <c r="C48" i="6"/>
  <c r="Z12" i="16"/>
  <c r="Z14" i="16" s="1"/>
  <c r="Z13" i="16"/>
  <c r="G47" i="7"/>
  <c r="X33" i="16"/>
  <c r="X34" i="16" s="1"/>
  <c r="X35" i="16" s="1"/>
  <c r="G39" i="7"/>
  <c r="H33" i="7"/>
  <c r="F35" i="6"/>
  <c r="J33" i="16"/>
  <c r="J34" i="16" s="1"/>
  <c r="J35" i="16" s="1"/>
  <c r="H31" i="7"/>
  <c r="E33" i="7"/>
  <c r="G48" i="5"/>
  <c r="D33" i="6"/>
  <c r="H39" i="7"/>
  <c r="E35" i="7"/>
  <c r="AP24" i="16"/>
  <c r="AP23" i="16"/>
  <c r="O23" i="16"/>
  <c r="O24" i="16"/>
  <c r="G29" i="6"/>
  <c r="AA33" i="16"/>
  <c r="AA34" i="16" s="1"/>
  <c r="AA35" i="16" s="1"/>
  <c r="H45" i="5"/>
  <c r="G15" i="2"/>
  <c r="G9" i="4" s="1"/>
  <c r="Q24" i="16"/>
  <c r="Q23" i="16"/>
  <c r="F39" i="6"/>
  <c r="E35" i="6"/>
  <c r="D37" i="7"/>
  <c r="C31" i="7"/>
  <c r="C28" i="7"/>
  <c r="AH33" i="16"/>
  <c r="AH34" i="16" s="1"/>
  <c r="AH35" i="16" s="1"/>
  <c r="D39" i="7"/>
  <c r="AE33" i="16"/>
  <c r="AE34" i="16" s="1"/>
  <c r="AE35" i="16" s="1"/>
  <c r="E45" i="7"/>
  <c r="D46" i="7"/>
  <c r="D41" i="7"/>
  <c r="K23" i="16"/>
  <c r="K24" i="16"/>
  <c r="F43" i="6"/>
  <c r="E47" i="7"/>
  <c r="J13" i="16"/>
  <c r="J12" i="16"/>
  <c r="AD23" i="16"/>
  <c r="AD24" i="16"/>
  <c r="E37" i="5"/>
  <c r="R13" i="16"/>
  <c r="R12" i="16"/>
  <c r="G37" i="6"/>
  <c r="H35" i="5"/>
  <c r="M33" i="16"/>
  <c r="M34" i="16" s="1"/>
  <c r="M35" i="16" s="1"/>
  <c r="G48" i="7"/>
  <c r="C31" i="6"/>
  <c r="G31" i="7"/>
  <c r="C33" i="7"/>
  <c r="AA23" i="16"/>
  <c r="AA24" i="16"/>
  <c r="F35" i="7"/>
  <c r="D45" i="5"/>
  <c r="E43" i="6"/>
  <c r="AG13" i="16"/>
  <c r="AG12" i="16"/>
  <c r="H43" i="6"/>
  <c r="D46" i="6"/>
  <c r="G43" i="6"/>
  <c r="W13" i="16"/>
  <c r="W12" i="16"/>
  <c r="F45" i="6"/>
  <c r="Q33" i="16"/>
  <c r="Q34" i="16" s="1"/>
  <c r="Q35" i="16" s="1"/>
  <c r="AB23" i="16"/>
  <c r="AB24" i="16"/>
  <c r="G35" i="5"/>
  <c r="G28" i="5"/>
  <c r="E37" i="7"/>
  <c r="E41" i="5"/>
  <c r="E37" i="6"/>
  <c r="G33" i="7"/>
  <c r="AB33" i="16"/>
  <c r="AB34" i="16" s="1"/>
  <c r="AB35" i="16" s="1"/>
  <c r="AK24" i="16"/>
  <c r="AK23" i="16"/>
  <c r="G47" i="6"/>
  <c r="C41" i="5"/>
  <c r="H45" i="7"/>
  <c r="G17" i="2"/>
  <c r="G11" i="4" s="1"/>
  <c r="G39" i="5"/>
  <c r="G35" i="7"/>
  <c r="F33" i="5"/>
  <c r="C29" i="5"/>
  <c r="D45" i="7"/>
  <c r="I414" i="9"/>
  <c r="I413" i="9"/>
  <c r="E15" i="2"/>
  <c r="E9" i="4" s="1"/>
  <c r="H28" i="5"/>
  <c r="C39" i="7"/>
  <c r="C35" i="5"/>
  <c r="R33" i="16"/>
  <c r="R34" i="16" s="1"/>
  <c r="R35" i="16" s="1"/>
  <c r="F46" i="6"/>
  <c r="U33" i="16"/>
  <c r="U34" i="16" s="1"/>
  <c r="U35" i="16" s="1"/>
  <c r="F29" i="5"/>
  <c r="AR13" i="16"/>
  <c r="AR12" i="16"/>
  <c r="V23" i="16"/>
  <c r="V24" i="16"/>
  <c r="W33" i="16"/>
  <c r="W34" i="16" s="1"/>
  <c r="W35" i="16" s="1"/>
  <c r="D47" i="5"/>
  <c r="G48" i="6"/>
  <c r="P23" i="16"/>
  <c r="P24" i="16"/>
  <c r="D47" i="7"/>
  <c r="D35" i="7"/>
  <c r="G41" i="7"/>
  <c r="AC12" i="16"/>
  <c r="AC13" i="16"/>
  <c r="L23" i="16"/>
  <c r="L24" i="16"/>
  <c r="H39" i="5"/>
  <c r="T33" i="16"/>
  <c r="T34" i="16" s="1"/>
  <c r="T35" i="16" s="1"/>
  <c r="C37" i="6"/>
  <c r="E46" i="5"/>
  <c r="C41" i="6"/>
  <c r="H33" i="5"/>
  <c r="H29" i="6"/>
  <c r="D28" i="7"/>
  <c r="H48" i="5"/>
  <c r="Y413" i="9"/>
  <c r="Y414" i="9"/>
  <c r="K15" i="2"/>
  <c r="K9" i="4" s="1"/>
  <c r="E39" i="7"/>
  <c r="D33" i="5"/>
  <c r="E46" i="6"/>
  <c r="AE24" i="16"/>
  <c r="AE23" i="16"/>
  <c r="D29" i="6"/>
  <c r="G31" i="6"/>
  <c r="E46" i="7"/>
  <c r="O33" i="16"/>
  <c r="O34" i="16" s="1"/>
  <c r="O35" i="16" s="1"/>
  <c r="E47" i="5"/>
  <c r="T12" i="16"/>
  <c r="T13" i="16"/>
  <c r="F28" i="6"/>
  <c r="AG24" i="16"/>
  <c r="AG23" i="16"/>
  <c r="E31" i="7"/>
  <c r="H29" i="7"/>
  <c r="P12" i="16"/>
  <c r="P13" i="16"/>
  <c r="C47" i="6"/>
  <c r="I33" i="16"/>
  <c r="I34" i="16" s="1"/>
  <c r="I35" i="16" s="1"/>
  <c r="J24" i="16"/>
  <c r="J23" i="16"/>
  <c r="AJ24" i="16"/>
  <c r="AJ23" i="16"/>
  <c r="G33" i="6"/>
  <c r="K17" i="2"/>
  <c r="K11" i="4" s="1"/>
  <c r="AA414" i="9"/>
  <c r="H48" i="7"/>
  <c r="AA413" i="9"/>
  <c r="X23" i="16"/>
  <c r="X24" i="16"/>
  <c r="E35" i="5"/>
  <c r="E33" i="6"/>
  <c r="C41" i="7"/>
  <c r="F45" i="5"/>
  <c r="G16" i="2"/>
  <c r="G10" i="4" s="1"/>
  <c r="H45" i="6"/>
  <c r="E28" i="6"/>
  <c r="E39" i="6"/>
  <c r="F41" i="6"/>
  <c r="G33" i="5"/>
  <c r="F33" i="6"/>
  <c r="AC23" i="16"/>
  <c r="AC24" i="16"/>
  <c r="F41" i="7"/>
  <c r="C43" i="6"/>
  <c r="AR23" i="16"/>
  <c r="AR24" i="16"/>
  <c r="F45" i="7"/>
  <c r="N24" i="16"/>
  <c r="N23" i="16"/>
  <c r="K16" i="2"/>
  <c r="K10" i="4" s="1"/>
  <c r="H48" i="6"/>
  <c r="Z413" i="9"/>
  <c r="Z414" i="9"/>
  <c r="G35" i="6"/>
  <c r="C29" i="7"/>
  <c r="Q13" i="16"/>
  <c r="Q12" i="16"/>
  <c r="AD12" i="16"/>
  <c r="AD13" i="16"/>
  <c r="D41" i="6"/>
  <c r="H37" i="5"/>
  <c r="G39" i="6"/>
  <c r="U24" i="16"/>
  <c r="U23" i="16"/>
  <c r="U25" i="16" s="1"/>
  <c r="AN13" i="16"/>
  <c r="AN12" i="16"/>
  <c r="G37" i="7"/>
  <c r="Y33" i="16"/>
  <c r="Y34" i="16" s="1"/>
  <c r="Y35" i="16" s="1"/>
  <c r="F39" i="7"/>
  <c r="D31" i="5"/>
  <c r="D48" i="6"/>
  <c r="F47" i="5"/>
  <c r="E28" i="5"/>
  <c r="W24" i="16"/>
  <c r="W23" i="16"/>
  <c r="H35" i="7"/>
  <c r="D37" i="6"/>
  <c r="AE13" i="16"/>
  <c r="AE12" i="16"/>
  <c r="F47" i="7"/>
  <c r="F29" i="7"/>
  <c r="F31" i="6"/>
  <c r="AQ24" i="16"/>
  <c r="AQ23" i="16"/>
  <c r="D31" i="7"/>
  <c r="D43" i="6"/>
  <c r="AM13" i="16"/>
  <c r="AM12" i="16"/>
  <c r="E45" i="5"/>
  <c r="H37" i="7"/>
  <c r="F46" i="5"/>
  <c r="H33" i="6"/>
  <c r="G41" i="5"/>
  <c r="AA13" i="16"/>
  <c r="AA12" i="16"/>
  <c r="F48" i="6"/>
  <c r="D39" i="5"/>
  <c r="N13" i="16"/>
  <c r="N12" i="16"/>
  <c r="I13" i="16"/>
  <c r="I12" i="16"/>
  <c r="H39" i="6"/>
  <c r="Z23" i="16"/>
  <c r="Z24" i="16"/>
  <c r="I23" i="16"/>
  <c r="I24" i="16"/>
  <c r="F31" i="5"/>
  <c r="H41" i="6"/>
  <c r="R23" i="16"/>
  <c r="R24" i="16"/>
  <c r="M12" i="16"/>
  <c r="M13" i="16"/>
  <c r="AQ33" i="16"/>
  <c r="AQ34" i="16" s="1"/>
  <c r="AQ35" i="16" s="1"/>
  <c r="AL12" i="16"/>
  <c r="AL13" i="16"/>
  <c r="AR33" i="16"/>
  <c r="AR34" i="16" s="1"/>
  <c r="AR35" i="16" s="1"/>
  <c r="O12" i="16"/>
  <c r="O13" i="16"/>
  <c r="D28" i="6"/>
  <c r="X13" i="16"/>
  <c r="X12" i="16"/>
  <c r="D39" i="6"/>
  <c r="E39" i="5"/>
  <c r="F31" i="7"/>
  <c r="D46" i="5"/>
  <c r="D33" i="7"/>
  <c r="C45" i="6"/>
  <c r="C35" i="6"/>
  <c r="G45" i="5"/>
  <c r="V33" i="16"/>
  <c r="V34" i="16" s="1"/>
  <c r="V35" i="16" s="1"/>
  <c r="L33" i="16"/>
  <c r="L34" i="16" s="1"/>
  <c r="L35" i="16" s="1"/>
  <c r="D48" i="5"/>
  <c r="D35" i="6"/>
  <c r="Y24" i="16"/>
  <c r="Y23" i="16"/>
  <c r="H41" i="5"/>
  <c r="H31" i="5"/>
  <c r="C28" i="6"/>
  <c r="H47" i="5"/>
  <c r="J15" i="2"/>
  <c r="J9" i="4" s="1"/>
  <c r="M24" i="16"/>
  <c r="M23" i="16"/>
  <c r="E47" i="6"/>
  <c r="I39" i="24"/>
  <c r="L38" i="24"/>
  <c r="J38" i="24"/>
  <c r="G39" i="24"/>
  <c r="H40" i="24"/>
  <c r="K39" i="24"/>
  <c r="AR25" i="16" l="1"/>
  <c r="AJ25" i="16"/>
  <c r="AK25" i="16"/>
  <c r="AG14" i="16"/>
  <c r="Q25" i="16"/>
  <c r="S14" i="16"/>
  <c r="AF25" i="16"/>
  <c r="K14" i="16"/>
  <c r="R25" i="16"/>
  <c r="Z25" i="16"/>
  <c r="Q14" i="16"/>
  <c r="J25" i="16"/>
  <c r="T14" i="16"/>
  <c r="AE25" i="16"/>
  <c r="P25" i="16"/>
  <c r="V25" i="16"/>
  <c r="R14" i="16"/>
  <c r="AM25" i="16"/>
  <c r="U14" i="16"/>
  <c r="AA25" i="16"/>
  <c r="M25" i="16"/>
  <c r="O14" i="16"/>
  <c r="AJ14" i="16"/>
  <c r="AL14" i="16"/>
  <c r="AQ25" i="16"/>
  <c r="AN14" i="16"/>
  <c r="AC25" i="16"/>
  <c r="AG25" i="16"/>
  <c r="AC14" i="16"/>
  <c r="AB25" i="16"/>
  <c r="Y14" i="16"/>
  <c r="AD14" i="16"/>
  <c r="X25" i="16"/>
  <c r="AD25" i="16"/>
  <c r="K25" i="16"/>
  <c r="S25" i="16"/>
  <c r="AH14" i="16"/>
  <c r="AQ14" i="16"/>
  <c r="L14" i="16"/>
  <c r="I14" i="16"/>
  <c r="Y25" i="16"/>
  <c r="N14" i="16"/>
  <c r="J14" i="16"/>
  <c r="AH25" i="16"/>
  <c r="V14" i="16"/>
  <c r="W14" i="16"/>
  <c r="AP25" i="16"/>
  <c r="AO14" i="16"/>
  <c r="AI14" i="16"/>
  <c r="AB14" i="16"/>
  <c r="X14" i="16"/>
  <c r="AE14" i="16"/>
  <c r="N25" i="16"/>
  <c r="AR14" i="16"/>
  <c r="M14" i="16"/>
  <c r="I25" i="16"/>
  <c r="AA14" i="16"/>
  <c r="AK14" i="16"/>
  <c r="AM14" i="16"/>
  <c r="W25" i="16"/>
  <c r="P14" i="16"/>
  <c r="L25" i="16"/>
  <c r="O25" i="16"/>
  <c r="AF14" i="16"/>
  <c r="I40" i="24"/>
  <c r="L39" i="24"/>
  <c r="K40" i="24"/>
  <c r="H41" i="24"/>
  <c r="J39" i="24"/>
  <c r="G40" i="24"/>
  <c r="L40" i="24" l="1"/>
  <c r="I41" i="24"/>
  <c r="G41" i="24"/>
  <c r="J40" i="24"/>
  <c r="K41" i="24"/>
  <c r="H42" i="24"/>
  <c r="I42" i="24" l="1"/>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K558" i="24"/>
  <c r="L558" i="24" l="1"/>
  <c r="J558" i="24"/>
  <c r="G559" i="24"/>
  <c r="G560" i="24" l="1"/>
  <c r="J559" i="24"/>
  <c r="G561" i="24" l="1"/>
  <c r="J560" i="24"/>
  <c r="J561" i="24" l="1"/>
  <c r="G562" i="24"/>
  <c r="G563" i="24" l="1"/>
  <c r="J562" i="24"/>
  <c r="G564" i="24" l="1"/>
  <c r="J563" i="24"/>
  <c r="G565" i="24" l="1"/>
  <c r="J564" i="24"/>
  <c r="J565" i="24" l="1"/>
  <c r="Q407" i="8"/>
  <c r="E406" i="8"/>
  <c r="K411" i="8"/>
  <c r="AA410" i="8"/>
  <c r="G407" i="8"/>
  <c r="T408" i="8"/>
  <c r="H411" i="8"/>
  <c r="M408" i="8"/>
  <c r="AB407" i="8"/>
  <c r="S409" i="8"/>
  <c r="Z406" i="8"/>
  <c r="AC407" i="8"/>
  <c r="V410" i="8"/>
  <c r="O411" i="8"/>
  <c r="AA411" i="8"/>
  <c r="D407" i="8"/>
  <c r="X409" i="8"/>
  <c r="S410" i="8"/>
  <c r="H407" i="8"/>
  <c r="F408" i="8"/>
  <c r="N410" i="8"/>
  <c r="P408" i="8"/>
  <c r="T411" i="8"/>
  <c r="E411" i="8"/>
  <c r="J406" i="8"/>
  <c r="H410" i="8"/>
  <c r="W411" i="8"/>
  <c r="N406" i="8"/>
  <c r="AC411" i="8"/>
  <c r="Y411" i="8"/>
  <c r="AB406" i="8"/>
  <c r="K410" i="8"/>
  <c r="Y406" i="8"/>
  <c r="R410" i="8"/>
  <c r="E407" i="8"/>
  <c r="AA409" i="8"/>
  <c r="Y409" i="8"/>
  <c r="F410" i="8"/>
  <c r="P411" i="8"/>
  <c r="Q410" i="8"/>
  <c r="D410" i="8"/>
  <c r="AB410" i="8"/>
  <c r="I408" i="8"/>
  <c r="AB408" i="8"/>
  <c r="I409" i="8"/>
  <c r="M410" i="8"/>
  <c r="E408" i="8"/>
  <c r="V406" i="8"/>
  <c r="AC406" i="8"/>
  <c r="K408" i="8"/>
  <c r="V411" i="8"/>
  <c r="M411" i="8"/>
  <c r="F411" i="8"/>
  <c r="AA407" i="8"/>
  <c r="M407" i="8"/>
  <c r="X411" i="8"/>
  <c r="W410" i="8"/>
  <c r="X406" i="8"/>
  <c r="K406" i="8"/>
  <c r="M409" i="8"/>
  <c r="Z411" i="8"/>
  <c r="O409" i="8"/>
  <c r="V408" i="8"/>
  <c r="AC408" i="8"/>
  <c r="T410" i="8"/>
  <c r="N407" i="8"/>
  <c r="AA406" i="8"/>
  <c r="O406" i="8"/>
  <c r="S406" i="8"/>
  <c r="W407" i="8"/>
  <c r="X408" i="8"/>
  <c r="N409" i="8"/>
  <c r="J409" i="8"/>
  <c r="G408" i="8"/>
  <c r="J411" i="8"/>
  <c r="W409" i="8"/>
  <c r="I407" i="8"/>
  <c r="Y410" i="8"/>
  <c r="Q406" i="8"/>
  <c r="G411" i="8"/>
  <c r="O408" i="8"/>
  <c r="R407" i="8"/>
  <c r="I411" i="8"/>
  <c r="M406" i="8"/>
  <c r="AB409" i="8"/>
  <c r="E410" i="8"/>
  <c r="D409" i="8"/>
  <c r="Y408" i="8"/>
  <c r="R409" i="8"/>
  <c r="T407" i="8"/>
  <c r="F406" i="8"/>
  <c r="D408" i="8"/>
  <c r="Q411" i="8"/>
  <c r="AC409" i="8"/>
  <c r="Z410" i="8"/>
  <c r="W406" i="8"/>
  <c r="N411" i="8"/>
  <c r="F409" i="8"/>
  <c r="P407" i="8"/>
  <c r="G409" i="8"/>
  <c r="X407" i="8"/>
  <c r="Z407" i="8"/>
  <c r="E409" i="8"/>
  <c r="J410" i="8"/>
  <c r="J407" i="8"/>
  <c r="I406" i="8"/>
  <c r="AC410" i="8"/>
  <c r="D411" i="8"/>
  <c r="P410" i="8"/>
  <c r="S411" i="8"/>
  <c r="T406" i="8"/>
  <c r="S407" i="8"/>
  <c r="T409" i="8"/>
  <c r="W408" i="8"/>
  <c r="O407" i="8"/>
  <c r="Y407" i="8"/>
  <c r="V409" i="8"/>
  <c r="P406" i="8"/>
  <c r="R406" i="8"/>
  <c r="H409" i="8"/>
  <c r="R408" i="8"/>
  <c r="N408" i="8"/>
  <c r="Z409" i="8"/>
  <c r="X410" i="8"/>
  <c r="R411" i="8"/>
  <c r="AA408" i="8"/>
  <c r="Q408" i="8"/>
  <c r="I410" i="8"/>
  <c r="D406" i="8"/>
  <c r="Q409" i="8"/>
  <c r="K409" i="8"/>
  <c r="V407" i="8"/>
  <c r="Z408" i="8"/>
  <c r="P409" i="8"/>
  <c r="O410" i="8"/>
  <c r="G406" i="8"/>
  <c r="F407" i="8"/>
  <c r="J408" i="8"/>
  <c r="K407" i="8"/>
  <c r="G410" i="8"/>
  <c r="H408" i="8"/>
  <c r="S408" i="8"/>
  <c r="H406" i="8"/>
  <c r="AB411" i="8"/>
  <c r="E40" i="5" l="1"/>
  <c r="C32" i="6"/>
  <c r="F40" i="6"/>
  <c r="D36" i="5"/>
  <c r="F34" i="5"/>
  <c r="C42" i="5"/>
  <c r="F44" i="6"/>
  <c r="H34" i="7"/>
  <c r="C42" i="7"/>
  <c r="E38" i="5"/>
  <c r="F38" i="5"/>
  <c r="F40" i="5"/>
  <c r="H42" i="6"/>
  <c r="J43" i="4" s="1"/>
  <c r="C36" i="5"/>
  <c r="G38" i="5"/>
  <c r="D38" i="5"/>
  <c r="G32" i="6"/>
  <c r="C32" i="7"/>
  <c r="F42" i="7"/>
  <c r="C38" i="5"/>
  <c r="D30" i="6"/>
  <c r="D44" i="6"/>
  <c r="D30" i="7"/>
  <c r="D40" i="6"/>
  <c r="G42" i="6"/>
  <c r="H30" i="5"/>
  <c r="F38" i="7"/>
  <c r="E30" i="6"/>
  <c r="C32" i="5"/>
  <c r="D30" i="5"/>
  <c r="H38" i="7"/>
  <c r="H40" i="6"/>
  <c r="F47" i="4" s="1"/>
  <c r="G36" i="5"/>
  <c r="C44" i="7"/>
  <c r="G34" i="6"/>
  <c r="E40" i="7"/>
  <c r="F32" i="6"/>
  <c r="D38" i="6"/>
  <c r="E32" i="7"/>
  <c r="E34" i="5"/>
  <c r="H42" i="5"/>
  <c r="E38" i="7"/>
  <c r="G36" i="7"/>
  <c r="G30" i="7"/>
  <c r="E36" i="7"/>
  <c r="F32" i="7"/>
  <c r="G32" i="5"/>
  <c r="D42" i="7"/>
  <c r="E30" i="5"/>
  <c r="H36" i="7"/>
  <c r="G32" i="7"/>
  <c r="E44" i="5"/>
  <c r="D36" i="6"/>
  <c r="E44" i="6"/>
  <c r="E32" i="6"/>
  <c r="E30" i="7"/>
  <c r="G42" i="7"/>
  <c r="D32" i="6"/>
  <c r="G44" i="5"/>
  <c r="G42" i="5"/>
  <c r="G30" i="6"/>
  <c r="C38" i="6"/>
  <c r="E38" i="6"/>
  <c r="F36" i="5"/>
  <c r="C30" i="6"/>
  <c r="H44" i="6"/>
  <c r="J42" i="4" s="1"/>
  <c r="H44" i="7"/>
  <c r="G38" i="7"/>
  <c r="E42" i="5"/>
  <c r="E36" i="6"/>
  <c r="G44" i="7"/>
  <c r="G34" i="5"/>
  <c r="F34" i="6"/>
  <c r="D34" i="6"/>
  <c r="F34" i="7"/>
  <c r="H36" i="6"/>
  <c r="F42" i="4" s="1"/>
  <c r="E42" i="6"/>
  <c r="H30" i="6"/>
  <c r="J41" i="4" s="1"/>
  <c r="F30" i="6"/>
  <c r="F42" i="5"/>
  <c r="G40" i="6"/>
  <c r="F30" i="5"/>
  <c r="F32" i="5"/>
  <c r="F42" i="6"/>
  <c r="E42" i="7"/>
  <c r="E34" i="7"/>
  <c r="F44" i="7"/>
  <c r="C36" i="6"/>
  <c r="H38" i="6"/>
  <c r="F44" i="4" s="1"/>
  <c r="D34" i="5"/>
  <c r="F36" i="6"/>
  <c r="G38" i="6"/>
  <c r="D36" i="7"/>
  <c r="H30" i="7"/>
  <c r="H32" i="6"/>
  <c r="F43" i="4" s="1"/>
  <c r="C44" i="6"/>
  <c r="C34" i="6"/>
  <c r="G30" i="5"/>
  <c r="C30" i="5"/>
  <c r="F40" i="7"/>
  <c r="C44" i="5"/>
  <c r="D34" i="7"/>
  <c r="E32" i="5"/>
  <c r="H34" i="5"/>
  <c r="C40" i="5"/>
  <c r="E44" i="7"/>
  <c r="C34" i="7"/>
  <c r="D32" i="7"/>
  <c r="G36" i="6"/>
  <c r="H42" i="7"/>
  <c r="E40" i="6"/>
  <c r="C40" i="7"/>
  <c r="C40" i="6"/>
  <c r="D44" i="7"/>
  <c r="H38" i="5"/>
  <c r="F30" i="7"/>
  <c r="D38" i="7"/>
  <c r="G40" i="5"/>
  <c r="H32" i="7"/>
  <c r="D40" i="7"/>
  <c r="H36" i="5"/>
  <c r="E36" i="5"/>
  <c r="E34" i="6"/>
  <c r="H32" i="5"/>
  <c r="C38" i="7"/>
  <c r="C34" i="5"/>
  <c r="G40" i="7"/>
  <c r="H40" i="5"/>
  <c r="D32" i="5"/>
  <c r="D40" i="5"/>
  <c r="D44" i="5"/>
  <c r="H40" i="7"/>
  <c r="H44" i="5"/>
  <c r="D42" i="5"/>
  <c r="F44" i="5"/>
  <c r="C30" i="7"/>
  <c r="F36" i="7"/>
  <c r="D42" i="6"/>
  <c r="H34" i="6"/>
  <c r="F41" i="4" s="1"/>
  <c r="C42" i="6"/>
  <c r="G34" i="7"/>
  <c r="G44" i="6"/>
  <c r="C36" i="7"/>
  <c r="F38" i="6"/>
  <c r="AL23" i="16" l="1"/>
  <c r="AL24" i="16"/>
  <c r="AN23" i="16"/>
  <c r="AN24" i="16"/>
  <c r="AI23" i="16"/>
  <c r="AI24" i="16"/>
  <c r="AP13" i="16"/>
  <c r="AP12" i="16"/>
  <c r="AI33" i="16"/>
  <c r="AI34" i="16" s="1"/>
  <c r="AI35" i="16" s="1"/>
  <c r="I559" i="24"/>
  <c r="L559" i="24" s="1"/>
  <c r="AL33" i="16"/>
  <c r="AL34" i="16" s="1"/>
  <c r="AL35" i="16" s="1"/>
  <c r="AP33" i="16"/>
  <c r="AP34" i="16" s="1"/>
  <c r="AP35" i="16" s="1"/>
  <c r="AK33" i="16"/>
  <c r="AK34" i="16" s="1"/>
  <c r="AK35" i="16" s="1"/>
  <c r="AO33" i="16"/>
  <c r="AO34" i="16" s="1"/>
  <c r="AO35" i="16" s="1"/>
  <c r="AJ33" i="16"/>
  <c r="AJ34" i="16" s="1"/>
  <c r="AJ35" i="16" s="1"/>
  <c r="AL25" i="16" l="1"/>
  <c r="I560" i="24"/>
  <c r="AO24" i="16"/>
  <c r="AO23" i="16"/>
  <c r="AN25" i="16"/>
  <c r="AI25" i="16"/>
  <c r="H559" i="24"/>
  <c r="H560" i="24" s="1"/>
  <c r="AP14" i="16"/>
  <c r="G566" i="24"/>
  <c r="G567" i="24" s="1"/>
  <c r="AN33" i="16"/>
  <c r="AN34" i="16" s="1"/>
  <c r="AN35" i="16" s="1"/>
  <c r="AM33" i="16"/>
  <c r="AM34" i="16" s="1"/>
  <c r="AM35" i="16" s="1"/>
  <c r="G568" i="24" l="1"/>
  <c r="J567" i="24"/>
  <c r="J566" i="24"/>
  <c r="K559" i="24"/>
  <c r="I561" i="24"/>
  <c r="L560" i="24"/>
  <c r="AO25" i="16"/>
  <c r="K560" i="24"/>
  <c r="H561" i="24"/>
  <c r="I562" i="24" l="1"/>
  <c r="L561" i="24"/>
  <c r="K561" i="24"/>
  <c r="H562" i="24"/>
  <c r="I563" i="24" l="1"/>
  <c r="L562" i="24"/>
  <c r="K562" i="24"/>
  <c r="H563" i="24"/>
  <c r="L563" i="24" l="1"/>
  <c r="I564" i="24"/>
  <c r="K563" i="24"/>
  <c r="H564" i="24"/>
  <c r="L564" i="24" l="1"/>
  <c r="I565" i="24"/>
  <c r="H565" i="24"/>
  <c r="K564" i="24"/>
  <c r="I566" i="24" l="1"/>
  <c r="L565" i="24"/>
  <c r="H566" i="24"/>
  <c r="K565" i="24"/>
  <c r="I567" i="24" l="1"/>
  <c r="L566" i="24"/>
  <c r="H567" i="24"/>
  <c r="K566" i="24"/>
  <c r="H568" i="24" l="1"/>
  <c r="K567" i="24"/>
  <c r="I568" i="24"/>
  <c r="L56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<sst xmlns="http://schemas.openxmlformats.org/spreadsheetml/2006/main" count="2816" uniqueCount="837">
  <si>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</si>
  <si>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</si>
  <si>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</si>
  <si>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</si>
  <si>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</si>
  <si>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</si>
  <si>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</si>
  <si>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</si>
  <si>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</si>
  <si>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</si>
  <si>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</si>
  <si>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</si>
  <si>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</si>
  <si>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</si>
  <si>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</si>
  <si>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</si>
  <si>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</si>
  <si>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</si>
  <si>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</si>
  <si>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</si>
  <si>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</si>
  <si>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</si>
  <si>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</si>
  <si>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</si>
  <si>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</si>
  <si>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</si>
  <si>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</si>
  <si>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</si>
  <si>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</si>
  <si>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</si>
  <si>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</si>
  <si>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</si>
  <si>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</si>
  <si>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</si>
  <si>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</si>
  <si>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</si>
  <si>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</si>
  <si>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</si>
  <si>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</si>
  <si>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</si>
  <si>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</si>
  <si>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</si>
  <si>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</si>
  <si>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</si>
  <si>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</si>
  <si>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</si>
  <si>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</si>
  <si>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</si>
  <si>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</si>
  <si>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</si>
  <si>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</si>
  <si>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</si>
  <si>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</si>
  <si>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</si>
  <si>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</si>
  <si>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</si>
  <si>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</si>
  <si>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</si>
  <si>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</si>
  <si>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</si>
  <si>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</si>
  <si>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</si>
  <si>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</si>
  <si>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</si>
  <si>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</si>
  <si>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</si>
  <si>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</si>
  <si>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</si>
  <si>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</si>
  <si>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</si>
  <si>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</si>
  <si>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</si>
  <si>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</si>
  <si>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</si>
  <si>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</si>
  <si>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</si>
  <si>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</si>
  <si>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</si>
  <si>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</si>
  <si>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</si>
  <si>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</si>
  <si>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</si>
  <si>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</si>
  <si>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</si>
  <si>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</si>
  <si>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</si>
  <si>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</si>
  <si>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</si>
  <si>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</si>
  <si>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</si>
  <si>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</si>
  <si>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</si>
  <si>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</si>
  <si>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</si>
  <si>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</si>
  <si>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</si>
  <si>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</si>
  <si>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</si>
  <si>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</si>
  <si>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</si>
  <si>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</si>
  <si>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</si>
  <si>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</si>
  <si>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</si>
  <si>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</si>
  <si>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</si>
  <si>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</si>
  <si>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</si>
  <si>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</si>
  <si>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</si>
  <si>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</si>
  <si>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</si>
  <si>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</si>
  <si>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</si>
  <si>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</si>
  <si>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</si>
  <si>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</si>
  <si>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</si>
  <si>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</si>
  <si>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</si>
  <si>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</si>
  <si>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</si>
  <si>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</si>
  <si>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</si>
  <si>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</si>
  <si>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</si>
  <si>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</si>
  <si>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</si>
  <si>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</si>
  <si>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</si>
  <si>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</si>
  <si>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</si>
  <si>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</si>
  <si>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</si>
  <si>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</si>
  <si>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</si>
  <si>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</si>
  <si>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</si>
  <si>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</si>
  <si>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</si>
  <si>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</si>
  <si>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</si>
  <si>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</si>
  <si>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</si>
  <si>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</si>
  <si>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</si>
  <si>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</si>
  <si>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</si>
  <si>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</si>
  <si>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</si>
  <si>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</si>
  <si>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</si>
  <si>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</si>
  <si>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</si>
  <si>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</si>
  <si>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</si>
  <si>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</si>
  <si>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</si>
  <si>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</si>
  <si>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</si>
  <si>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</si>
  <si>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</si>
  <si>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</si>
  <si>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</si>
  <si>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</si>
  <si>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</si>
  <si>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</si>
  <si>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</si>
  <si>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</si>
  <si>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</si>
  <si>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</si>
  <si>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</si>
  <si>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</si>
  <si>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</si>
  <si>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</si>
  <si>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</si>
  <si>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</si>
  <si>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</si>
  <si>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</si>
  <si>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</si>
  <si>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</si>
  <si>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</si>
  <si>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</si>
  <si>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</si>
  <si>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</si>
  <si>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</si>
  <si>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</si>
  <si>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</si>
  <si>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</si>
  <si>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</si>
  <si>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</si>
  <si>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</si>
  <si>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</si>
  <si>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</si>
  <si>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</si>
  <si>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</si>
  <si>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</si>
  <si>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</si>
  <si>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</si>
  <si>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</si>
  <si>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</si>
  <si>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</si>
  <si>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</si>
  <si>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</si>
  <si>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</si>
  <si>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</si>
  <si>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</si>
  <si>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</si>
  <si>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</si>
  <si>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</si>
  <si>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</si>
  <si>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</si>
  <si>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</si>
  <si>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</si>
  <si>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</si>
  <si>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</si>
  <si>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</si>
  <si>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</si>
  <si>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</si>
  <si>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</si>
  <si>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</si>
  <si>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</si>
  <si>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</si>
  <si>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</si>
  <si>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</si>
  <si>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</si>
  <si>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</si>
  <si>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</si>
  <si>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</si>
  <si>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</si>
  <si>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</si>
  <si>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</si>
  <si>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</si>
  <si>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</si>
  <si>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</si>
  <si>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</si>
  <si>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</si>
  <si>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</si>
  <si>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</si>
  <si>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</si>
  <si>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</si>
  <si>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</si>
  <si>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</si>
  <si>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</si>
  <si>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</si>
  <si>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</si>
  <si>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</si>
  <si>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</si>
  <si>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</si>
  <si>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</si>
  <si>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</si>
  <si>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</si>
  <si>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</si>
  <si>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</si>
  <si>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</si>
  <si>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</si>
  <si>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</si>
  <si>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</si>
  <si>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</si>
  <si>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</si>
  <si>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</si>
  <si>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</si>
  <si>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</si>
  <si>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</si>
  <si>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</si>
  <si>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</si>
  <si>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</si>
  <si>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</si>
  <si>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</si>
  <si>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</si>
  <si>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</si>
  <si>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</si>
  <si>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</si>
  <si>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</si>
  <si>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</si>
  <si>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</si>
  <si>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</si>
  <si>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</si>
  <si>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</si>
  <si>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</si>
  <si>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</si>
  <si>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</si>
  <si>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</si>
  <si>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</si>
  <si>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</si>
  <si>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</si>
  <si>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</si>
  <si>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</si>
  <si>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</si>
  <si>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</si>
  <si>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</si>
  <si>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</si>
  <si>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</si>
  <si>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</si>
  <si>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</si>
  <si>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</si>
  <si>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</si>
  <si>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</si>
  <si>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</si>
  <si>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</si>
  <si>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</si>
  <si>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</si>
  <si>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</si>
  <si>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</si>
  <si>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</si>
  <si>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</si>
  <si>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</si>
  <si>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</si>
  <si>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</si>
  <si>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</si>
  <si>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</si>
  <si>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</si>
  <si>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</si>
  <si>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</si>
  <si>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</si>
  <si>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</si>
  <si>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</si>
  <si>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</si>
  <si>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</si>
  <si>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</si>
  <si>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</si>
  <si>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</si>
  <si>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</si>
  <si>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</si>
  <si>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</si>
  <si>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</si>
  <si>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</si>
  <si>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</si>
  <si>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</si>
  <si>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</si>
  <si>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</si>
  <si>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</si>
  <si>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</si>
  <si>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</si>
  <si>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</si>
  <si>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</si>
  <si>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</si>
  <si>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</si>
  <si>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</si>
  <si>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</si>
  <si>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</si>
  <si>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</si>
  <si>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</si>
  <si>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</si>
  <si>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</si>
  <si>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</si>
  <si>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</si>
  <si>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</si>
  <si>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</si>
  <si>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</si>
  <si>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</si>
  <si>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</si>
  <si>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</si>
  <si>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</si>
  <si>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</si>
  <si>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</si>
  <si>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</si>
  <si>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</si>
  <si>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</si>
  <si>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</si>
  <si>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</si>
  <si>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</si>
  <si>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</si>
  <si>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</si>
  <si>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</si>
  <si>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</si>
  <si>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</si>
  <si>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</si>
  <si>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</si>
  <si>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</si>
  <si>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</si>
  <si>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</si>
  <si>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</si>
  <si>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</si>
  <si>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</si>
  <si>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</si>
  <si>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</si>
  <si>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</si>
  <si>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</si>
  <si>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</si>
  <si>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</si>
  <si>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</si>
  <si>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</si>
  <si>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</si>
  <si>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</si>
  <si>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</si>
  <si>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</si>
  <si>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</si>
  <si>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</si>
  <si>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</si>
  <si>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</si>
  <si>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</si>
  <si>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</si>
  <si>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</si>
  <si>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</si>
  <si>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</si>
  <si>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</si>
  <si>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</si>
  <si>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</si>
  <si>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</si>
  <si>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</si>
  <si>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</si>
  <si>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</si>
  <si>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</si>
  <si>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</si>
  <si>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</si>
  <si>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</si>
  <si>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</si>
  <si>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</si>
  <si>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</si>
  <si>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</si>
  <si>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</si>
  <si>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</si>
  <si>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</si>
  <si>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</si>
  <si>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</si>
  <si>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</si>
  <si>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</si>
  <si>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</si>
  <si>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</si>
  <si>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</si>
  <si>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</si>
  <si>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</si>
  <si>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</si>
  <si>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</si>
  <si>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</si>
  <si>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</si>
  <si>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</si>
  <si>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</si>
  <si>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</si>
  <si>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</si>
  <si>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</si>
  <si>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</si>
  <si>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</si>
  <si>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</si>
  <si>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</si>
  <si>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</si>
  <si>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</si>
  <si>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</si>
  <si>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</si>
  <si>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</si>
  <si>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</si>
  <si>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</si>
  <si>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</si>
  <si>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</si>
  <si>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</si>
  <si>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</si>
  <si>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</si>
  <si>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</si>
  <si>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</si>
  <si>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</si>
  <si>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</si>
  <si>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</si>
  <si>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</si>
  <si>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</si>
  <si>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</si>
  <si>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</si>
  <si>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</si>
  <si>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</si>
  <si>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</si>
  <si>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</si>
  <si>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</si>
  <si>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</si>
  <si>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</si>
  <si>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</si>
  <si>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</si>
  <si>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</si>
  <si>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</si>
  <si>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</si>
  <si>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</si>
  <si>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</si>
  <si>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</si>
  <si>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</si>
  <si>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</si>
  <si>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</si>
  <si>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</si>
  <si>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</si>
  <si>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</si>
  <si>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</si>
  <si>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</si>
  <si>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</si>
  <si>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</si>
  <si>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</si>
  <si>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</si>
  <si>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</si>
  <si>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</si>
  <si>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</si>
  <si>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</si>
  <si>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</si>
  <si>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</si>
  <si>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</si>
  <si>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</si>
  <si>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</si>
  <si>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</si>
  <si>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</si>
  <si>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</si>
  <si>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</si>
  <si>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</si>
  <si>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</si>
  <si>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</si>
  <si>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</si>
  <si>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</si>
  <si>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</si>
  <si>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</si>
  <si>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</si>
  <si>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</si>
  <si>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</si>
  <si>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</si>
  <si>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</si>
  <si>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</si>
  <si>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</si>
  <si>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</si>
  <si>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</si>
  <si>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</si>
  <si>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</si>
  <si>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</si>
  <si>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</si>
  <si>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</si>
  <si>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</si>
  <si>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</si>
  <si>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</si>
  <si>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</si>
  <si>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</si>
  <si>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</si>
  <si>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</si>
  <si>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</si>
  <si>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</si>
  <si>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</si>
  <si>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</si>
  <si>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</si>
  <si>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</si>
  <si>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</si>
  <si>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</si>
  <si>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</si>
  <si>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</si>
  <si>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</si>
  <si>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</si>
  <si>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</si>
  <si>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</si>
  <si>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</si>
  <si>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</si>
  <si>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</si>
  <si>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</si>
  <si>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</si>
  <si>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</si>
  <si>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</si>
  <si>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</si>
  <si>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</si>
  <si>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</si>
  <si>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</si>
  <si>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</si>
  <si>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</si>
  <si>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</si>
  <si>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</si>
  <si>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</si>
  <si>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</si>
  <si>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</si>
  <si>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</si>
  <si>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</si>
  <si>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</si>
  <si>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</si>
  <si>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</si>
  <si>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</si>
  <si>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</si>
  <si>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</si>
  <si>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</si>
  <si>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</si>
  <si>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</si>
  <si>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</si>
  <si>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</si>
  <si>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</si>
  <si>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</si>
  <si>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</si>
  <si>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</si>
  <si>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</si>
  <si>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</si>
  <si>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</si>
  <si>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</si>
  <si>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</si>
  <si>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</si>
  <si>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</si>
  <si>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</si>
  <si>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</si>
  <si>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</si>
  <si>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</si>
  <si>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</si>
  <si>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</si>
  <si>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</si>
  <si>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</si>
  <si>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</si>
  <si>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</si>
  <si>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</si>
  <si>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</si>
  <si>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</si>
  <si>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</si>
  <si>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</si>
  <si>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</si>
  <si>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</si>
  <si>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</si>
  <si>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</si>
  <si>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</si>
  <si>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</si>
  <si>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</si>
  <si>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</si>
  <si>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</si>
  <si>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</si>
  <si>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</si>
  <si>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</si>
  <si>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</si>
  <si>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</si>
  <si>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</si>
  <si>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</si>
  <si>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</si>
  <si>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</si>
  <si>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</si>
  <si>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</si>
  <si>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</si>
  <si>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</si>
  <si>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</si>
  <si>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</si>
  <si>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</si>
  <si>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</si>
  <si>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</si>
  <si>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</si>
  <si>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</si>
  <si>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</si>
  <si>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</si>
  <si>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</si>
  <si>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</si>
  <si>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</si>
  <si>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</si>
  <si>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</si>
  <si>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</si>
  <si>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</si>
  <si>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</si>
  <si>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</si>
  <si>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</si>
  <si>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</si>
  <si>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</si>
  <si>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</si>
  <si>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</si>
  <si>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</si>
  <si>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</si>
  <si>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</si>
  <si>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</si>
  <si>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</si>
  <si>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</si>
  <si>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</si>
  <si>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</si>
  <si>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</si>
  <si>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</si>
  <si>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</si>
  <si>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</si>
  <si>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</si>
  <si>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</si>
  <si>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</si>
  <si>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</si>
  <si>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</si>
  <si>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</si>
  <si>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</si>
  <si>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</si>
  <si>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</si>
  <si>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</si>
  <si>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</si>
  <si>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</si>
  <si>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</si>
  <si>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</si>
  <si>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</si>
  <si>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</si>
  <si>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</si>
  <si>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</si>
  <si>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</si>
  <si>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</si>
  <si>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</si>
  <si>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</si>
  <si>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</si>
  <si>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</si>
  <si>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</si>
  <si>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</si>
  <si>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</si>
  <si>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</si>
  <si>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</si>
  <si>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</si>
  <si>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</si>
  <si>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</si>
  <si>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</si>
  <si>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</si>
  <si>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</si>
  <si>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</si>
  <si>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</si>
  <si>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</si>
  <si>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</si>
  <si>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</si>
  <si>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</si>
  <si>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</si>
  <si>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</si>
  <si>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</si>
  <si>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</si>
  <si>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</si>
  <si>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</si>
  <si>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</si>
  <si>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</si>
  <si>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</si>
  <si>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</si>
  <si>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</si>
  <si>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</si>
  <si>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</si>
  <si>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</si>
  <si>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</si>
  <si>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</si>
  <si>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</si>
  <si>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</si>
  <si>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</si>
  <si>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</si>
  <si>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</si>
  <si>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</si>
  <si>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</si>
  <si>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</si>
  <si>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</si>
  <si>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</si>
  <si>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</si>
  <si>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</si>
  <si>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</si>
  <si>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</si>
  <si>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</si>
  <si>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</si>
  <si>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</si>
  <si>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</si>
  <si>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</si>
  <si>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</si>
  <si>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</si>
  <si>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</si>
  <si>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</si>
  <si>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</si>
  <si>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</si>
  <si>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</si>
  <si>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</si>
  <si>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</si>
  <si>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</si>
  <si>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</si>
  <si>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</si>
  <si>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</si>
  <si>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</si>
  <si>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</si>
  <si>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</si>
  <si>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</si>
  <si>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</si>
  <si>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</si>
  <si>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</si>
  <si>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</si>
  <si>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</si>
  <si>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</si>
  <si>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</si>
  <si>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</si>
  <si>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</si>
  <si>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</si>
  <si>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</si>
  <si>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</si>
  <si>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</si>
  <si>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</si>
  <si>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</si>
  <si>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</si>
  <si>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</si>
  <si>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</si>
  <si>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</si>
  <si>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</si>
  <si>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</si>
  <si>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</si>
  <si>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</si>
  <si>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</si>
  <si>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</si>
  <si>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</si>
  <si>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</si>
  <si>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</si>
  <si>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</si>
  <si>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</si>
  <si>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</si>
  <si>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</si>
  <si>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</si>
  <si>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</si>
  <si>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</si>
  <si>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</si>
  <si>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</si>
  <si>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</si>
  <si>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</si>
  <si>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</si>
  <si>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</si>
  <si>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</si>
  <si>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</si>
  <si>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</si>
  <si>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</si>
  <si>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</si>
  <si>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</si>
  <si>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</si>
  <si>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</si>
  <si>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</si>
  <si>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</si>
  <si>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</si>
  <si>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</si>
  <si>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</si>
  <si>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</si>
  <si>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</si>
  <si>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</si>
  <si>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</si>
  <si>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</si>
  <si>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</si>
  <si>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</si>
  <si>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</si>
  <si>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</si>
  <si>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</si>
  <si>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</si>
  <si>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</si>
  <si>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</si>
  <si>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</si>
  <si>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</si>
  <si>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</si>
  <si>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</si>
  <si>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</si>
  <si>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</si>
  <si>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</si>
  <si>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</si>
  <si>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</si>
  <si>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</si>
  <si>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</si>
  <si>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</si>
  <si>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景気動向指数（ＣＩ一致指数）は、下方への局面変化を示している。</t>
    <rPh sb="16" eb="18">
      <t>カホウ</t>
    </rPh>
    <rPh sb="20" eb="22">
      <t>キョクメン</t>
    </rPh>
    <rPh sb="22" eb="24">
      <t>ヘンカ</t>
    </rPh>
    <phoneticPr fontId="3"/>
  </si>
  <si>
    <t>２か月ぶりの
上昇</t>
    <rPh sb="2" eb="3">
      <t>ゲツ</t>
    </rPh>
    <rPh sb="7" eb="9">
      <t>ジョウショウ</t>
    </rPh>
    <phoneticPr fontId="3"/>
  </si>
  <si>
    <t>２か月連続の
上昇</t>
    <rPh sb="2" eb="3">
      <t>ゲツ</t>
    </rPh>
    <rPh sb="3" eb="5">
      <t>レンゾク</t>
    </rPh>
    <rPh sb="7" eb="9">
      <t>ジョウショウ</t>
    </rPh>
    <phoneticPr fontId="3"/>
  </si>
  <si>
    <t>27</t>
    <phoneticPr fontId="3"/>
  </si>
  <si>
    <t>３か月連続の
上昇</t>
    <rPh sb="3" eb="5">
      <t>レンゾク</t>
    </rPh>
    <rPh sb="7" eb="9">
      <t>ジョウショウ</t>
    </rPh>
    <phoneticPr fontId="3"/>
  </si>
  <si>
    <t>８か月ぶりの
上昇</t>
    <rPh sb="2" eb="3">
      <t>ゲツ</t>
    </rPh>
    <rPh sb="7" eb="9">
      <t>ジョウショウ</t>
    </rPh>
    <phoneticPr fontId="3"/>
  </si>
  <si>
    <t>16か月連続の
上昇</t>
    <rPh sb="2" eb="3">
      <t>ゲツ</t>
    </rPh>
    <rPh sb="4" eb="6">
      <t>ジョウショウ</t>
    </rPh>
    <phoneticPr fontId="3"/>
  </si>
  <si>
    <t>５か月連続の
下降</t>
    <rPh sb="2" eb="4">
      <t>レンゾク</t>
    </rPh>
    <rPh sb="6" eb="8">
      <t>カコウ</t>
    </rPh>
    <phoneticPr fontId="3"/>
  </si>
  <si>
    <t>６か月連続の
下降</t>
    <rPh sb="1" eb="3">
      <t>レンゾク</t>
    </rPh>
    <rPh sb="5" eb="7">
      <t>カコウ</t>
    </rPh>
    <phoneticPr fontId="3"/>
  </si>
  <si>
    <t>＋</t>
  </si>
  <si>
    <t>－</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</si>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</sst>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411]ggge&quot;年&quot;m&quot;月&quot;d&quot;日&quot;;@"/>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8">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
      <left/>
      <right style="thin">
        <color auto="1"/>
      </right>
      <top style="thin">
        <color indexed="64"/>
      </top>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72">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0" fontId="37" fillId="0" borderId="8" xfId="0"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8" fontId="43" fillId="0" borderId="134" xfId="18" quotePrefix="1" applyNumberFormat="1" applyFont="1" applyBorder="1" applyAlignment="1">
      <alignment horizontal="left" vertical="center" shrinkToFit="1"/>
    </xf>
    <xf numFmtId="2" fontId="37" fillId="0" borderId="9" xfId="0"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93" fontId="43" fillId="0" borderId="166" xfId="18" applyNumberFormat="1" applyFont="1" applyBorder="1" applyAlignment="1">
      <alignment vertic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99"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6" xfId="0" applyFont="1" applyBorder="1" applyAlignment="1">
      <alignment vertical="center"/>
    </xf>
    <xf numFmtId="2" fontId="37" fillId="0" borderId="3" xfId="0" applyNumberFormat="1" applyFont="1" applyBorder="1" applyAlignment="1">
      <alignment horizontal="centerContinuous" vertical="center"/>
    </xf>
    <xf numFmtId="0" fontId="37" fillId="0" borderId="35" xfId="0" applyFont="1" applyBorder="1" applyAlignment="1">
      <alignment vertical="center"/>
    </xf>
    <xf numFmtId="0" fontId="37" fillId="0" borderId="33" xfId="0" applyFont="1" applyBorder="1" applyAlignment="1">
      <alignment vertical="center"/>
    </xf>
    <xf numFmtId="2" fontId="37" fillId="0" borderId="36" xfId="0" applyNumberFormat="1" applyFont="1" applyBorder="1" applyAlignment="1">
      <alignment horizontal="centerContinuous" vertical="center" wrapText="1"/>
    </xf>
    <xf numFmtId="3" fontId="41" fillId="0" borderId="10" xfId="0" applyNumberFormat="1" applyFont="1" applyBorder="1" applyAlignment="1">
      <alignment horizontal="center" vertical="center"/>
    </xf>
    <xf numFmtId="0" fontId="55" fillId="0" borderId="10" xfId="14" applyFont="1" applyBorder="1" applyAlignment="1">
      <alignment horizontal="center" vertical="center"/>
    </xf>
    <xf numFmtId="182"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shrinkToFit="1"/>
    </xf>
    <xf numFmtId="182" fontId="61" fillId="0" borderId="10" xfId="14" applyNumberFormat="1" applyFont="1" applyBorder="1" applyAlignment="1">
      <alignment horizontal="right" vertical="center" shrinkToFit="1"/>
    </xf>
    <xf numFmtId="49"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xf>
    <xf numFmtId="2" fontId="37" fillId="0" borderId="35" xfId="0" applyNumberFormat="1" applyFont="1" applyBorder="1" applyAlignment="1">
      <alignment horizontal="centerContinuous" vertical="center" wrapText="1"/>
    </xf>
    <xf numFmtId="2" fontId="37" fillId="0" borderId="9" xfId="0" applyNumberFormat="1" applyFont="1" applyBorder="1" applyAlignment="1">
      <alignment horizontal="centerContinuous" vertical="center" wrapText="1"/>
    </xf>
    <xf numFmtId="2" fontId="37" fillId="0" borderId="246" xfId="0" applyNumberFormat="1" applyFont="1" applyBorder="1" applyAlignment="1">
      <alignment horizontal="centerContinuous" vertical="center" wrapText="1"/>
    </xf>
    <xf numFmtId="0" fontId="37" fillId="0" borderId="200" xfId="0" applyFont="1" applyBorder="1" applyAlignment="1">
      <alignment vertical="center"/>
    </xf>
    <xf numFmtId="0" fontId="37" fillId="0" borderId="247" xfId="0" applyFont="1" applyBorder="1" applyAlignment="1">
      <alignment vertical="center"/>
    </xf>
    <xf numFmtId="2" fontId="37" fillId="0" borderId="247" xfId="0" applyNumberFormat="1" applyFont="1" applyBorder="1" applyAlignment="1">
      <alignment horizontal="center" vertical="center" wrapText="1"/>
    </xf>
    <xf numFmtId="0" fontId="37" fillId="0" borderId="78" xfId="0" applyFont="1" applyBorder="1" applyAlignment="1">
      <alignment vertical="center"/>
    </xf>
    <xf numFmtId="0" fontId="0" fillId="0" borderId="27" xfId="0" applyBorder="1"/>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206" fontId="50" fillId="0" borderId="0" xfId="14" applyNumberFormat="1" applyFont="1" applyAlignment="1">
      <alignment horizontal="center"/>
    </xf>
    <xf numFmtId="206"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0" xfId="0" applyFont="1" applyAlignment="1">
      <alignment horizontal="left" vertical="center"/>
    </xf>
    <xf numFmtId="0" fontId="37" fillId="0" borderId="79" xfId="0" applyFont="1" applyBorder="1" applyAlignment="1">
      <alignment horizontal="distributed" vertical="center" wrapText="1" justifyLastLine="1"/>
    </xf>
    <xf numFmtId="0" fontId="57" fillId="0" borderId="79" xfId="0" applyFont="1"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175">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pt idx="44">
                  <c:v>138.81428571428572</c:v>
                </c:pt>
                <c:pt idx="45">
                  <c:v>135.84285714285716</c:v>
                </c:pt>
                <c:pt idx="46">
                  <c:v>135.75714285714284</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pt idx="44">
                  <c:v>132.36666666666667</c:v>
                </c:pt>
                <c:pt idx="45" formatCode="0.0">
                  <c:v>132.1</c:v>
                </c:pt>
                <c:pt idx="46" formatCode="0.0">
                  <c:v>134.33333333333331</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pt idx="44">
                  <c:v>132.1</c:v>
                </c:pt>
                <c:pt idx="45">
                  <c:v>132.69999999999999</c:v>
                </c:pt>
                <c:pt idx="46">
                  <c:v>138.19999999999999</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50</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42.857142857142854</c:v>
                </c:pt>
                <c:pt idx="535">
                  <c:v>71.428571428571431</c:v>
                </c:pt>
                <c:pt idx="536">
                  <c:v>78.571428571428569</c:v>
                </c:pt>
                <c:pt idx="537">
                  <c:v>85.714285714285708</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28.571428571428573</c:v>
                </c:pt>
                <c:pt idx="557">
                  <c:v>14.285714285714286</c:v>
                </c:pt>
                <c:pt idx="558">
                  <c:v>42.857142857142854</c:v>
                </c:pt>
                <c:pt idx="559">
                  <c:v>14.285714285714286</c:v>
                </c:pt>
                <c:pt idx="560">
                  <c:v>42.857142857142854</c:v>
                </c:pt>
                <c:pt idx="561">
                  <c:v>71.428571428571431</c:v>
                </c:pt>
                <c:pt idx="562">
                  <c:v>71.428571428571431</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pt idx="558">
                  <c:v>1872.1428571428576</c:v>
                </c:pt>
                <c:pt idx="559">
                  <c:v>1865.0000000000005</c:v>
                </c:pt>
                <c:pt idx="560">
                  <c:v>1857.8571428571431</c:v>
                </c:pt>
                <c:pt idx="561">
                  <c:v>1879.2857142857147</c:v>
                </c:pt>
                <c:pt idx="562">
                  <c:v>1872.1428571428576</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1775</c:v>
                </c:pt>
                <c:pt idx="529" formatCode="0">
                  <c:v>1750</c:v>
                </c:pt>
                <c:pt idx="530" formatCode="0">
                  <c:v>1750</c:v>
                </c:pt>
                <c:pt idx="531" formatCode="0">
                  <c:v>1737.5</c:v>
                </c:pt>
                <c:pt idx="532" formatCode="0">
                  <c:v>1737.5</c:v>
                </c:pt>
                <c:pt idx="533" formatCode="0">
                  <c:v>1712.5</c:v>
                </c:pt>
                <c:pt idx="534" formatCode="0">
                  <c:v>1687.5</c:v>
                </c:pt>
                <c:pt idx="535" formatCode="0">
                  <c:v>1662.5</c:v>
                </c:pt>
                <c:pt idx="536" formatCode="0">
                  <c:v>1637.5</c:v>
                </c:pt>
                <c:pt idx="537" formatCode="0">
                  <c:v>1625</c:v>
                </c:pt>
                <c:pt idx="538" formatCode="0">
                  <c:v>1587.5</c:v>
                </c:pt>
                <c:pt idx="539" formatCode="0">
                  <c:v>1575</c:v>
                </c:pt>
                <c:pt idx="540" formatCode="0">
                  <c:v>1537.5</c:v>
                </c:pt>
                <c:pt idx="541" formatCode="0">
                  <c:v>1550</c:v>
                </c:pt>
                <c:pt idx="542" formatCode="0">
                  <c:v>1562.5</c:v>
                </c:pt>
                <c:pt idx="543" formatCode="0">
                  <c:v>1575</c:v>
                </c:pt>
                <c:pt idx="544" formatCode="0">
                  <c:v>1587.5</c:v>
                </c:pt>
                <c:pt idx="545" formatCode="0">
                  <c:v>1612.5</c:v>
                </c:pt>
                <c:pt idx="546" formatCode="0">
                  <c:v>1612.5</c:v>
                </c:pt>
                <c:pt idx="547" formatCode="0">
                  <c:v>1587.5</c:v>
                </c:pt>
                <c:pt idx="548" formatCode="0">
                  <c:v>1581.25</c:v>
                </c:pt>
                <c:pt idx="549" formatCode="0">
                  <c:v>1606.25</c:v>
                </c:pt>
                <c:pt idx="550" formatCode="0">
                  <c:v>1625</c:v>
                </c:pt>
                <c:pt idx="551" formatCode="0">
                  <c:v>1650</c:v>
                </c:pt>
                <c:pt idx="552" formatCode="0">
                  <c:v>1687.5</c:v>
                </c:pt>
                <c:pt idx="553" formatCode="0">
                  <c:v>1700</c:v>
                </c:pt>
                <c:pt idx="554" formatCode="0">
                  <c:v>1725</c:v>
                </c:pt>
                <c:pt idx="555" formatCode="0">
                  <c:v>1700</c:v>
                </c:pt>
                <c:pt idx="556" formatCode="0">
                  <c:v>1700</c:v>
                </c:pt>
                <c:pt idx="557" formatCode="0">
                  <c:v>1675</c:v>
                </c:pt>
                <c:pt idx="558" formatCode="0">
                  <c:v>1625</c:v>
                </c:pt>
                <c:pt idx="559" formatCode="0">
                  <c:v>1587.5</c:v>
                </c:pt>
                <c:pt idx="560" formatCode="0">
                  <c:v>1587.5</c:v>
                </c:pt>
                <c:pt idx="561" formatCode="0">
                  <c:v>1600</c:v>
                </c:pt>
                <c:pt idx="562" formatCode="0">
                  <c:v>1625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-32.238095238095354</c:v>
                </c:pt>
                <c:pt idx="505">
                  <c:v>-39.380952380952522</c:v>
                </c:pt>
                <c:pt idx="506">
                  <c:v>-32.238095238095354</c:v>
                </c:pt>
                <c:pt idx="507">
                  <c:v>3.4761904761903679</c:v>
                </c:pt>
                <c:pt idx="508">
                  <c:v>39.190476190476033</c:v>
                </c:pt>
                <c:pt idx="509">
                  <c:v>60.619047619047478</c:v>
                </c:pt>
                <c:pt idx="510">
                  <c:v>82.047619047618923</c:v>
                </c:pt>
                <c:pt idx="511">
                  <c:v>60.619047619047478</c:v>
                </c:pt>
                <c:pt idx="512">
                  <c:v>39.190476190476033</c:v>
                </c:pt>
                <c:pt idx="513">
                  <c:v>46.333333333333144</c:v>
                </c:pt>
                <c:pt idx="514">
                  <c:v>53.476190476190254</c:v>
                </c:pt>
                <c:pt idx="515">
                  <c:v>60.619047619047365</c:v>
                </c:pt>
                <c:pt idx="516">
                  <c:v>67.761904761904475</c:v>
                </c:pt>
                <c:pt idx="517">
                  <c:v>74.904761904761585</c:v>
                </c:pt>
                <c:pt idx="518">
                  <c:v>82.047619047618696</c:v>
                </c:pt>
                <c:pt idx="519">
                  <c:v>103.47619047619014</c:v>
                </c:pt>
                <c:pt idx="520">
                  <c:v>139.19047619047581</c:v>
                </c:pt>
                <c:pt idx="521">
                  <c:v>146.33333333333292</c:v>
                </c:pt>
                <c:pt idx="522">
                  <c:v>182.04761904761858</c:v>
                </c:pt>
                <c:pt idx="523">
                  <c:v>217.76190476190425</c:v>
                </c:pt>
                <c:pt idx="524">
                  <c:v>253.47619047618991</c:v>
                </c:pt>
                <c:pt idx="525">
                  <c:v>253.47619047618991</c:v>
                </c:pt>
                <c:pt idx="526">
                  <c:v>274.90476190476136</c:v>
                </c:pt>
                <c:pt idx="527">
                  <c:v>267.76190476190425</c:v>
                </c:pt>
                <c:pt idx="528">
                  <c:v>303.47619047618991</c:v>
                </c:pt>
                <c:pt idx="529">
                  <c:v>310.61904761904702</c:v>
                </c:pt>
                <c:pt idx="530">
                  <c:v>317.76190476190413</c:v>
                </c:pt>
                <c:pt idx="531">
                  <c:v>324.90476190476124</c:v>
                </c:pt>
                <c:pt idx="532">
                  <c:v>289.19047619047558</c:v>
                </c:pt>
                <c:pt idx="533">
                  <c:v>253.47619047618991</c:v>
                </c:pt>
                <c:pt idx="534">
                  <c:v>246.3333333333328</c:v>
                </c:pt>
                <c:pt idx="535">
                  <c:v>267.76190476190425</c:v>
                </c:pt>
                <c:pt idx="536">
                  <c:v>296.3333333333328</c:v>
                </c:pt>
                <c:pt idx="537">
                  <c:v>332.04761904761847</c:v>
                </c:pt>
                <c:pt idx="538">
                  <c:v>353.47619047618991</c:v>
                </c:pt>
                <c:pt idx="539">
                  <c:v>389.19047619047558</c:v>
                </c:pt>
                <c:pt idx="540">
                  <c:v>367.76190476190413</c:v>
                </c:pt>
                <c:pt idx="541">
                  <c:v>360.61904761904702</c:v>
                </c:pt>
                <c:pt idx="542">
                  <c:v>339.19047619047558</c:v>
                </c:pt>
                <c:pt idx="543">
                  <c:v>317.76190476190413</c:v>
                </c:pt>
                <c:pt idx="544">
                  <c:v>296.33333333333269</c:v>
                </c:pt>
                <c:pt idx="545">
                  <c:v>332.04761904761835</c:v>
                </c:pt>
                <c:pt idx="546">
                  <c:v>310.61904761904691</c:v>
                </c:pt>
                <c:pt idx="547">
                  <c:v>317.76190476190402</c:v>
                </c:pt>
                <c:pt idx="548">
                  <c:v>324.90476190476113</c:v>
                </c:pt>
                <c:pt idx="549">
                  <c:v>332.04761904761824</c:v>
                </c:pt>
                <c:pt idx="550">
                  <c:v>353.47619047618969</c:v>
                </c:pt>
                <c:pt idx="551">
                  <c:v>389.19047619047535</c:v>
                </c:pt>
                <c:pt idx="552">
                  <c:v>382.04761904761824</c:v>
                </c:pt>
                <c:pt idx="553">
                  <c:v>417.76190476190391</c:v>
                </c:pt>
                <c:pt idx="554">
                  <c:v>410.6190476190468</c:v>
                </c:pt>
                <c:pt idx="555">
                  <c:v>389.19047619047535</c:v>
                </c:pt>
                <c:pt idx="556">
                  <c:v>367.76190476190391</c:v>
                </c:pt>
                <c:pt idx="557">
                  <c:v>332.04761904761824</c:v>
                </c:pt>
                <c:pt idx="558">
                  <c:v>324.90476190476113</c:v>
                </c:pt>
                <c:pt idx="559">
                  <c:v>289.19047619047547</c:v>
                </c:pt>
                <c:pt idx="560">
                  <c:v>282.04761904761835</c:v>
                </c:pt>
                <c:pt idx="561">
                  <c:v>303.4761904761898</c:v>
                </c:pt>
                <c:pt idx="562">
                  <c:v>324.90476190476124</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112.88571428571427</c:v>
                </c:pt>
                <c:pt idx="1">
                  <c:v>112.01428571428572</c:v>
                </c:pt>
                <c:pt idx="2">
                  <c:v>111.50000000000001</c:v>
                </c:pt>
                <c:pt idx="3">
                  <c:v>112.62857142857145</c:v>
                </c:pt>
                <c:pt idx="4">
                  <c:v>114.08571428571429</c:v>
                </c:pt>
                <c:pt idx="5">
                  <c:v>115.11428571428571</c:v>
                </c:pt>
                <c:pt idx="6">
                  <c:v>115.77142857142857</c:v>
                </c:pt>
                <c:pt idx="7">
                  <c:v>116.89999999999999</c:v>
                </c:pt>
                <c:pt idx="8">
                  <c:v>118.8</c:v>
                </c:pt>
                <c:pt idx="9">
                  <c:v>121.2</c:v>
                </c:pt>
                <c:pt idx="10">
                  <c:v>122.57142857142858</c:v>
                </c:pt>
                <c:pt idx="11">
                  <c:v>123.71428571428571</c:v>
                </c:pt>
                <c:pt idx="12">
                  <c:v>124.67142857142858</c:v>
                </c:pt>
                <c:pt idx="13">
                  <c:v>125.81428571428572</c:v>
                </c:pt>
                <c:pt idx="14">
                  <c:v>126.28571428571429</c:v>
                </c:pt>
                <c:pt idx="15">
                  <c:v>127.5</c:v>
                </c:pt>
                <c:pt idx="16">
                  <c:v>127.95714285714287</c:v>
                </c:pt>
                <c:pt idx="17">
                  <c:v>130.04285714285714</c:v>
                </c:pt>
                <c:pt idx="18">
                  <c:v>130.45714285714286</c:v>
                </c:pt>
                <c:pt idx="19">
                  <c:v>130.99999999999997</c:v>
                </c:pt>
                <c:pt idx="20">
                  <c:v>132.15714285714287</c:v>
                </c:pt>
                <c:pt idx="21">
                  <c:v>133.72857142857143</c:v>
                </c:pt>
                <c:pt idx="22">
                  <c:v>134.87142857142857</c:v>
                </c:pt>
                <c:pt idx="23">
                  <c:v>136.04285714285714</c:v>
                </c:pt>
                <c:pt idx="24">
                  <c:v>134.15714285714287</c:v>
                </c:pt>
                <c:pt idx="25">
                  <c:v>133.34285714285716</c:v>
                </c:pt>
                <c:pt idx="26">
                  <c:v>133.18571428571428</c:v>
                </c:pt>
                <c:pt idx="27">
                  <c:v>132.87142857142857</c:v>
                </c:pt>
                <c:pt idx="28">
                  <c:v>132.98571428571427</c:v>
                </c:pt>
                <c:pt idx="29">
                  <c:v>132.52857142857141</c:v>
                </c:pt>
                <c:pt idx="30">
                  <c:v>132.39999999999998</c:v>
                </c:pt>
                <c:pt idx="31">
                  <c:v>133.98571428571427</c:v>
                </c:pt>
                <c:pt idx="32">
                  <c:v>136.24285714285713</c:v>
                </c:pt>
                <c:pt idx="33">
                  <c:v>137.67142857142858</c:v>
                </c:pt>
                <c:pt idx="34">
                  <c:v>138.14285714285717</c:v>
                </c:pt>
                <c:pt idx="35">
                  <c:v>138.90000000000003</c:v>
                </c:pt>
                <c:pt idx="36">
                  <c:v>140.54285714285714</c:v>
                </c:pt>
                <c:pt idx="37">
                  <c:v>141.98571428571429</c:v>
                </c:pt>
                <c:pt idx="38">
                  <c:v>143.07142857142858</c:v>
                </c:pt>
                <c:pt idx="39">
                  <c:v>144.49999999999997</c:v>
                </c:pt>
                <c:pt idx="40">
                  <c:v>144.55714285714285</c:v>
                </c:pt>
                <c:pt idx="41">
                  <c:v>146.78571428571428</c:v>
                </c:pt>
                <c:pt idx="42">
                  <c:v>147.90000000000003</c:v>
                </c:pt>
                <c:pt idx="43">
                  <c:v>147.94285714285715</c:v>
                </c:pt>
                <c:pt idx="44">
                  <c:v>148.42857142857142</c:v>
                </c:pt>
                <c:pt idx="45">
                  <c:v>149.18571428571428</c:v>
                </c:pt>
                <c:pt idx="46">
                  <c:v>149.68571428571428</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115.10000000000001</c:v>
                </c:pt>
                <c:pt idx="1">
                  <c:v>113.10000000000001</c:v>
                </c:pt>
                <c:pt idx="2">
                  <c:v>110.36666666666667</c:v>
                </c:pt>
                <c:pt idx="3">
                  <c:v>111.3</c:v>
                </c:pt>
                <c:pt idx="4">
                  <c:v>115.03333333333335</c:v>
                </c:pt>
                <c:pt idx="5">
                  <c:v>118.8</c:v>
                </c:pt>
                <c:pt idx="6">
                  <c:v>121.23333333333335</c:v>
                </c:pt>
                <c:pt idx="7">
                  <c:v>121.66666666666667</c:v>
                </c:pt>
                <c:pt idx="8">
                  <c:v>121.7</c:v>
                </c:pt>
                <c:pt idx="9">
                  <c:v>123.03333333333335</c:v>
                </c:pt>
                <c:pt idx="10">
                  <c:v>124.53333333333335</c:v>
                </c:pt>
                <c:pt idx="11">
                  <c:v>126.5</c:v>
                </c:pt>
                <c:pt idx="12">
                  <c:v>126.90000000000002</c:v>
                </c:pt>
                <c:pt idx="13">
                  <c:v>128.79999999999998</c:v>
                </c:pt>
                <c:pt idx="14">
                  <c:v>127.66666666666667</c:v>
                </c:pt>
                <c:pt idx="15">
                  <c:v>128.29999999999998</c:v>
                </c:pt>
                <c:pt idx="16">
                  <c:v>128.03333333333333</c:v>
                </c:pt>
                <c:pt idx="17">
                  <c:v>133.30000000000001</c:v>
                </c:pt>
                <c:pt idx="18">
                  <c:v>133.4</c:v>
                </c:pt>
                <c:pt idx="19">
                  <c:v>134</c:v>
                </c:pt>
                <c:pt idx="20">
                  <c:v>133.73333333333335</c:v>
                </c:pt>
                <c:pt idx="21">
                  <c:v>135.29999999999998</c:v>
                </c:pt>
                <c:pt idx="22">
                  <c:v>137.33333333333334</c:v>
                </c:pt>
                <c:pt idx="23">
                  <c:v>137.1</c:v>
                </c:pt>
                <c:pt idx="24">
                  <c:v>134.29999999999998</c:v>
                </c:pt>
                <c:pt idx="25">
                  <c:v>129.83333333333334</c:v>
                </c:pt>
                <c:pt idx="26">
                  <c:v>127.33333333333333</c:v>
                </c:pt>
                <c:pt idx="27">
                  <c:v>130.73333333333335</c:v>
                </c:pt>
                <c:pt idx="28">
                  <c:v>134.46666666666667</c:v>
                </c:pt>
                <c:pt idx="29">
                  <c:v>135.80000000000001</c:v>
                </c:pt>
                <c:pt idx="30">
                  <c:v>136</c:v>
                </c:pt>
                <c:pt idx="31">
                  <c:v>136.63333333333335</c:v>
                </c:pt>
                <c:pt idx="32">
                  <c:v>138.5</c:v>
                </c:pt>
                <c:pt idx="33">
                  <c:v>139.63333333333335</c:v>
                </c:pt>
                <c:pt idx="34">
                  <c:v>140.43333333333337</c:v>
                </c:pt>
                <c:pt idx="35">
                  <c:v>140.66666666666666</c:v>
                </c:pt>
                <c:pt idx="36">
                  <c:v>142.5</c:v>
                </c:pt>
                <c:pt idx="37">
                  <c:v>144.96666666666667</c:v>
                </c:pt>
                <c:pt idx="38">
                  <c:v>146.36666666666667</c:v>
                </c:pt>
                <c:pt idx="39">
                  <c:v>147.73333333333335</c:v>
                </c:pt>
                <c:pt idx="40">
                  <c:v>145.63333333333335</c:v>
                </c:pt>
                <c:pt idx="41">
                  <c:v>149.1</c:v>
                </c:pt>
                <c:pt idx="42">
                  <c:v>148.6</c:v>
                </c:pt>
                <c:pt idx="43">
                  <c:v>150.4</c:v>
                </c:pt>
                <c:pt idx="44">
                  <c:v>148.79999999999998</c:v>
                </c:pt>
                <c:pt idx="45" formatCode="0.0">
                  <c:v>149.36666666666667</c:v>
                </c:pt>
                <c:pt idx="46" formatCode="0.0">
                  <c:v>151.79999999999998</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112.8</c:v>
                </c:pt>
                <c:pt idx="1">
                  <c:v>108.2</c:v>
                </c:pt>
                <c:pt idx="2">
                  <c:v>110.1</c:v>
                </c:pt>
                <c:pt idx="3">
                  <c:v>115.6</c:v>
                </c:pt>
                <c:pt idx="4">
                  <c:v>119.4</c:v>
                </c:pt>
                <c:pt idx="5">
                  <c:v>121.4</c:v>
                </c:pt>
                <c:pt idx="6">
                  <c:v>122.9</c:v>
                </c:pt>
                <c:pt idx="7">
                  <c:v>120.7</c:v>
                </c:pt>
                <c:pt idx="8">
                  <c:v>121.5</c:v>
                </c:pt>
                <c:pt idx="9">
                  <c:v>126.9</c:v>
                </c:pt>
                <c:pt idx="10">
                  <c:v>125.2</c:v>
                </c:pt>
                <c:pt idx="11">
                  <c:v>127.4</c:v>
                </c:pt>
                <c:pt idx="12">
                  <c:v>128.1</c:v>
                </c:pt>
                <c:pt idx="13">
                  <c:v>130.9</c:v>
                </c:pt>
                <c:pt idx="14">
                  <c:v>124</c:v>
                </c:pt>
                <c:pt idx="15">
                  <c:v>130</c:v>
                </c:pt>
                <c:pt idx="16">
                  <c:v>130.1</c:v>
                </c:pt>
                <c:pt idx="17">
                  <c:v>139.80000000000001</c:v>
                </c:pt>
                <c:pt idx="18" formatCode="0.00">
                  <c:v>130.30000000000001</c:v>
                </c:pt>
                <c:pt idx="19" formatCode="0.00">
                  <c:v>131.9</c:v>
                </c:pt>
                <c:pt idx="20" formatCode="0.00">
                  <c:v>139</c:v>
                </c:pt>
                <c:pt idx="21">
                  <c:v>135</c:v>
                </c:pt>
                <c:pt idx="22">
                  <c:v>138</c:v>
                </c:pt>
                <c:pt idx="23">
                  <c:v>138.30000000000001</c:v>
                </c:pt>
                <c:pt idx="24">
                  <c:v>126.6</c:v>
                </c:pt>
                <c:pt idx="25">
                  <c:v>124.6</c:v>
                </c:pt>
                <c:pt idx="26">
                  <c:v>130.80000000000001</c:v>
                </c:pt>
                <c:pt idx="27">
                  <c:v>136.80000000000001</c:v>
                </c:pt>
                <c:pt idx="28">
                  <c:v>135.80000000000001</c:v>
                </c:pt>
                <c:pt idx="29">
                  <c:v>134.80000000000001</c:v>
                </c:pt>
                <c:pt idx="30">
                  <c:v>137.4</c:v>
                </c:pt>
                <c:pt idx="31">
                  <c:v>137.69999999999999</c:v>
                </c:pt>
                <c:pt idx="32">
                  <c:v>140.4</c:v>
                </c:pt>
                <c:pt idx="33">
                  <c:v>140.80000000000001</c:v>
                </c:pt>
                <c:pt idx="34">
                  <c:v>140.1</c:v>
                </c:pt>
                <c:pt idx="35">
                  <c:v>141.1</c:v>
                </c:pt>
                <c:pt idx="36">
                  <c:v>146.30000000000001</c:v>
                </c:pt>
                <c:pt idx="37">
                  <c:v>147.5</c:v>
                </c:pt>
                <c:pt idx="38">
                  <c:v>145.30000000000001</c:v>
                </c:pt>
                <c:pt idx="39">
                  <c:v>150.4</c:v>
                </c:pt>
                <c:pt idx="40">
                  <c:v>141.19999999999999</c:v>
                </c:pt>
                <c:pt idx="41">
                  <c:v>155.69999999999999</c:v>
                </c:pt>
                <c:pt idx="42">
                  <c:v>148.9</c:v>
                </c:pt>
                <c:pt idx="43">
                  <c:v>146.6</c:v>
                </c:pt>
                <c:pt idx="44">
                  <c:v>150.9</c:v>
                </c:pt>
                <c:pt idx="45">
                  <c:v>150.6</c:v>
                </c:pt>
                <c:pt idx="46">
                  <c:v>153.9</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138.52857142857144</c:v>
                </c:pt>
                <c:pt idx="1">
                  <c:v>140.82857142857142</c:v>
                </c:pt>
                <c:pt idx="2">
                  <c:v>142.27142857142857</c:v>
                </c:pt>
                <c:pt idx="3">
                  <c:v>143.94285714285712</c:v>
                </c:pt>
                <c:pt idx="4">
                  <c:v>146.42857142857142</c:v>
                </c:pt>
                <c:pt idx="5">
                  <c:v>148.52857142857144</c:v>
                </c:pt>
                <c:pt idx="6">
                  <c:v>150.59999999999997</c:v>
                </c:pt>
                <c:pt idx="7">
                  <c:v>151.42857142857142</c:v>
                </c:pt>
                <c:pt idx="8">
                  <c:v>152.98571428571429</c:v>
                </c:pt>
                <c:pt idx="9">
                  <c:v>152.75714285714284</c:v>
                </c:pt>
                <c:pt idx="10">
                  <c:v>153.70000000000002</c:v>
                </c:pt>
                <c:pt idx="11">
                  <c:v>153.12857142857143</c:v>
                </c:pt>
                <c:pt idx="12">
                  <c:v>152.91428571428574</c:v>
                </c:pt>
                <c:pt idx="13">
                  <c:v>151.64285714285714</c:v>
                </c:pt>
                <c:pt idx="14">
                  <c:v>150.21428571428572</c:v>
                </c:pt>
                <c:pt idx="15">
                  <c:v>147.6</c:v>
                </c:pt>
                <c:pt idx="16">
                  <c:v>146.38571428571427</c:v>
                </c:pt>
                <c:pt idx="17">
                  <c:v>144.48571428571429</c:v>
                </c:pt>
                <c:pt idx="18">
                  <c:v>142.67142857142858</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128.3857142857143</c:v>
                </c:pt>
                <c:pt idx="28">
                  <c:v>129.67142857142858</c:v>
                </c:pt>
                <c:pt idx="29">
                  <c:v>131.1142857142857</c:v>
                </c:pt>
                <c:pt idx="30">
                  <c:v>131.48571428571429</c:v>
                </c:pt>
                <c:pt idx="31">
                  <c:v>132.79999999999998</c:v>
                </c:pt>
                <c:pt idx="32">
                  <c:v>134.1</c:v>
                </c:pt>
                <c:pt idx="33">
                  <c:v>136.28571428571428</c:v>
                </c:pt>
                <c:pt idx="34">
                  <c:v>137.04285714285714</c:v>
                </c:pt>
                <c:pt idx="35">
                  <c:v>137.32857142857142</c:v>
                </c:pt>
                <c:pt idx="36">
                  <c:v>138.95714285714286</c:v>
                </c:pt>
                <c:pt idx="37">
                  <c:v>141.47142857142856</c:v>
                </c:pt>
                <c:pt idx="38">
                  <c:v>144.47142857142856</c:v>
                </c:pt>
                <c:pt idx="39">
                  <c:v>144.68571428571428</c:v>
                </c:pt>
                <c:pt idx="40">
                  <c:v>143.84285714285716</c:v>
                </c:pt>
                <c:pt idx="41">
                  <c:v>143.97142857142856</c:v>
                </c:pt>
                <c:pt idx="42">
                  <c:v>143.22857142857143</c:v>
                </c:pt>
                <c:pt idx="43">
                  <c:v>141.1</c:v>
                </c:pt>
                <c:pt idx="44">
                  <c:v>138.81428571428572</c:v>
                </c:pt>
                <c:pt idx="45">
                  <c:v>135.84285714285716</c:v>
                </c:pt>
                <c:pt idx="46">
                  <c:v>135.75714285714284</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148.36666666666667</c:v>
                </c:pt>
                <c:pt idx="4">
                  <c:v>149.4</c:v>
                </c:pt>
                <c:pt idx="5">
                  <c:v>149.93333333333334</c:v>
                </c:pt>
                <c:pt idx="6">
                  <c:v>153.36666666666667</c:v>
                </c:pt>
                <c:pt idx="7">
                  <c:v>154.46666666666667</c:v>
                </c:pt>
                <c:pt idx="8">
                  <c:v>157.23333333333332</c:v>
                </c:pt>
                <c:pt idx="9">
                  <c:v>153.96666666666667</c:v>
                </c:pt>
                <c:pt idx="10">
                  <c:v>153.66666666666666</c:v>
                </c:pt>
                <c:pt idx="11">
                  <c:v>149.73333333333335</c:v>
                </c:pt>
                <c:pt idx="12">
                  <c:v>150.29999999999998</c:v>
                </c:pt>
                <c:pt idx="13">
                  <c:v>148.56666666666666</c:v>
                </c:pt>
                <c:pt idx="14">
                  <c:v>147.66666666666666</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131.63333333333333</c:v>
                </c:pt>
                <c:pt idx="28">
                  <c:v>134.46666666666667</c:v>
                </c:pt>
                <c:pt idx="29">
                  <c:v>135.6</c:v>
                </c:pt>
                <c:pt idx="30">
                  <c:v>134.06666666666666</c:v>
                </c:pt>
                <c:pt idx="31">
                  <c:v>132.66666666666666</c:v>
                </c:pt>
                <c:pt idx="32">
                  <c:v>133.43333333333334</c:v>
                </c:pt>
                <c:pt idx="33">
                  <c:v>138.9</c:v>
                </c:pt>
                <c:pt idx="34">
                  <c:v>141.53333333333333</c:v>
                </c:pt>
                <c:pt idx="35">
                  <c:v>142</c:v>
                </c:pt>
                <c:pt idx="36">
                  <c:v>141.83333333333334</c:v>
                </c:pt>
                <c:pt idx="37">
                  <c:v>144.4</c:v>
                </c:pt>
                <c:pt idx="38">
                  <c:v>149.33333333333334</c:v>
                </c:pt>
                <c:pt idx="39">
                  <c:v>146.80000000000001</c:v>
                </c:pt>
                <c:pt idx="40">
                  <c:v>144.43333333333334</c:v>
                </c:pt>
                <c:pt idx="41">
                  <c:v>140.36666666666667</c:v>
                </c:pt>
                <c:pt idx="42">
                  <c:v>138.6</c:v>
                </c:pt>
                <c:pt idx="43">
                  <c:v>135.43333333333334</c:v>
                </c:pt>
                <c:pt idx="44">
                  <c:v>132.36666666666667</c:v>
                </c:pt>
                <c:pt idx="45" formatCode="0.0">
                  <c:v>132.1</c:v>
                </c:pt>
                <c:pt idx="46" formatCode="0.0">
                  <c:v>134.33333333333331</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147.30000000000001</c:v>
                </c:pt>
                <c:pt idx="4">
                  <c:v>151.5</c:v>
                </c:pt>
                <c:pt idx="5">
                  <c:v>151</c:v>
                </c:pt>
                <c:pt idx="6">
                  <c:v>157.6</c:v>
                </c:pt>
                <c:pt idx="7">
                  <c:v>154.80000000000001</c:v>
                </c:pt>
                <c:pt idx="8">
                  <c:v>159.30000000000001</c:v>
                </c:pt>
                <c:pt idx="9">
                  <c:v>147.80000000000001</c:v>
                </c:pt>
                <c:pt idx="10">
                  <c:v>153.9</c:v>
                </c:pt>
                <c:pt idx="11">
                  <c:v>147.5</c:v>
                </c:pt>
                <c:pt idx="12">
                  <c:v>149.5</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135.1</c:v>
                </c:pt>
                <c:pt idx="28">
                  <c:v>136.69999999999999</c:v>
                </c:pt>
                <c:pt idx="29">
                  <c:v>135</c:v>
                </c:pt>
                <c:pt idx="30">
                  <c:v>130.5</c:v>
                </c:pt>
                <c:pt idx="31">
                  <c:v>132.5</c:v>
                </c:pt>
                <c:pt idx="32">
                  <c:v>137.30000000000001</c:v>
                </c:pt>
                <c:pt idx="33">
                  <c:v>146.9</c:v>
                </c:pt>
                <c:pt idx="34">
                  <c:v>140.4</c:v>
                </c:pt>
                <c:pt idx="35">
                  <c:v>138.69999999999999</c:v>
                </c:pt>
                <c:pt idx="36">
                  <c:v>146.4</c:v>
                </c:pt>
                <c:pt idx="37">
                  <c:v>148.1</c:v>
                </c:pt>
                <c:pt idx="38">
                  <c:v>153.5</c:v>
                </c:pt>
                <c:pt idx="39">
                  <c:v>138.80000000000001</c:v>
                </c:pt>
                <c:pt idx="40">
                  <c:v>141</c:v>
                </c:pt>
                <c:pt idx="41">
                  <c:v>141.30000000000001</c:v>
                </c:pt>
                <c:pt idx="42">
                  <c:v>133.5</c:v>
                </c:pt>
                <c:pt idx="43">
                  <c:v>131.5</c:v>
                </c:pt>
                <c:pt idx="44">
                  <c:v>132.1</c:v>
                </c:pt>
                <c:pt idx="45">
                  <c:v>132.69999999999999</c:v>
                </c:pt>
                <c:pt idx="46">
                  <c:v>138.19999999999999</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103.48571428571429</c:v>
                </c:pt>
                <c:pt idx="1">
                  <c:v>103.62857142857142</c:v>
                </c:pt>
                <c:pt idx="2">
                  <c:v>104.87142857142855</c:v>
                </c:pt>
                <c:pt idx="3">
                  <c:v>105.62857142857142</c:v>
                </c:pt>
                <c:pt idx="4">
                  <c:v>107.51428571428572</c:v>
                </c:pt>
                <c:pt idx="5">
                  <c:v>108.8</c:v>
                </c:pt>
                <c:pt idx="6">
                  <c:v>111.00000000000001</c:v>
                </c:pt>
                <c:pt idx="7">
                  <c:v>112.57142857142856</c:v>
                </c:pt>
                <c:pt idx="8">
                  <c:v>114.88571428571427</c:v>
                </c:pt>
                <c:pt idx="9">
                  <c:v>115.97142857142856</c:v>
                </c:pt>
                <c:pt idx="10">
                  <c:v>117.91428571428571</c:v>
                </c:pt>
                <c:pt idx="11">
                  <c:v>119.04285714285716</c:v>
                </c:pt>
                <c:pt idx="12">
                  <c:v>120.82857142857144</c:v>
                </c:pt>
                <c:pt idx="13">
                  <c:v>121.54285714285713</c:v>
                </c:pt>
                <c:pt idx="14">
                  <c:v>122.52857142857144</c:v>
                </c:pt>
                <c:pt idx="15">
                  <c:v>123.17142857142858</c:v>
                </c:pt>
                <c:pt idx="16">
                  <c:v>123.65714285714286</c:v>
                </c:pt>
                <c:pt idx="17">
                  <c:v>123.47142857142856</c:v>
                </c:pt>
                <c:pt idx="18">
                  <c:v>123.18571428571428</c:v>
                </c:pt>
                <c:pt idx="19">
                  <c:v>123.21428571428571</c:v>
                </c:pt>
                <c:pt idx="20">
                  <c:v>123.31428571428572</c:v>
                </c:pt>
                <c:pt idx="21">
                  <c:v>123.98571428571428</c:v>
                </c:pt>
                <c:pt idx="22">
                  <c:v>124.04285714285713</c:v>
                </c:pt>
                <c:pt idx="23">
                  <c:v>124.65714285714286</c:v>
                </c:pt>
                <c:pt idx="24">
                  <c:v>124.48571428571429</c:v>
                </c:pt>
                <c:pt idx="25">
                  <c:v>124.77142857142859</c:v>
                </c:pt>
                <c:pt idx="26">
                  <c:v>124.37142857142858</c:v>
                </c:pt>
                <c:pt idx="27">
                  <c:v>123.68571428571428</c:v>
                </c:pt>
                <c:pt idx="28">
                  <c:v>122.88571428571427</c:v>
                </c:pt>
                <c:pt idx="29">
                  <c:v>123.34285714285714</c:v>
                </c:pt>
                <c:pt idx="30">
                  <c:v>122.45714285714287</c:v>
                </c:pt>
                <c:pt idx="31">
                  <c:v>123.34285714285714</c:v>
                </c:pt>
                <c:pt idx="32">
                  <c:v>123.01428571428571</c:v>
                </c:pt>
                <c:pt idx="33">
                  <c:v>122.98571428571428</c:v>
                </c:pt>
                <c:pt idx="34">
                  <c:v>124.04285714285713</c:v>
                </c:pt>
                <c:pt idx="35">
                  <c:v>124.65714285714286</c:v>
                </c:pt>
                <c:pt idx="36">
                  <c:v>124.91428571428571</c:v>
                </c:pt>
                <c:pt idx="37">
                  <c:v>126.1</c:v>
                </c:pt>
                <c:pt idx="38">
                  <c:v>126.57142857142857</c:v>
                </c:pt>
                <c:pt idx="39">
                  <c:v>126.92857142857143</c:v>
                </c:pt>
                <c:pt idx="40">
                  <c:v>127.02857142857142</c:v>
                </c:pt>
                <c:pt idx="41">
                  <c:v>126.3142857142857</c:v>
                </c:pt>
                <c:pt idx="42">
                  <c:v>126.02857142857144</c:v>
                </c:pt>
                <c:pt idx="43">
                  <c:v>124.61428571428573</c:v>
                </c:pt>
                <c:pt idx="44">
                  <c:v>123.47142857142856</c:v>
                </c:pt>
                <c:pt idx="45">
                  <c:v>122.67142857142858</c:v>
                </c:pt>
                <c:pt idx="46">
                  <c:v>122.71428571428571</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105.16666666666667</c:v>
                </c:pt>
                <c:pt idx="1">
                  <c:v>104.46666666666665</c:v>
                </c:pt>
                <c:pt idx="2">
                  <c:v>106.2</c:v>
                </c:pt>
                <c:pt idx="3">
                  <c:v>106.63333333333333</c:v>
                </c:pt>
                <c:pt idx="4">
                  <c:v>111.56666666666666</c:v>
                </c:pt>
                <c:pt idx="5">
                  <c:v>112.60000000000001</c:v>
                </c:pt>
                <c:pt idx="6">
                  <c:v>117.09999999999998</c:v>
                </c:pt>
                <c:pt idx="7">
                  <c:v>116.96666666666665</c:v>
                </c:pt>
                <c:pt idx="8">
                  <c:v>118.66666666666667</c:v>
                </c:pt>
                <c:pt idx="9">
                  <c:v>117.8</c:v>
                </c:pt>
                <c:pt idx="10">
                  <c:v>119.10000000000001</c:v>
                </c:pt>
                <c:pt idx="11">
                  <c:v>121.26666666666665</c:v>
                </c:pt>
                <c:pt idx="12">
                  <c:v>123.93333333333334</c:v>
                </c:pt>
                <c:pt idx="13">
                  <c:v>125.56666666666666</c:v>
                </c:pt>
                <c:pt idx="14">
                  <c:v>125.10000000000001</c:v>
                </c:pt>
                <c:pt idx="15">
                  <c:v>124.13333333333333</c:v>
                </c:pt>
                <c:pt idx="16">
                  <c:v>122.73333333333335</c:v>
                </c:pt>
                <c:pt idx="17">
                  <c:v>121.3</c:v>
                </c:pt>
                <c:pt idx="18">
                  <c:v>121.3</c:v>
                </c:pt>
                <c:pt idx="19">
                  <c:v>122.89999999999999</c:v>
                </c:pt>
                <c:pt idx="20">
                  <c:v>125.2</c:v>
                </c:pt>
                <c:pt idx="21">
                  <c:v>126.96666666666665</c:v>
                </c:pt>
                <c:pt idx="22">
                  <c:v>126.06666666666666</c:v>
                </c:pt>
                <c:pt idx="23">
                  <c:v>125.86666666666667</c:v>
                </c:pt>
                <c:pt idx="24">
                  <c:v>122.46666666666665</c:v>
                </c:pt>
                <c:pt idx="25">
                  <c:v>123</c:v>
                </c:pt>
                <c:pt idx="26">
                  <c:v>122.23333333333335</c:v>
                </c:pt>
                <c:pt idx="27">
                  <c:v>123.33333333333333</c:v>
                </c:pt>
                <c:pt idx="28">
                  <c:v>122.56666666666666</c:v>
                </c:pt>
                <c:pt idx="29">
                  <c:v>123.66666666666667</c:v>
                </c:pt>
                <c:pt idx="30">
                  <c:v>123</c:v>
                </c:pt>
                <c:pt idx="31">
                  <c:v>123.53333333333335</c:v>
                </c:pt>
                <c:pt idx="32">
                  <c:v>122.23333333333333</c:v>
                </c:pt>
                <c:pt idx="33">
                  <c:v>123.46666666666665</c:v>
                </c:pt>
                <c:pt idx="34">
                  <c:v>124.96666666666665</c:v>
                </c:pt>
                <c:pt idx="35">
                  <c:v>126.40000000000002</c:v>
                </c:pt>
                <c:pt idx="36">
                  <c:v>128.16666666666666</c:v>
                </c:pt>
                <c:pt idx="37">
                  <c:v>127.8</c:v>
                </c:pt>
                <c:pt idx="38">
                  <c:v>128</c:v>
                </c:pt>
                <c:pt idx="39">
                  <c:v>126.93333333333334</c:v>
                </c:pt>
                <c:pt idx="40">
                  <c:v>125.63333333333333</c:v>
                </c:pt>
                <c:pt idx="41">
                  <c:v>124.36666666666667</c:v>
                </c:pt>
                <c:pt idx="42">
                  <c:v>124.3</c:v>
                </c:pt>
                <c:pt idx="43">
                  <c:v>122.53333333333335</c:v>
                </c:pt>
                <c:pt idx="44">
                  <c:v>121.16666666666667</c:v>
                </c:pt>
                <c:pt idx="45" formatCode="0.0">
                  <c:v>120.16666666666667</c:v>
                </c:pt>
                <c:pt idx="46" formatCode="0.0">
                  <c:v>122.5</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105.8</c:v>
                </c:pt>
                <c:pt idx="1">
                  <c:v>102.4</c:v>
                </c:pt>
                <c:pt idx="2">
                  <c:v>110.4</c:v>
                </c:pt>
                <c:pt idx="3">
                  <c:v>107.1</c:v>
                </c:pt>
                <c:pt idx="4">
                  <c:v>117.2</c:v>
                </c:pt>
                <c:pt idx="5">
                  <c:v>113.5</c:v>
                </c:pt>
                <c:pt idx="6">
                  <c:v>120.6</c:v>
                </c:pt>
                <c:pt idx="7">
                  <c:v>116.8</c:v>
                </c:pt>
                <c:pt idx="8">
                  <c:v>118.6</c:v>
                </c:pt>
                <c:pt idx="9">
                  <c:v>118</c:v>
                </c:pt>
                <c:pt idx="10">
                  <c:v>120.7</c:v>
                </c:pt>
                <c:pt idx="11">
                  <c:v>125.1</c:v>
                </c:pt>
                <c:pt idx="12">
                  <c:v>126</c:v>
                </c:pt>
                <c:pt idx="13">
                  <c:v>125.6</c:v>
                </c:pt>
                <c:pt idx="14">
                  <c:v>123.7</c:v>
                </c:pt>
                <c:pt idx="15">
                  <c:v>123.1</c:v>
                </c:pt>
                <c:pt idx="16">
                  <c:v>121.4</c:v>
                </c:pt>
                <c:pt idx="17">
                  <c:v>119.4</c:v>
                </c:pt>
                <c:pt idx="18">
                  <c:v>123.1</c:v>
                </c:pt>
                <c:pt idx="19">
                  <c:v>126.2</c:v>
                </c:pt>
                <c:pt idx="20">
                  <c:v>126.3</c:v>
                </c:pt>
                <c:pt idx="21">
                  <c:v>128.4</c:v>
                </c:pt>
                <c:pt idx="22">
                  <c:v>123.5</c:v>
                </c:pt>
                <c:pt idx="23">
                  <c:v>125.7</c:v>
                </c:pt>
                <c:pt idx="24">
                  <c:v>118.2</c:v>
                </c:pt>
                <c:pt idx="25">
                  <c:v>125.1</c:v>
                </c:pt>
                <c:pt idx="26">
                  <c:v>123.4</c:v>
                </c:pt>
                <c:pt idx="27">
                  <c:v>121.5</c:v>
                </c:pt>
                <c:pt idx="28">
                  <c:v>122.8</c:v>
                </c:pt>
                <c:pt idx="29">
                  <c:v>126.7</c:v>
                </c:pt>
                <c:pt idx="30">
                  <c:v>119.5</c:v>
                </c:pt>
                <c:pt idx="31">
                  <c:v>124.4</c:v>
                </c:pt>
                <c:pt idx="32">
                  <c:v>122.8</c:v>
                </c:pt>
                <c:pt idx="33">
                  <c:v>123.2</c:v>
                </c:pt>
                <c:pt idx="34">
                  <c:v>128.9</c:v>
                </c:pt>
                <c:pt idx="35">
                  <c:v>127.1</c:v>
                </c:pt>
                <c:pt idx="36">
                  <c:v>128.5</c:v>
                </c:pt>
                <c:pt idx="37">
                  <c:v>127.8</c:v>
                </c:pt>
                <c:pt idx="38">
                  <c:v>127.7</c:v>
                </c:pt>
                <c:pt idx="39">
                  <c:v>125.3</c:v>
                </c:pt>
                <c:pt idx="40">
                  <c:v>123.9</c:v>
                </c:pt>
                <c:pt idx="41">
                  <c:v>123.9</c:v>
                </c:pt>
                <c:pt idx="42">
                  <c:v>125.1</c:v>
                </c:pt>
                <c:pt idx="43">
                  <c:v>118.6</c:v>
                </c:pt>
                <c:pt idx="44">
                  <c:v>119.8</c:v>
                </c:pt>
                <c:pt idx="45">
                  <c:v>122.1</c:v>
                </c:pt>
                <c:pt idx="46">
                  <c:v>125.6</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105.7</c:v>
                </c:pt>
                <c:pt idx="1">
                  <c:v>112.8</c:v>
                </c:pt>
                <c:pt idx="2">
                  <c:v>115.4</c:v>
                </c:pt>
                <c:pt idx="3">
                  <c:v>109.2</c:v>
                </c:pt>
                <c:pt idx="4">
                  <c:v>111.4</c:v>
                </c:pt>
                <c:pt idx="5">
                  <c:v>112.9</c:v>
                </c:pt>
                <c:pt idx="6">
                  <c:v>110.8</c:v>
                </c:pt>
                <c:pt idx="7">
                  <c:v>114.7</c:v>
                </c:pt>
                <c:pt idx="8">
                  <c:v>111.1</c:v>
                </c:pt>
                <c:pt idx="9">
                  <c:v>112</c:v>
                </c:pt>
                <c:pt idx="10">
                  <c:v>116.4</c:v>
                </c:pt>
                <c:pt idx="11">
                  <c:v>112.2</c:v>
                </c:pt>
                <c:pt idx="12">
                  <c:v>103.2</c:v>
                </c:pt>
                <c:pt idx="13">
                  <c:v>102</c:v>
                </c:pt>
                <c:pt idx="14">
                  <c:v>100.1</c:v>
                </c:pt>
                <c:pt idx="15">
                  <c:v>102.4</c:v>
                </c:pt>
                <c:pt idx="16">
                  <c:v>100.5</c:v>
                </c:pt>
                <c:pt idx="17">
                  <c:v>100.1</c:v>
                </c:pt>
                <c:pt idx="18">
                  <c:v>93.1</c:v>
                </c:pt>
                <c:pt idx="19">
                  <c:v>86.2</c:v>
                </c:pt>
                <c:pt idx="20">
                  <c:v>88.8</c:v>
                </c:pt>
                <c:pt idx="21">
                  <c:v>89</c:v>
                </c:pt>
                <c:pt idx="22">
                  <c:v>84.5</c:v>
                </c:pt>
                <c:pt idx="23">
                  <c:v>87.6</c:v>
                </c:pt>
                <c:pt idx="24">
                  <c:v>78.7</c:v>
                </c:pt>
                <c:pt idx="25">
                  <c:v>83.3</c:v>
                </c:pt>
                <c:pt idx="26">
                  <c:v>88.2</c:v>
                </c:pt>
                <c:pt idx="27">
                  <c:v>87</c:v>
                </c:pt>
                <c:pt idx="28">
                  <c:v>93</c:v>
                </c:pt>
                <c:pt idx="29">
                  <c:v>97.2</c:v>
                </c:pt>
                <c:pt idx="30">
                  <c:v>96.4</c:v>
                </c:pt>
                <c:pt idx="31">
                  <c:v>94.7</c:v>
                </c:pt>
                <c:pt idx="32">
                  <c:v>106</c:v>
                </c:pt>
                <c:pt idx="33">
                  <c:v>104.8</c:v>
                </c:pt>
                <c:pt idx="34">
                  <c:v>108.6</c:v>
                </c:pt>
                <c:pt idx="35">
                  <c:v>102.3</c:v>
                </c:pt>
                <c:pt idx="36">
                  <c:v>94.8</c:v>
                </c:pt>
                <c:pt idx="37">
                  <c:v>93.3</c:v>
                </c:pt>
                <c:pt idx="38">
                  <c:v>91.8</c:v>
                </c:pt>
                <c:pt idx="39">
                  <c:v>92.4</c:v>
                </c:pt>
                <c:pt idx="40">
                  <c:v>93.6</c:v>
                </c:pt>
                <c:pt idx="41">
                  <c:v>94.6</c:v>
                </c:pt>
                <c:pt idx="42">
                  <c:v>95.8</c:v>
                </c:pt>
                <c:pt idx="43">
                  <c:v>97.7</c:v>
                </c:pt>
                <c:pt idx="44">
                  <c:v>101.3</c:v>
                </c:pt>
                <c:pt idx="45">
                  <c:v>105.3</c:v>
                </c:pt>
                <c:pt idx="46">
                  <c:v>105.6</c:v>
                </c:pt>
                <c:pt idx="47">
                  <c:v>109.7</c:v>
                </c:pt>
                <c:pt idx="48">
                  <c:v>109.8</c:v>
                </c:pt>
                <c:pt idx="49">
                  <c:v>108.7</c:v>
                </c:pt>
                <c:pt idx="50">
                  <c:v>107.5</c:v>
                </c:pt>
                <c:pt idx="51">
                  <c:v>109.7</c:v>
                </c:pt>
                <c:pt idx="52">
                  <c:v>107.7</c:v>
                </c:pt>
                <c:pt idx="53">
                  <c:v>109.1</c:v>
                </c:pt>
                <c:pt idx="54">
                  <c:v>111.5</c:v>
                </c:pt>
                <c:pt idx="55">
                  <c:v>113.9</c:v>
                </c:pt>
                <c:pt idx="56">
                  <c:v>113.9</c:v>
                </c:pt>
                <c:pt idx="57">
                  <c:v>108.7</c:v>
                </c:pt>
                <c:pt idx="58">
                  <c:v>108.9</c:v>
                </c:pt>
                <c:pt idx="59">
                  <c:v>108.7</c:v>
                </c:pt>
                <c:pt idx="60">
                  <c:v>108.8</c:v>
                </c:pt>
                <c:pt idx="61">
                  <c:v>104.9</c:v>
                </c:pt>
                <c:pt idx="62">
                  <c:v>104</c:v>
                </c:pt>
                <c:pt idx="63">
                  <c:v>102.2</c:v>
                </c:pt>
                <c:pt idx="64">
                  <c:v>105.4</c:v>
                </c:pt>
                <c:pt idx="65">
                  <c:v>104</c:v>
                </c:pt>
                <c:pt idx="66">
                  <c:v>103.7</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130.9</c:v>
                </c:pt>
                <c:pt idx="83">
                  <c:v>128.6</c:v>
                </c:pt>
                <c:pt idx="84">
                  <c:v>118.4</c:v>
                </c:pt>
                <c:pt idx="85">
                  <c:v>123.8</c:v>
                </c:pt>
                <c:pt idx="86">
                  <c:v>117.8</c:v>
                </c:pt>
                <c:pt idx="87">
                  <c:v>118.5</c:v>
                </c:pt>
                <c:pt idx="88">
                  <c:v>116.8</c:v>
                </c:pt>
                <c:pt idx="89">
                  <c:v>122.1</c:v>
                </c:pt>
                <c:pt idx="90">
                  <c:v>111.6</c:v>
                </c:pt>
                <c:pt idx="91">
                  <c:v>115.8</c:v>
                </c:pt>
                <c:pt idx="92">
                  <c:v>116.4</c:v>
                </c:pt>
                <c:pt idx="93">
                  <c:v>116.3</c:v>
                </c:pt>
                <c:pt idx="94">
                  <c:v>116.4</c:v>
                </c:pt>
                <c:pt idx="95">
                  <c:v>114.6</c:v>
                </c:pt>
                <c:pt idx="96">
                  <c:v>109.3</c:v>
                </c:pt>
                <c:pt idx="97">
                  <c:v>111.7</c:v>
                </c:pt>
                <c:pt idx="98">
                  <c:v>112.1</c:v>
                </c:pt>
                <c:pt idx="99">
                  <c:v>109.3</c:v>
                </c:pt>
                <c:pt idx="100">
                  <c:v>107.1</c:v>
                </c:pt>
                <c:pt idx="101">
                  <c:v>103</c:v>
                </c:pt>
                <c:pt idx="102">
                  <c:v>102.2</c:v>
                </c:pt>
                <c:pt idx="103">
                  <c:v>99.5</c:v>
                </c:pt>
                <c:pt idx="104">
                  <c:v>100.8</c:v>
                </c:pt>
                <c:pt idx="105">
                  <c:v>102.7</c:v>
                </c:pt>
                <c:pt idx="106">
                  <c:v>102.6</c:v>
                </c:pt>
                <c:pt idx="107">
                  <c:v>95.7</c:v>
                </c:pt>
                <c:pt idx="108">
                  <c:v>92.8</c:v>
                </c:pt>
                <c:pt idx="109">
                  <c:v>86</c:v>
                </c:pt>
                <c:pt idx="110">
                  <c:v>83.6</c:v>
                </c:pt>
                <c:pt idx="111">
                  <c:v>82.3</c:v>
                </c:pt>
                <c:pt idx="112">
                  <c:v>82.6</c:v>
                </c:pt>
                <c:pt idx="113">
                  <c:v>83.2</c:v>
                </c:pt>
                <c:pt idx="114">
                  <c:v>88.2</c:v>
                </c:pt>
                <c:pt idx="115">
                  <c:v>99.5</c:v>
                </c:pt>
                <c:pt idx="116">
                  <c:v>103.8</c:v>
                </c:pt>
                <c:pt idx="117">
                  <c:v>103.9</c:v>
                </c:pt>
                <c:pt idx="118">
                  <c:v>102.6</c:v>
                </c:pt>
                <c:pt idx="119">
                  <c:v>101.6</c:v>
                </c:pt>
                <c:pt idx="120">
                  <c:v>105.4</c:v>
                </c:pt>
                <c:pt idx="121">
                  <c:v>105.1</c:v>
                </c:pt>
                <c:pt idx="122">
                  <c:v>106.7</c:v>
                </c:pt>
                <c:pt idx="123">
                  <c:v>106.5</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113.6</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138.4</c:v>
                </c:pt>
                <c:pt idx="161">
                  <c:v>136.80000000000001</c:v>
                </c:pt>
                <c:pt idx="162">
                  <c:v>136.69999999999999</c:v>
                </c:pt>
                <c:pt idx="163">
                  <c:v>141.5</c:v>
                </c:pt>
                <c:pt idx="164">
                  <c:v>141.9</c:v>
                </c:pt>
                <c:pt idx="165">
                  <c:v>140.5</c:v>
                </c:pt>
                <c:pt idx="166">
                  <c:v>139.1</c:v>
                </c:pt>
                <c:pt idx="167">
                  <c:v>139.5</c:v>
                </c:pt>
                <c:pt idx="168">
                  <c:v>139.80000000000001</c:v>
                </c:pt>
                <c:pt idx="169">
                  <c:v>139.1</c:v>
                </c:pt>
                <c:pt idx="170">
                  <c:v>135.9</c:v>
                </c:pt>
                <c:pt idx="171">
                  <c:v>130</c:v>
                </c:pt>
                <c:pt idx="172">
                  <c:v>129.9</c:v>
                </c:pt>
                <c:pt idx="173">
                  <c:v>128.4</c:v>
                </c:pt>
                <c:pt idx="174">
                  <c:v>125.3</c:v>
                </c:pt>
                <c:pt idx="175">
                  <c:v>124.2</c:v>
                </c:pt>
                <c:pt idx="176">
                  <c:v>128.6</c:v>
                </c:pt>
                <c:pt idx="177">
                  <c:v>129.1</c:v>
                </c:pt>
                <c:pt idx="178">
                  <c:v>127.9</c:v>
                </c:pt>
                <c:pt idx="179">
                  <c:v>135.30000000000001</c:v>
                </c:pt>
                <c:pt idx="180">
                  <c:v>128.69999999999999</c:v>
                </c:pt>
                <c:pt idx="181">
                  <c:v>124.1</c:v>
                </c:pt>
                <c:pt idx="182">
                  <c:v>122.9</c:v>
                </c:pt>
                <c:pt idx="183">
                  <c:v>119.1</c:v>
                </c:pt>
                <c:pt idx="184">
                  <c:v>122.2</c:v>
                </c:pt>
                <c:pt idx="185">
                  <c:v>121</c:v>
                </c:pt>
                <c:pt idx="186">
                  <c:v>120.9</c:v>
                </c:pt>
                <c:pt idx="187">
                  <c:v>121.5</c:v>
                </c:pt>
                <c:pt idx="188">
                  <c:v>118.7</c:v>
                </c:pt>
                <c:pt idx="189">
                  <c:v>116.2</c:v>
                </c:pt>
                <c:pt idx="190">
                  <c:v>113.6</c:v>
                </c:pt>
                <c:pt idx="191">
                  <c:v>114.7</c:v>
                </c:pt>
                <c:pt idx="192">
                  <c:v>114.2</c:v>
                </c:pt>
                <c:pt idx="193">
                  <c:v>112</c:v>
                </c:pt>
                <c:pt idx="194">
                  <c:v>109.5</c:v>
                </c:pt>
                <c:pt idx="195">
                  <c:v>110.9</c:v>
                </c:pt>
                <c:pt idx="196">
                  <c:v>110.3</c:v>
                </c:pt>
                <c:pt idx="197">
                  <c:v>106.1</c:v>
                </c:pt>
                <c:pt idx="198">
                  <c:v>107.8</c:v>
                </c:pt>
                <c:pt idx="199">
                  <c:v>105.6</c:v>
                </c:pt>
                <c:pt idx="200">
                  <c:v>108.4</c:v>
                </c:pt>
                <c:pt idx="201">
                  <c:v>109.8</c:v>
                </c:pt>
                <c:pt idx="202">
                  <c:v>111.1</c:v>
                </c:pt>
                <c:pt idx="203">
                  <c:v>115.8</c:v>
                </c:pt>
                <c:pt idx="204">
                  <c:v>110.8</c:v>
                </c:pt>
                <c:pt idx="205">
                  <c:v>112.5</c:v>
                </c:pt>
                <c:pt idx="206">
                  <c:v>110.1</c:v>
                </c:pt>
                <c:pt idx="207">
                  <c:v>113.4</c:v>
                </c:pt>
                <c:pt idx="208">
                  <c:v>112</c:v>
                </c:pt>
                <c:pt idx="209">
                  <c:v>114</c:v>
                </c:pt>
                <c:pt idx="210">
                  <c:v>114.3</c:v>
                </c:pt>
                <c:pt idx="211">
                  <c:v>108.7</c:v>
                </c:pt>
                <c:pt idx="212">
                  <c:v>110.2</c:v>
                </c:pt>
                <c:pt idx="213">
                  <c:v>108.5</c:v>
                </c:pt>
                <c:pt idx="214">
                  <c:v>111.9</c:v>
                </c:pt>
                <c:pt idx="215">
                  <c:v>113.9</c:v>
                </c:pt>
                <c:pt idx="216">
                  <c:v>114.4</c:v>
                </c:pt>
                <c:pt idx="217">
                  <c:v>114.7</c:v>
                </c:pt>
                <c:pt idx="218">
                  <c:v>117.6</c:v>
                </c:pt>
                <c:pt idx="219">
                  <c:v>120.4</c:v>
                </c:pt>
                <c:pt idx="220">
                  <c:v>119</c:v>
                </c:pt>
                <c:pt idx="221">
                  <c:v>119.1</c:v>
                </c:pt>
                <c:pt idx="222">
                  <c:v>122.5</c:v>
                </c:pt>
                <c:pt idx="223">
                  <c:v>121.7</c:v>
                </c:pt>
                <c:pt idx="224">
                  <c:v>122.4</c:v>
                </c:pt>
                <c:pt idx="225">
                  <c:v>124.3</c:v>
                </c:pt>
                <c:pt idx="226">
                  <c:v>128.4</c:v>
                </c:pt>
                <c:pt idx="227">
                  <c:v>125.1</c:v>
                </c:pt>
                <c:pt idx="228">
                  <c:v>125</c:v>
                </c:pt>
                <c:pt idx="229">
                  <c:v>123.8</c:v>
                </c:pt>
                <c:pt idx="230">
                  <c:v>120.1</c:v>
                </c:pt>
                <c:pt idx="231">
                  <c:v>121.5</c:v>
                </c:pt>
                <c:pt idx="232">
                  <c:v>125.8</c:v>
                </c:pt>
                <c:pt idx="233">
                  <c:v>124.6</c:v>
                </c:pt>
                <c:pt idx="234">
                  <c:v>122.4</c:v>
                </c:pt>
                <c:pt idx="235">
                  <c:v>117.8</c:v>
                </c:pt>
                <c:pt idx="236">
                  <c:v>116.6</c:v>
                </c:pt>
                <c:pt idx="237">
                  <c:v>113.5</c:v>
                </c:pt>
                <c:pt idx="238">
                  <c:v>119.2</c:v>
                </c:pt>
                <c:pt idx="239">
                  <c:v>112.6</c:v>
                </c:pt>
                <c:pt idx="240">
                  <c:v>111.6</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113.3</c:v>
                </c:pt>
                <c:pt idx="257">
                  <c:v>109.3</c:v>
                </c:pt>
                <c:pt idx="258">
                  <c:v>114.3</c:v>
                </c:pt>
                <c:pt idx="259">
                  <c:v>113.7</c:v>
                </c:pt>
                <c:pt idx="260">
                  <c:v>107.7</c:v>
                </c:pt>
                <c:pt idx="261">
                  <c:v>109.2</c:v>
                </c:pt>
                <c:pt idx="262">
                  <c:v>114.2</c:v>
                </c:pt>
                <c:pt idx="263">
                  <c:v>118.3</c:v>
                </c:pt>
                <c:pt idx="264">
                  <c:v>112.8</c:v>
                </c:pt>
                <c:pt idx="265">
                  <c:v>108.2</c:v>
                </c:pt>
                <c:pt idx="266">
                  <c:v>110.1</c:v>
                </c:pt>
                <c:pt idx="267">
                  <c:v>115.6</c:v>
                </c:pt>
                <c:pt idx="268">
                  <c:v>119.4</c:v>
                </c:pt>
                <c:pt idx="269">
                  <c:v>121.4</c:v>
                </c:pt>
                <c:pt idx="270">
                  <c:v>122.9</c:v>
                </c:pt>
                <c:pt idx="271">
                  <c:v>120.7</c:v>
                </c:pt>
                <c:pt idx="272">
                  <c:v>121.5</c:v>
                </c:pt>
                <c:pt idx="273">
                  <c:v>126.9</c:v>
                </c:pt>
                <c:pt idx="274">
                  <c:v>125.2</c:v>
                </c:pt>
                <c:pt idx="275">
                  <c:v>127.4</c:v>
                </c:pt>
                <c:pt idx="276">
                  <c:v>128.1</c:v>
                </c:pt>
                <c:pt idx="277">
                  <c:v>130.9</c:v>
                </c:pt>
                <c:pt idx="278">
                  <c:v>124</c:v>
                </c:pt>
                <c:pt idx="279">
                  <c:v>130</c:v>
                </c:pt>
                <c:pt idx="280">
                  <c:v>130.1</c:v>
                </c:pt>
                <c:pt idx="281">
                  <c:v>139.80000000000001</c:v>
                </c:pt>
                <c:pt idx="282" formatCode="0.00">
                  <c:v>130.30000000000001</c:v>
                </c:pt>
                <c:pt idx="283" formatCode="0.00">
                  <c:v>131.9</c:v>
                </c:pt>
                <c:pt idx="284" formatCode="0.00">
                  <c:v>139</c:v>
                </c:pt>
                <c:pt idx="285">
                  <c:v>135</c:v>
                </c:pt>
                <c:pt idx="286">
                  <c:v>138</c:v>
                </c:pt>
                <c:pt idx="287">
                  <c:v>138.30000000000001</c:v>
                </c:pt>
                <c:pt idx="288">
                  <c:v>126.6</c:v>
                </c:pt>
                <c:pt idx="289">
                  <c:v>124.6</c:v>
                </c:pt>
                <c:pt idx="290">
                  <c:v>130.80000000000001</c:v>
                </c:pt>
                <c:pt idx="291">
                  <c:v>136.80000000000001</c:v>
                </c:pt>
                <c:pt idx="292">
                  <c:v>135.80000000000001</c:v>
                </c:pt>
                <c:pt idx="293">
                  <c:v>134.80000000000001</c:v>
                </c:pt>
                <c:pt idx="294">
                  <c:v>137.4</c:v>
                </c:pt>
                <c:pt idx="295">
                  <c:v>137.69999999999999</c:v>
                </c:pt>
                <c:pt idx="296">
                  <c:v>140.4</c:v>
                </c:pt>
                <c:pt idx="297">
                  <c:v>140.80000000000001</c:v>
                </c:pt>
                <c:pt idx="298">
                  <c:v>140.1</c:v>
                </c:pt>
                <c:pt idx="299">
                  <c:v>141.1</c:v>
                </c:pt>
                <c:pt idx="300">
                  <c:v>146.30000000000001</c:v>
                </c:pt>
                <c:pt idx="301">
                  <c:v>147.5</c:v>
                </c:pt>
                <c:pt idx="302">
                  <c:v>145.30000000000001</c:v>
                </c:pt>
                <c:pt idx="303">
                  <c:v>150.4</c:v>
                </c:pt>
                <c:pt idx="304">
                  <c:v>141.19999999999999</c:v>
                </c:pt>
                <c:pt idx="305">
                  <c:v>155.69999999999999</c:v>
                </c:pt>
                <c:pt idx="306">
                  <c:v>148.9</c:v>
                </c:pt>
                <c:pt idx="307">
                  <c:v>146.6</c:v>
                </c:pt>
                <c:pt idx="308">
                  <c:v>150.9</c:v>
                </c:pt>
                <c:pt idx="309">
                  <c:v>150.6</c:v>
                </c:pt>
                <c:pt idx="310">
                  <c:v>153.9</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87.7</c:v>
                </c:pt>
                <c:pt idx="1">
                  <c:v>96.9</c:v>
                </c:pt>
                <c:pt idx="2">
                  <c:v>106.3</c:v>
                </c:pt>
                <c:pt idx="3">
                  <c:v>93.7</c:v>
                </c:pt>
                <c:pt idx="4">
                  <c:v>102.5</c:v>
                </c:pt>
                <c:pt idx="5">
                  <c:v>105</c:v>
                </c:pt>
                <c:pt idx="6">
                  <c:v>106.4</c:v>
                </c:pt>
                <c:pt idx="7">
                  <c:v>102.4</c:v>
                </c:pt>
                <c:pt idx="8">
                  <c:v>107.9</c:v>
                </c:pt>
                <c:pt idx="9">
                  <c:v>109.1</c:v>
                </c:pt>
                <c:pt idx="10">
                  <c:v>110.9</c:v>
                </c:pt>
                <c:pt idx="11">
                  <c:v>110.6</c:v>
                </c:pt>
                <c:pt idx="12">
                  <c:v>106.6</c:v>
                </c:pt>
                <c:pt idx="13">
                  <c:v>107.1</c:v>
                </c:pt>
                <c:pt idx="14">
                  <c:v>107.2</c:v>
                </c:pt>
                <c:pt idx="15">
                  <c:v>99.9</c:v>
                </c:pt>
                <c:pt idx="16">
                  <c:v>96.1</c:v>
                </c:pt>
                <c:pt idx="17">
                  <c:v>92.1</c:v>
                </c:pt>
                <c:pt idx="18">
                  <c:v>81.8</c:v>
                </c:pt>
                <c:pt idx="19">
                  <c:v>76.3</c:v>
                </c:pt>
                <c:pt idx="20">
                  <c:v>83.5</c:v>
                </c:pt>
                <c:pt idx="21">
                  <c:v>75.7</c:v>
                </c:pt>
                <c:pt idx="22">
                  <c:v>73.099999999999994</c:v>
                </c:pt>
                <c:pt idx="23">
                  <c:v>68.8</c:v>
                </c:pt>
                <c:pt idx="24">
                  <c:v>68.7</c:v>
                </c:pt>
                <c:pt idx="25">
                  <c:v>74.2</c:v>
                </c:pt>
                <c:pt idx="26">
                  <c:v>82.4</c:v>
                </c:pt>
                <c:pt idx="27">
                  <c:v>76</c:v>
                </c:pt>
                <c:pt idx="28">
                  <c:v>82.3</c:v>
                </c:pt>
                <c:pt idx="29">
                  <c:v>83.3</c:v>
                </c:pt>
                <c:pt idx="30">
                  <c:v>85.2</c:v>
                </c:pt>
                <c:pt idx="31">
                  <c:v>80.599999999999994</c:v>
                </c:pt>
                <c:pt idx="32">
                  <c:v>91.6</c:v>
                </c:pt>
                <c:pt idx="33">
                  <c:v>89.6</c:v>
                </c:pt>
                <c:pt idx="34">
                  <c:v>93.4</c:v>
                </c:pt>
                <c:pt idx="35">
                  <c:v>93</c:v>
                </c:pt>
                <c:pt idx="36">
                  <c:v>92.2</c:v>
                </c:pt>
                <c:pt idx="37">
                  <c:v>92.6</c:v>
                </c:pt>
                <c:pt idx="38">
                  <c:v>98.5</c:v>
                </c:pt>
                <c:pt idx="39">
                  <c:v>92.9</c:v>
                </c:pt>
                <c:pt idx="40">
                  <c:v>97.9</c:v>
                </c:pt>
                <c:pt idx="41">
                  <c:v>101.1</c:v>
                </c:pt>
                <c:pt idx="42">
                  <c:v>102.5</c:v>
                </c:pt>
                <c:pt idx="43">
                  <c:v>103.6</c:v>
                </c:pt>
                <c:pt idx="44">
                  <c:v>108.6</c:v>
                </c:pt>
                <c:pt idx="45">
                  <c:v>111.3</c:v>
                </c:pt>
                <c:pt idx="46">
                  <c:v>113.1</c:v>
                </c:pt>
                <c:pt idx="47">
                  <c:v>114.3</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112</c:v>
                </c:pt>
                <c:pt idx="62">
                  <c:v>109.1</c:v>
                </c:pt>
                <c:pt idx="63">
                  <c:v>107.2</c:v>
                </c:pt>
                <c:pt idx="64">
                  <c:v>111.7</c:v>
                </c:pt>
                <c:pt idx="65">
                  <c:v>110</c:v>
                </c:pt>
                <c:pt idx="66">
                  <c:v>108.7</c:v>
                </c:pt>
                <c:pt idx="67">
                  <c:v>114.1</c:v>
                </c:pt>
                <c:pt idx="68">
                  <c:v>112.3</c:v>
                </c:pt>
                <c:pt idx="69">
                  <c:v>118</c:v>
                </c:pt>
                <c:pt idx="70">
                  <c:v>122.7</c:v>
                </c:pt>
                <c:pt idx="71">
                  <c:v>122.3</c:v>
                </c:pt>
                <c:pt idx="72">
                  <c:v>125.7</c:v>
                </c:pt>
                <c:pt idx="73">
                  <c:v>127</c:v>
                </c:pt>
                <c:pt idx="74">
                  <c:v>127.9</c:v>
                </c:pt>
                <c:pt idx="75">
                  <c:v>132.9</c:v>
                </c:pt>
                <c:pt idx="76">
                  <c:v>130.6</c:v>
                </c:pt>
                <c:pt idx="77">
                  <c:v>134</c:v>
                </c:pt>
                <c:pt idx="78">
                  <c:v>136.1</c:v>
                </c:pt>
                <c:pt idx="79">
                  <c:v>133.9</c:v>
                </c:pt>
                <c:pt idx="80">
                  <c:v>133.69999999999999</c:v>
                </c:pt>
                <c:pt idx="81">
                  <c:v>139.30000000000001</c:v>
                </c:pt>
                <c:pt idx="82">
                  <c:v>143.5</c:v>
                </c:pt>
                <c:pt idx="83">
                  <c:v>142.5</c:v>
                </c:pt>
                <c:pt idx="84">
                  <c:v>146.19999999999999</c:v>
                </c:pt>
                <c:pt idx="85">
                  <c:v>146.69999999999999</c:v>
                </c:pt>
                <c:pt idx="86">
                  <c:v>143</c:v>
                </c:pt>
                <c:pt idx="87">
                  <c:v>143.6</c:v>
                </c:pt>
                <c:pt idx="88">
                  <c:v>143.19999999999999</c:v>
                </c:pt>
                <c:pt idx="89">
                  <c:v>144.4</c:v>
                </c:pt>
                <c:pt idx="90">
                  <c:v>146.1</c:v>
                </c:pt>
                <c:pt idx="91">
                  <c:v>145.6</c:v>
                </c:pt>
                <c:pt idx="92">
                  <c:v>143.30000000000001</c:v>
                </c:pt>
                <c:pt idx="93">
                  <c:v>140.9</c:v>
                </c:pt>
                <c:pt idx="94">
                  <c:v>136.4</c:v>
                </c:pt>
                <c:pt idx="95">
                  <c:v>139.5</c:v>
                </c:pt>
                <c:pt idx="96">
                  <c:v>135.30000000000001</c:v>
                </c:pt>
                <c:pt idx="97">
                  <c:v>138.19999999999999</c:v>
                </c:pt>
                <c:pt idx="98">
                  <c:v>136.1</c:v>
                </c:pt>
                <c:pt idx="99">
                  <c:v>132.1</c:v>
                </c:pt>
                <c:pt idx="100">
                  <c:v>128.4</c:v>
                </c:pt>
                <c:pt idx="101">
                  <c:v>123.9</c:v>
                </c:pt>
                <c:pt idx="102">
                  <c:v>123.3</c:v>
                </c:pt>
                <c:pt idx="103">
                  <c:v>114.4</c:v>
                </c:pt>
                <c:pt idx="104">
                  <c:v>116.6</c:v>
                </c:pt>
                <c:pt idx="105">
                  <c:v>113.3</c:v>
                </c:pt>
                <c:pt idx="106">
                  <c:v>106.3</c:v>
                </c:pt>
                <c:pt idx="107">
                  <c:v>94.3</c:v>
                </c:pt>
                <c:pt idx="108">
                  <c:v>79.900000000000006</c:v>
                </c:pt>
                <c:pt idx="109">
                  <c:v>70.2</c:v>
                </c:pt>
                <c:pt idx="110">
                  <c:v>64.7</c:v>
                </c:pt>
                <c:pt idx="111">
                  <c:v>67.400000000000006</c:v>
                </c:pt>
                <c:pt idx="112">
                  <c:v>70.3</c:v>
                </c:pt>
                <c:pt idx="113">
                  <c:v>72.5</c:v>
                </c:pt>
                <c:pt idx="114">
                  <c:v>75.7</c:v>
                </c:pt>
                <c:pt idx="115">
                  <c:v>78.599999999999994</c:v>
                </c:pt>
                <c:pt idx="116">
                  <c:v>82.4</c:v>
                </c:pt>
                <c:pt idx="117">
                  <c:v>87</c:v>
                </c:pt>
                <c:pt idx="118">
                  <c:v>87.6</c:v>
                </c:pt>
                <c:pt idx="119">
                  <c:v>87.8</c:v>
                </c:pt>
                <c:pt idx="120">
                  <c:v>95.8</c:v>
                </c:pt>
                <c:pt idx="121">
                  <c:v>95.5</c:v>
                </c:pt>
                <c:pt idx="122">
                  <c:v>99.6</c:v>
                </c:pt>
                <c:pt idx="123">
                  <c:v>99.2</c:v>
                </c:pt>
                <c:pt idx="124" formatCode="General">
                  <c:v>103</c:v>
                </c:pt>
                <c:pt idx="125" formatCode="General">
                  <c:v>101.7</c:v>
                </c:pt>
                <c:pt idx="126" formatCode="General">
                  <c:v>103.6</c:v>
                </c:pt>
                <c:pt idx="127" formatCode="General">
                  <c:v>107.3</c:v>
                </c:pt>
                <c:pt idx="128" formatCode="General">
                  <c:v>108</c:v>
                </c:pt>
                <c:pt idx="129" formatCode="General">
                  <c:v>108.8</c:v>
                </c:pt>
                <c:pt idx="130" formatCode="General">
                  <c:v>113.2</c:v>
                </c:pt>
                <c:pt idx="131" formatCode="General">
                  <c:v>117.3</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145</c:v>
                </c:pt>
                <c:pt idx="146" formatCode="General">
                  <c:v>154.19999999999999</c:v>
                </c:pt>
                <c:pt idx="147" formatCode="General">
                  <c:v>151.80000000000001</c:v>
                </c:pt>
                <c:pt idx="148" formatCode="General">
                  <c:v>156.5</c:v>
                </c:pt>
                <c:pt idx="149" formatCode="General">
                  <c:v>157.1</c:v>
                </c:pt>
                <c:pt idx="150" formatCode="General">
                  <c:v>160</c:v>
                </c:pt>
                <c:pt idx="151">
                  <c:v>152.19999999999999</c:v>
                </c:pt>
                <c:pt idx="152">
                  <c:v>150.80000000000001</c:v>
                </c:pt>
                <c:pt idx="153">
                  <c:v>146.1</c:v>
                </c:pt>
                <c:pt idx="154">
                  <c:v>145</c:v>
                </c:pt>
                <c:pt idx="155">
                  <c:v>146.30000000000001</c:v>
                </c:pt>
                <c:pt idx="156">
                  <c:v>150.80000000000001</c:v>
                </c:pt>
                <c:pt idx="157">
                  <c:v>149.4</c:v>
                </c:pt>
                <c:pt idx="158">
                  <c:v>153.1</c:v>
                </c:pt>
                <c:pt idx="159">
                  <c:v>145.69999999999999</c:v>
                </c:pt>
                <c:pt idx="160">
                  <c:v>148</c:v>
                </c:pt>
                <c:pt idx="161">
                  <c:v>152.5</c:v>
                </c:pt>
                <c:pt idx="162">
                  <c:v>152.9</c:v>
                </c:pt>
                <c:pt idx="163">
                  <c:v>158</c:v>
                </c:pt>
                <c:pt idx="164">
                  <c:v>156.1</c:v>
                </c:pt>
                <c:pt idx="165">
                  <c:v>153.1</c:v>
                </c:pt>
                <c:pt idx="166">
                  <c:v>157.5</c:v>
                </c:pt>
                <c:pt idx="167">
                  <c:v>154</c:v>
                </c:pt>
                <c:pt idx="168">
                  <c:v>156.69999999999999</c:v>
                </c:pt>
                <c:pt idx="169">
                  <c:v>156</c:v>
                </c:pt>
                <c:pt idx="170">
                  <c:v>145.6</c:v>
                </c:pt>
                <c:pt idx="171">
                  <c:v>142.30000000000001</c:v>
                </c:pt>
                <c:pt idx="172">
                  <c:v>145.30000000000001</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149.4</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145.4</c:v>
                </c:pt>
                <c:pt idx="224">
                  <c:v>144.30000000000001</c:v>
                </c:pt>
                <c:pt idx="225">
                  <c:v>144.1</c:v>
                </c:pt>
                <c:pt idx="226">
                  <c:v>140.30000000000001</c:v>
                </c:pt>
                <c:pt idx="227">
                  <c:v>141.5</c:v>
                </c:pt>
                <c:pt idx="228">
                  <c:v>133</c:v>
                </c:pt>
                <c:pt idx="229">
                  <c:v>136.30000000000001</c:v>
                </c:pt>
                <c:pt idx="230">
                  <c:v>135.69999999999999</c:v>
                </c:pt>
                <c:pt idx="231">
                  <c:v>132.1</c:v>
                </c:pt>
                <c:pt idx="232">
                  <c:v>134.5</c:v>
                </c:pt>
                <c:pt idx="233">
                  <c:v>129.5</c:v>
                </c:pt>
                <c:pt idx="234">
                  <c:v>127.4</c:v>
                </c:pt>
                <c:pt idx="235">
                  <c:v>124.6</c:v>
                </c:pt>
                <c:pt idx="236">
                  <c:v>126.8</c:v>
                </c:pt>
                <c:pt idx="237">
                  <c:v>126.5</c:v>
                </c:pt>
                <c:pt idx="238">
                  <c:v>120.2</c:v>
                </c:pt>
                <c:pt idx="239">
                  <c:v>113</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114.6</c:v>
                </c:pt>
                <c:pt idx="253">
                  <c:v>113.1</c:v>
                </c:pt>
                <c:pt idx="254">
                  <c:v>114.7</c:v>
                </c:pt>
                <c:pt idx="255">
                  <c:v>120.7</c:v>
                </c:pt>
                <c:pt idx="256">
                  <c:v>122.1</c:v>
                </c:pt>
                <c:pt idx="257">
                  <c:v>130.80000000000001</c:v>
                </c:pt>
                <c:pt idx="258">
                  <c:v>132.30000000000001</c:v>
                </c:pt>
                <c:pt idx="259">
                  <c:v>139.30000000000001</c:v>
                </c:pt>
                <c:pt idx="260">
                  <c:v>135.6</c:v>
                </c:pt>
                <c:pt idx="261">
                  <c:v>134.1</c:v>
                </c:pt>
                <c:pt idx="262">
                  <c:v>136.30000000000001</c:v>
                </c:pt>
                <c:pt idx="263">
                  <c:v>143.1</c:v>
                </c:pt>
                <c:pt idx="264">
                  <c:v>149</c:v>
                </c:pt>
                <c:pt idx="265">
                  <c:v>148.4</c:v>
                </c:pt>
                <c:pt idx="266">
                  <c:v>149.4</c:v>
                </c:pt>
                <c:pt idx="267">
                  <c:v>147.30000000000001</c:v>
                </c:pt>
                <c:pt idx="268">
                  <c:v>151.5</c:v>
                </c:pt>
                <c:pt idx="269">
                  <c:v>151</c:v>
                </c:pt>
                <c:pt idx="270">
                  <c:v>157.6</c:v>
                </c:pt>
                <c:pt idx="271">
                  <c:v>154.80000000000001</c:v>
                </c:pt>
                <c:pt idx="272">
                  <c:v>159.30000000000001</c:v>
                </c:pt>
                <c:pt idx="273">
                  <c:v>147.80000000000001</c:v>
                </c:pt>
                <c:pt idx="274">
                  <c:v>153.9</c:v>
                </c:pt>
                <c:pt idx="275">
                  <c:v>147.5</c:v>
                </c:pt>
                <c:pt idx="276">
                  <c:v>149.5</c:v>
                </c:pt>
                <c:pt idx="277">
                  <c:v>148.69999999999999</c:v>
                </c:pt>
                <c:pt idx="278">
                  <c:v>144.80000000000001</c:v>
                </c:pt>
                <c:pt idx="279">
                  <c:v>141</c:v>
                </c:pt>
                <c:pt idx="280">
                  <c:v>139.30000000000001</c:v>
                </c:pt>
                <c:pt idx="281">
                  <c:v>140.6</c:v>
                </c:pt>
                <c:pt idx="282">
                  <c:v>134.80000000000001</c:v>
                </c:pt>
                <c:pt idx="283">
                  <c:v>129.30000000000001</c:v>
                </c:pt>
                <c:pt idx="284">
                  <c:v>127.9</c:v>
                </c:pt>
                <c:pt idx="285">
                  <c:v>127.7</c:v>
                </c:pt>
                <c:pt idx="286">
                  <c:v>124.9</c:v>
                </c:pt>
                <c:pt idx="287">
                  <c:v>127.9</c:v>
                </c:pt>
                <c:pt idx="288">
                  <c:v>123.3</c:v>
                </c:pt>
                <c:pt idx="289">
                  <c:v>128.19999999999999</c:v>
                </c:pt>
                <c:pt idx="290">
                  <c:v>131.6</c:v>
                </c:pt>
                <c:pt idx="291">
                  <c:v>135.1</c:v>
                </c:pt>
                <c:pt idx="292">
                  <c:v>136.69999999999999</c:v>
                </c:pt>
                <c:pt idx="293">
                  <c:v>135</c:v>
                </c:pt>
                <c:pt idx="294">
                  <c:v>130.5</c:v>
                </c:pt>
                <c:pt idx="295">
                  <c:v>132.5</c:v>
                </c:pt>
                <c:pt idx="296">
                  <c:v>137.30000000000001</c:v>
                </c:pt>
                <c:pt idx="297">
                  <c:v>146.9</c:v>
                </c:pt>
                <c:pt idx="298">
                  <c:v>140.4</c:v>
                </c:pt>
                <c:pt idx="299">
                  <c:v>138.69999999999999</c:v>
                </c:pt>
                <c:pt idx="300">
                  <c:v>146.4</c:v>
                </c:pt>
                <c:pt idx="301">
                  <c:v>148.1</c:v>
                </c:pt>
                <c:pt idx="302">
                  <c:v>153.5</c:v>
                </c:pt>
                <c:pt idx="303">
                  <c:v>138.80000000000001</c:v>
                </c:pt>
                <c:pt idx="304">
                  <c:v>141</c:v>
                </c:pt>
                <c:pt idx="305">
                  <c:v>141.30000000000001</c:v>
                </c:pt>
                <c:pt idx="306">
                  <c:v>133.5</c:v>
                </c:pt>
                <c:pt idx="307">
                  <c:v>131.5</c:v>
                </c:pt>
                <c:pt idx="308">
                  <c:v>132.1</c:v>
                </c:pt>
                <c:pt idx="309">
                  <c:v>132.69999999999999</c:v>
                </c:pt>
                <c:pt idx="310">
                  <c:v>138.19999999999999</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85.6</c:v>
                </c:pt>
                <c:pt idx="1">
                  <c:v>85.6</c:v>
                </c:pt>
                <c:pt idx="2">
                  <c:v>85.8</c:v>
                </c:pt>
                <c:pt idx="3">
                  <c:v>86.9</c:v>
                </c:pt>
                <c:pt idx="4">
                  <c:v>89</c:v>
                </c:pt>
                <c:pt idx="5">
                  <c:v>88.4</c:v>
                </c:pt>
                <c:pt idx="6">
                  <c:v>89.3</c:v>
                </c:pt>
                <c:pt idx="7">
                  <c:v>88.1</c:v>
                </c:pt>
                <c:pt idx="8">
                  <c:v>88</c:v>
                </c:pt>
                <c:pt idx="9">
                  <c:v>87.7</c:v>
                </c:pt>
                <c:pt idx="10">
                  <c:v>89.6</c:v>
                </c:pt>
                <c:pt idx="11">
                  <c:v>89.4</c:v>
                </c:pt>
                <c:pt idx="12">
                  <c:v>88.9</c:v>
                </c:pt>
                <c:pt idx="13">
                  <c:v>89.1</c:v>
                </c:pt>
                <c:pt idx="14">
                  <c:v>87.4</c:v>
                </c:pt>
                <c:pt idx="15">
                  <c:v>85.9</c:v>
                </c:pt>
                <c:pt idx="16">
                  <c:v>87.4</c:v>
                </c:pt>
                <c:pt idx="17">
                  <c:v>85.2</c:v>
                </c:pt>
                <c:pt idx="18">
                  <c:v>79.5</c:v>
                </c:pt>
                <c:pt idx="19">
                  <c:v>79.3</c:v>
                </c:pt>
                <c:pt idx="20">
                  <c:v>78.900000000000006</c:v>
                </c:pt>
                <c:pt idx="21">
                  <c:v>76.400000000000006</c:v>
                </c:pt>
                <c:pt idx="22">
                  <c:v>75.2</c:v>
                </c:pt>
                <c:pt idx="23">
                  <c:v>75.900000000000006</c:v>
                </c:pt>
                <c:pt idx="24">
                  <c:v>75.7</c:v>
                </c:pt>
                <c:pt idx="25">
                  <c:v>75.3</c:v>
                </c:pt>
                <c:pt idx="26">
                  <c:v>76.400000000000006</c:v>
                </c:pt>
                <c:pt idx="27">
                  <c:v>75.2</c:v>
                </c:pt>
                <c:pt idx="28">
                  <c:v>77.099999999999994</c:v>
                </c:pt>
                <c:pt idx="29">
                  <c:v>76.2</c:v>
                </c:pt>
                <c:pt idx="30">
                  <c:v>74.900000000000006</c:v>
                </c:pt>
                <c:pt idx="31">
                  <c:v>75.8</c:v>
                </c:pt>
                <c:pt idx="32">
                  <c:v>76.5</c:v>
                </c:pt>
                <c:pt idx="33">
                  <c:v>75.099999999999994</c:v>
                </c:pt>
                <c:pt idx="34">
                  <c:v>79.099999999999994</c:v>
                </c:pt>
                <c:pt idx="35">
                  <c:v>78</c:v>
                </c:pt>
                <c:pt idx="36">
                  <c:v>80.099999999999994</c:v>
                </c:pt>
                <c:pt idx="37">
                  <c:v>80.8</c:v>
                </c:pt>
                <c:pt idx="38">
                  <c:v>80.3</c:v>
                </c:pt>
                <c:pt idx="39">
                  <c:v>79.3</c:v>
                </c:pt>
                <c:pt idx="40">
                  <c:v>77.599999999999994</c:v>
                </c:pt>
                <c:pt idx="41">
                  <c:v>81.5</c:v>
                </c:pt>
                <c:pt idx="42">
                  <c:v>85.1</c:v>
                </c:pt>
                <c:pt idx="43">
                  <c:v>83.1</c:v>
                </c:pt>
                <c:pt idx="44">
                  <c:v>84.2</c:v>
                </c:pt>
                <c:pt idx="45">
                  <c:v>84.4</c:v>
                </c:pt>
                <c:pt idx="46">
                  <c:v>84.7</c:v>
                </c:pt>
                <c:pt idx="47">
                  <c:v>85.7</c:v>
                </c:pt>
                <c:pt idx="48">
                  <c:v>86.8</c:v>
                </c:pt>
                <c:pt idx="49">
                  <c:v>87.2</c:v>
                </c:pt>
                <c:pt idx="50">
                  <c:v>88.7</c:v>
                </c:pt>
                <c:pt idx="51">
                  <c:v>88.7</c:v>
                </c:pt>
                <c:pt idx="52">
                  <c:v>90.2</c:v>
                </c:pt>
                <c:pt idx="53">
                  <c:v>89.7</c:v>
                </c:pt>
                <c:pt idx="54">
                  <c:v>91.2</c:v>
                </c:pt>
                <c:pt idx="55">
                  <c:v>91.7</c:v>
                </c:pt>
                <c:pt idx="56">
                  <c:v>92.2</c:v>
                </c:pt>
                <c:pt idx="57">
                  <c:v>91.7</c:v>
                </c:pt>
                <c:pt idx="58">
                  <c:v>89.5</c:v>
                </c:pt>
                <c:pt idx="59">
                  <c:v>91.4</c:v>
                </c:pt>
                <c:pt idx="60">
                  <c:v>92.9</c:v>
                </c:pt>
                <c:pt idx="61">
                  <c:v>89.4</c:v>
                </c:pt>
                <c:pt idx="62">
                  <c:v>90.2</c:v>
                </c:pt>
                <c:pt idx="63">
                  <c:v>90.8</c:v>
                </c:pt>
                <c:pt idx="64">
                  <c:v>90.8</c:v>
                </c:pt>
                <c:pt idx="65">
                  <c:v>90.6</c:v>
                </c:pt>
                <c:pt idx="66">
                  <c:v>90.2</c:v>
                </c:pt>
                <c:pt idx="67">
                  <c:v>90.8</c:v>
                </c:pt>
                <c:pt idx="68">
                  <c:v>90.5</c:v>
                </c:pt>
                <c:pt idx="69">
                  <c:v>91.2</c:v>
                </c:pt>
                <c:pt idx="70">
                  <c:v>91.4</c:v>
                </c:pt>
                <c:pt idx="71">
                  <c:v>91.7</c:v>
                </c:pt>
                <c:pt idx="72">
                  <c:v>93.1</c:v>
                </c:pt>
                <c:pt idx="73">
                  <c:v>94.1</c:v>
                </c:pt>
                <c:pt idx="74">
                  <c:v>96.3</c:v>
                </c:pt>
                <c:pt idx="75">
                  <c:v>97.1</c:v>
                </c:pt>
                <c:pt idx="76">
                  <c:v>97.4</c:v>
                </c:pt>
                <c:pt idx="77">
                  <c:v>95.4</c:v>
                </c:pt>
                <c:pt idx="78">
                  <c:v>95.8</c:v>
                </c:pt>
                <c:pt idx="79">
                  <c:v>97.2</c:v>
                </c:pt>
                <c:pt idx="80">
                  <c:v>99.4</c:v>
                </c:pt>
                <c:pt idx="81">
                  <c:v>96.7</c:v>
                </c:pt>
                <c:pt idx="82">
                  <c:v>99.3</c:v>
                </c:pt>
                <c:pt idx="83">
                  <c:v>102.5</c:v>
                </c:pt>
                <c:pt idx="84">
                  <c:v>95.2</c:v>
                </c:pt>
                <c:pt idx="85">
                  <c:v>95</c:v>
                </c:pt>
                <c:pt idx="86">
                  <c:v>98.4</c:v>
                </c:pt>
                <c:pt idx="87">
                  <c:v>95.2</c:v>
                </c:pt>
                <c:pt idx="88">
                  <c:v>98.4</c:v>
                </c:pt>
                <c:pt idx="89">
                  <c:v>99.7</c:v>
                </c:pt>
                <c:pt idx="90">
                  <c:v>99.4</c:v>
                </c:pt>
                <c:pt idx="91">
                  <c:v>99.9</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98.6</c:v>
                </c:pt>
                <c:pt idx="107">
                  <c:v>94.7</c:v>
                </c:pt>
                <c:pt idx="108">
                  <c:v>91.2</c:v>
                </c:pt>
                <c:pt idx="109">
                  <c:v>85.1</c:v>
                </c:pt>
                <c:pt idx="110">
                  <c:v>82.3</c:v>
                </c:pt>
                <c:pt idx="111">
                  <c:v>80.900000000000006</c:v>
                </c:pt>
                <c:pt idx="112">
                  <c:v>76.400000000000006</c:v>
                </c:pt>
                <c:pt idx="113">
                  <c:v>75.5</c:v>
                </c:pt>
                <c:pt idx="114">
                  <c:v>72.099999999999994</c:v>
                </c:pt>
                <c:pt idx="115">
                  <c:v>73.7</c:v>
                </c:pt>
                <c:pt idx="116">
                  <c:v>73</c:v>
                </c:pt>
                <c:pt idx="117">
                  <c:v>77</c:v>
                </c:pt>
                <c:pt idx="118">
                  <c:v>76.2</c:v>
                </c:pt>
                <c:pt idx="119">
                  <c:v>76.900000000000006</c:v>
                </c:pt>
                <c:pt idx="120">
                  <c:v>78.900000000000006</c:v>
                </c:pt>
                <c:pt idx="121">
                  <c:v>81.2</c:v>
                </c:pt>
                <c:pt idx="122">
                  <c:v>83</c:v>
                </c:pt>
                <c:pt idx="123">
                  <c:v>81.400000000000006</c:v>
                </c:pt>
                <c:pt idx="124" formatCode="General">
                  <c:v>80.599999999999994</c:v>
                </c:pt>
                <c:pt idx="125" formatCode="General">
                  <c:v>82</c:v>
                </c:pt>
                <c:pt idx="126" formatCode="General">
                  <c:v>86.6</c:v>
                </c:pt>
                <c:pt idx="127" formatCode="General">
                  <c:v>84.2</c:v>
                </c:pt>
                <c:pt idx="128" formatCode="General">
                  <c:v>86.4</c:v>
                </c:pt>
                <c:pt idx="129">
                  <c:v>88.2</c:v>
                </c:pt>
                <c:pt idx="130" formatCode="General">
                  <c:v>91.2</c:v>
                </c:pt>
                <c:pt idx="131" formatCode="General">
                  <c:v>94.3</c:v>
                </c:pt>
                <c:pt idx="132">
                  <c:v>93.3</c:v>
                </c:pt>
                <c:pt idx="133">
                  <c:v>93.2</c:v>
                </c:pt>
                <c:pt idx="134">
                  <c:v>78.2</c:v>
                </c:pt>
                <c:pt idx="135">
                  <c:v>84.5</c:v>
                </c:pt>
                <c:pt idx="136" formatCode="General">
                  <c:v>89.1</c:v>
                </c:pt>
                <c:pt idx="137" formatCode="General">
                  <c:v>86.9</c:v>
                </c:pt>
                <c:pt idx="138" formatCode="General">
                  <c:v>90.9</c:v>
                </c:pt>
                <c:pt idx="139" formatCode="General">
                  <c:v>95.2</c:v>
                </c:pt>
                <c:pt idx="140" formatCode="General">
                  <c:v>93.9</c:v>
                </c:pt>
                <c:pt idx="141">
                  <c:v>91.7</c:v>
                </c:pt>
                <c:pt idx="142" formatCode="General">
                  <c:v>90.3</c:v>
                </c:pt>
                <c:pt idx="143" formatCode="General">
                  <c:v>93</c:v>
                </c:pt>
                <c:pt idx="144" formatCode="General">
                  <c:v>94.6</c:v>
                </c:pt>
                <c:pt idx="145" formatCode="General">
                  <c:v>95.1</c:v>
                </c:pt>
                <c:pt idx="146" formatCode="General">
                  <c:v>97.4</c:v>
                </c:pt>
                <c:pt idx="147" formatCode="General">
                  <c:v>97.9</c:v>
                </c:pt>
                <c:pt idx="148" formatCode="General">
                  <c:v>100.9</c:v>
                </c:pt>
                <c:pt idx="149" formatCode="General">
                  <c:v>100.6</c:v>
                </c:pt>
                <c:pt idx="150" formatCode="General">
                  <c:v>98.8</c:v>
                </c:pt>
                <c:pt idx="151">
                  <c:v>98.2</c:v>
                </c:pt>
                <c:pt idx="152">
                  <c:v>99.8</c:v>
                </c:pt>
                <c:pt idx="153">
                  <c:v>98.2</c:v>
                </c:pt>
                <c:pt idx="154">
                  <c:v>98</c:v>
                </c:pt>
                <c:pt idx="155">
                  <c:v>97.9</c:v>
                </c:pt>
                <c:pt idx="156">
                  <c:v>96.2</c:v>
                </c:pt>
                <c:pt idx="157">
                  <c:v>98.8</c:v>
                </c:pt>
                <c:pt idx="158">
                  <c:v>103</c:v>
                </c:pt>
                <c:pt idx="159">
                  <c:v>99.3</c:v>
                </c:pt>
                <c:pt idx="160">
                  <c:v>102.2</c:v>
                </c:pt>
                <c:pt idx="161">
                  <c:v>105.7</c:v>
                </c:pt>
                <c:pt idx="162">
                  <c:v>105.6</c:v>
                </c:pt>
                <c:pt idx="163">
                  <c:v>106.4</c:v>
                </c:pt>
                <c:pt idx="164">
                  <c:v>107.3</c:v>
                </c:pt>
                <c:pt idx="165">
                  <c:v>106.9</c:v>
                </c:pt>
                <c:pt idx="166">
                  <c:v>110.1</c:v>
                </c:pt>
                <c:pt idx="167">
                  <c:v>111</c:v>
                </c:pt>
                <c:pt idx="168">
                  <c:v>111.9</c:v>
                </c:pt>
                <c:pt idx="169">
                  <c:v>112.3</c:v>
                </c:pt>
                <c:pt idx="170">
                  <c:v>106.5</c:v>
                </c:pt>
                <c:pt idx="171">
                  <c:v>108.6</c:v>
                </c:pt>
                <c:pt idx="172">
                  <c:v>114.1</c:v>
                </c:pt>
                <c:pt idx="173">
                  <c:v>114.7</c:v>
                </c:pt>
                <c:pt idx="174">
                  <c:v>114.7</c:v>
                </c:pt>
                <c:pt idx="175">
                  <c:v>114.4</c:v>
                </c:pt>
                <c:pt idx="176">
                  <c:v>115.2</c:v>
                </c:pt>
                <c:pt idx="177">
                  <c:v>115.2</c:v>
                </c:pt>
                <c:pt idx="178">
                  <c:v>113.5</c:v>
                </c:pt>
                <c:pt idx="179">
                  <c:v>109.8</c:v>
                </c:pt>
                <c:pt idx="180">
                  <c:v>102.3</c:v>
                </c:pt>
                <c:pt idx="181">
                  <c:v>106.5</c:v>
                </c:pt>
                <c:pt idx="182">
                  <c:v>105.8</c:v>
                </c:pt>
                <c:pt idx="183">
                  <c:v>105.5</c:v>
                </c:pt>
                <c:pt idx="184">
                  <c:v>104.8</c:v>
                </c:pt>
                <c:pt idx="185">
                  <c:v>102.5</c:v>
                </c:pt>
                <c:pt idx="186">
                  <c:v>100.3</c:v>
                </c:pt>
                <c:pt idx="187">
                  <c:v>100.8</c:v>
                </c:pt>
                <c:pt idx="188">
                  <c:v>97</c:v>
                </c:pt>
                <c:pt idx="189">
                  <c:v>101.3</c:v>
                </c:pt>
                <c:pt idx="190">
                  <c:v>97.5</c:v>
                </c:pt>
                <c:pt idx="191">
                  <c:v>100.2</c:v>
                </c:pt>
                <c:pt idx="192">
                  <c:v>101.5</c:v>
                </c:pt>
                <c:pt idx="193">
                  <c:v>101.4</c:v>
                </c:pt>
                <c:pt idx="194">
                  <c:v>101.1</c:v>
                </c:pt>
                <c:pt idx="195">
                  <c:v>99.7</c:v>
                </c:pt>
                <c:pt idx="196">
                  <c:v>98.9</c:v>
                </c:pt>
                <c:pt idx="197">
                  <c:v>97.3</c:v>
                </c:pt>
                <c:pt idx="198">
                  <c:v>99.7</c:v>
                </c:pt>
                <c:pt idx="199">
                  <c:v>97.7</c:v>
                </c:pt>
                <c:pt idx="200">
                  <c:v>98</c:v>
                </c:pt>
                <c:pt idx="201">
                  <c:v>99.7</c:v>
                </c:pt>
                <c:pt idx="202">
                  <c:v>101</c:v>
                </c:pt>
                <c:pt idx="203">
                  <c:v>101.1</c:v>
                </c:pt>
                <c:pt idx="204">
                  <c:v>101</c:v>
                </c:pt>
                <c:pt idx="205">
                  <c:v>101.3</c:v>
                </c:pt>
                <c:pt idx="206">
                  <c:v>100.5</c:v>
                </c:pt>
                <c:pt idx="207">
                  <c:v>102.4</c:v>
                </c:pt>
                <c:pt idx="208">
                  <c:v>98.7</c:v>
                </c:pt>
                <c:pt idx="209">
                  <c:v>100.6</c:v>
                </c:pt>
                <c:pt idx="210">
                  <c:v>100.1</c:v>
                </c:pt>
                <c:pt idx="211">
                  <c:v>100.1</c:v>
                </c:pt>
                <c:pt idx="212">
                  <c:v>100.6</c:v>
                </c:pt>
                <c:pt idx="213">
                  <c:v>99.2</c:v>
                </c:pt>
                <c:pt idx="214">
                  <c:v>100.6</c:v>
                </c:pt>
                <c:pt idx="215">
                  <c:v>103.2</c:v>
                </c:pt>
                <c:pt idx="216">
                  <c:v>104.9</c:v>
                </c:pt>
                <c:pt idx="217">
                  <c:v>102.9</c:v>
                </c:pt>
                <c:pt idx="218">
                  <c:v>102.6</c:v>
                </c:pt>
                <c:pt idx="219">
                  <c:v>99.1</c:v>
                </c:pt>
                <c:pt idx="220">
                  <c:v>103.3</c:v>
                </c:pt>
                <c:pt idx="221">
                  <c:v>103</c:v>
                </c:pt>
                <c:pt idx="222">
                  <c:v>104.7</c:v>
                </c:pt>
                <c:pt idx="223">
                  <c:v>101.5</c:v>
                </c:pt>
                <c:pt idx="224">
                  <c:v>99.8</c:v>
                </c:pt>
                <c:pt idx="225">
                  <c:v>98.7</c:v>
                </c:pt>
                <c:pt idx="226">
                  <c:v>98.3</c:v>
                </c:pt>
                <c:pt idx="227">
                  <c:v>99.2</c:v>
                </c:pt>
                <c:pt idx="228">
                  <c:v>94.8</c:v>
                </c:pt>
                <c:pt idx="229">
                  <c:v>96.2</c:v>
                </c:pt>
                <c:pt idx="230">
                  <c:v>96.8</c:v>
                </c:pt>
                <c:pt idx="231">
                  <c:v>95.1</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94.1</c:v>
                </c:pt>
                <c:pt idx="252">
                  <c:v>98.3</c:v>
                </c:pt>
                <c:pt idx="253">
                  <c:v>97</c:v>
                </c:pt>
                <c:pt idx="254">
                  <c:v>103.2</c:v>
                </c:pt>
                <c:pt idx="255">
                  <c:v>105.3</c:v>
                </c:pt>
                <c:pt idx="256">
                  <c:v>102.5</c:v>
                </c:pt>
                <c:pt idx="257">
                  <c:v>103.7</c:v>
                </c:pt>
                <c:pt idx="258">
                  <c:v>101.4</c:v>
                </c:pt>
                <c:pt idx="259">
                  <c:v>101.7</c:v>
                </c:pt>
                <c:pt idx="260">
                  <c:v>101.8</c:v>
                </c:pt>
                <c:pt idx="261">
                  <c:v>104</c:v>
                </c:pt>
                <c:pt idx="262">
                  <c:v>104.5</c:v>
                </c:pt>
                <c:pt idx="263">
                  <c:v>105.2</c:v>
                </c:pt>
                <c:pt idx="264">
                  <c:v>105.8</c:v>
                </c:pt>
                <c:pt idx="265">
                  <c:v>102.4</c:v>
                </c:pt>
                <c:pt idx="266">
                  <c:v>110.4</c:v>
                </c:pt>
                <c:pt idx="267">
                  <c:v>107.1</c:v>
                </c:pt>
                <c:pt idx="268">
                  <c:v>117.2</c:v>
                </c:pt>
                <c:pt idx="269">
                  <c:v>113.5</c:v>
                </c:pt>
                <c:pt idx="270">
                  <c:v>120.6</c:v>
                </c:pt>
                <c:pt idx="271">
                  <c:v>116.8</c:v>
                </c:pt>
                <c:pt idx="272">
                  <c:v>118.6</c:v>
                </c:pt>
                <c:pt idx="273">
                  <c:v>118</c:v>
                </c:pt>
                <c:pt idx="274">
                  <c:v>120.7</c:v>
                </c:pt>
                <c:pt idx="275">
                  <c:v>125.1</c:v>
                </c:pt>
                <c:pt idx="276">
                  <c:v>126</c:v>
                </c:pt>
                <c:pt idx="277">
                  <c:v>125.6</c:v>
                </c:pt>
                <c:pt idx="278">
                  <c:v>123.7</c:v>
                </c:pt>
                <c:pt idx="279">
                  <c:v>123.1</c:v>
                </c:pt>
                <c:pt idx="280">
                  <c:v>121.4</c:v>
                </c:pt>
                <c:pt idx="281">
                  <c:v>119.4</c:v>
                </c:pt>
                <c:pt idx="282">
                  <c:v>123.1</c:v>
                </c:pt>
                <c:pt idx="283">
                  <c:v>126.2</c:v>
                </c:pt>
                <c:pt idx="284">
                  <c:v>126.3</c:v>
                </c:pt>
                <c:pt idx="285">
                  <c:v>128.4</c:v>
                </c:pt>
                <c:pt idx="286">
                  <c:v>123.5</c:v>
                </c:pt>
                <c:pt idx="287">
                  <c:v>125.7</c:v>
                </c:pt>
                <c:pt idx="288">
                  <c:v>118.2</c:v>
                </c:pt>
                <c:pt idx="289">
                  <c:v>125.1</c:v>
                </c:pt>
                <c:pt idx="290">
                  <c:v>123.4</c:v>
                </c:pt>
                <c:pt idx="291">
                  <c:v>121.5</c:v>
                </c:pt>
                <c:pt idx="292">
                  <c:v>122.8</c:v>
                </c:pt>
                <c:pt idx="293">
                  <c:v>126.7</c:v>
                </c:pt>
                <c:pt idx="294">
                  <c:v>119.5</c:v>
                </c:pt>
                <c:pt idx="295">
                  <c:v>124.4</c:v>
                </c:pt>
                <c:pt idx="296">
                  <c:v>122.8</c:v>
                </c:pt>
                <c:pt idx="297">
                  <c:v>123.2</c:v>
                </c:pt>
                <c:pt idx="298">
                  <c:v>128.9</c:v>
                </c:pt>
                <c:pt idx="299">
                  <c:v>127.1</c:v>
                </c:pt>
                <c:pt idx="300">
                  <c:v>128.5</c:v>
                </c:pt>
                <c:pt idx="301">
                  <c:v>127.8</c:v>
                </c:pt>
                <c:pt idx="302">
                  <c:v>127.7</c:v>
                </c:pt>
                <c:pt idx="303">
                  <c:v>125.3</c:v>
                </c:pt>
                <c:pt idx="304">
                  <c:v>123.9</c:v>
                </c:pt>
                <c:pt idx="305">
                  <c:v>123.9</c:v>
                </c:pt>
                <c:pt idx="306">
                  <c:v>125.1</c:v>
                </c:pt>
                <c:pt idx="307">
                  <c:v>118.6</c:v>
                </c:pt>
                <c:pt idx="308">
                  <c:v>119.8</c:v>
                </c:pt>
                <c:pt idx="309">
                  <c:v>122.1</c:v>
                </c:pt>
                <c:pt idx="310">
                  <c:v>125.6</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pt idx="560">
                  <c:v>42.857142857142854</c:v>
                </c:pt>
                <c:pt idx="561">
                  <c:v>71.428571428571431</c:v>
                </c:pt>
                <c:pt idx="562">
                  <c:v>42.857142857142854</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18.75</c:v>
                </c:pt>
                <c:pt idx="529">
                  <c:v>25</c:v>
                </c:pt>
                <c:pt idx="530">
                  <c:v>50</c:v>
                </c:pt>
                <c:pt idx="531">
                  <c:v>37.5</c:v>
                </c:pt>
                <c:pt idx="532">
                  <c:v>50</c:v>
                </c:pt>
                <c:pt idx="533">
                  <c:v>25</c:v>
                </c:pt>
                <c:pt idx="534">
                  <c:v>25</c:v>
                </c:pt>
                <c:pt idx="535">
                  <c:v>25</c:v>
                </c:pt>
                <c:pt idx="536">
                  <c:v>25</c:v>
                </c:pt>
                <c:pt idx="537">
                  <c:v>37.5</c:v>
                </c:pt>
                <c:pt idx="538">
                  <c:v>12.5</c:v>
                </c:pt>
                <c:pt idx="539">
                  <c:v>37.5</c:v>
                </c:pt>
                <c:pt idx="540">
                  <c:v>12.5</c:v>
                </c:pt>
                <c:pt idx="541">
                  <c:v>62.5</c:v>
                </c:pt>
                <c:pt idx="542">
                  <c:v>62.5</c:v>
                </c:pt>
                <c:pt idx="543">
                  <c:v>62.5</c:v>
                </c:pt>
                <c:pt idx="544">
                  <c:v>62.5</c:v>
                </c:pt>
                <c:pt idx="545">
                  <c:v>75</c:v>
                </c:pt>
                <c:pt idx="546">
                  <c:v>50</c:v>
                </c:pt>
                <c:pt idx="547">
                  <c:v>25</c:v>
                </c:pt>
                <c:pt idx="548">
                  <c:v>43.75</c:v>
                </c:pt>
                <c:pt idx="549">
                  <c:v>75</c:v>
                </c:pt>
                <c:pt idx="550">
                  <c:v>68.75</c:v>
                </c:pt>
                <c:pt idx="551">
                  <c:v>75</c:v>
                </c:pt>
                <c:pt idx="552">
                  <c:v>87.5</c:v>
                </c:pt>
                <c:pt idx="553">
                  <c:v>62.5</c:v>
                </c:pt>
                <c:pt idx="554">
                  <c:v>75</c:v>
                </c:pt>
                <c:pt idx="555">
                  <c:v>25</c:v>
                </c:pt>
                <c:pt idx="556">
                  <c:v>50</c:v>
                </c:pt>
                <c:pt idx="557">
                  <c:v>25</c:v>
                </c:pt>
                <c:pt idx="558">
                  <c:v>0</c:v>
                </c:pt>
                <c:pt idx="559">
                  <c:v>12.5</c:v>
                </c:pt>
                <c:pt idx="560">
                  <c:v>50</c:v>
                </c:pt>
                <c:pt idx="561">
                  <c:v>62.5</c:v>
                </c:pt>
                <c:pt idx="562">
                  <c:v>75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6934200"/>
          <a:ext cx="4357688" cy="342900"/>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0519" y="6293644"/>
          <a:ext cx="2564606"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4431" y="0"/>
          <a:ext cx="3479007"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4431" y="0"/>
          <a:ext cx="3479007"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4431" y="0"/>
          <a:ext cx="3479007"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4431" y="0"/>
          <a:ext cx="3479007"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4431" y="0"/>
          <a:ext cx="3479007"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4431" y="0"/>
          <a:ext cx="3479007"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4431" y="0"/>
          <a:ext cx="3479007"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4431" y="0"/>
          <a:ext cx="3479007"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4431" y="0"/>
          <a:ext cx="3479007"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4431" y="0"/>
          <a:ext cx="3479007"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4431" y="0"/>
          <a:ext cx="3479007"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4431" y="0"/>
          <a:ext cx="3479007"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4431" y="0"/>
          <a:ext cx="3479007"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4431" y="0"/>
          <a:ext cx="3479007"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790950" y="2952750"/>
          <a:ext cx="2276475" cy="561975"/>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43100" y="3810000"/>
          <a:ext cx="2943225"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7600" y="3067050"/>
          <a:ext cx="2390775"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76550"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9825"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33700"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07%20&#65315;&#65321;&#12289;&#26223;&#27841;/&#9670;&#26223;&#27671;&#21205;&#21521;&#25351;&#25968;/&#9679;&#26032;CI/06%20&#23395;&#31680;&#35519;&#25972;/2024-07/R6&#23395;&#31680;&#35519;&#25972;&#35336;&#31639;by&#30001;&#32000;/&#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7%20&#65315;&#65321;&#12289;&#26223;&#27841;/&#9670;&#26223;&#27671;&#21205;&#21521;&#25351;&#25968;/&#9679;&#26032;CI/06%20&#23395;&#31680;&#35519;&#25972;/2024-07/R6&#23395;&#31680;&#35519;&#25972;&#35336;&#31639;by&#30001;&#32000;/&#12298;&#20844;&#34920;&#36039;&#26009;&#122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J3" t="str">
            <v>先行指数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topLeftCell="A2" workbookViewId="0">
      <selection activeCell="F6" sqref="F6"/>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38" t="s">
        <v>264</v>
      </c>
      <c r="C1" s="1338"/>
      <c r="D1" s="1338"/>
      <c r="E1" s="1338"/>
      <c r="F1" s="1338"/>
      <c r="G1" s="1338"/>
    </row>
    <row r="2" spans="1:11" ht="6" customHeight="1"/>
    <row r="3" spans="1:11" ht="30" customHeight="1">
      <c r="A3" s="14"/>
      <c r="B3" s="1341" t="s">
        <v>265</v>
      </c>
      <c r="C3" s="1341"/>
      <c r="D3" s="1341"/>
      <c r="E3" s="1341"/>
      <c r="F3" s="1341"/>
      <c r="G3" s="1341"/>
      <c r="H3" s="15"/>
    </row>
    <row r="4" spans="1:11" ht="6" customHeight="1"/>
    <row r="5" spans="1:11" ht="30" customHeight="1" thickBot="1">
      <c r="A5" s="16"/>
      <c r="B5" s="1340" t="s">
        <v>266</v>
      </c>
      <c r="C5" s="1340"/>
      <c r="D5" s="1340"/>
      <c r="E5" s="1340"/>
      <c r="F5" s="1340"/>
      <c r="G5" s="1340"/>
      <c r="H5" s="17"/>
    </row>
    <row r="6" spans="1:11" ht="42" customHeight="1" thickTop="1" thickBot="1">
      <c r="A6" s="16"/>
      <c r="B6" s="18">
        <v>8</v>
      </c>
      <c r="C6" s="19" t="s">
        <v>267</v>
      </c>
      <c r="D6" s="18">
        <v>2</v>
      </c>
      <c r="E6" s="19"/>
      <c r="F6" s="1002" t="s">
        <v>828</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39" t="s">
        <v>269</v>
      </c>
      <c r="C9" s="1339"/>
      <c r="D9" s="1339"/>
      <c r="E9" s="1339"/>
      <c r="F9" s="22"/>
      <c r="G9" s="22"/>
      <c r="H9" s="23"/>
      <c r="J9" s="24" t="s">
        <v>270</v>
      </c>
      <c r="K9" s="25">
        <f ca="1">NOW()</f>
        <v>46084.561941782405</v>
      </c>
    </row>
    <row r="10" spans="1:11" ht="18" customHeight="1">
      <c r="A10" s="21"/>
      <c r="B10" s="26">
        <f>IF(D6&lt;4,B6-1,B6)</f>
        <v>7</v>
      </c>
      <c r="C10" s="27" t="s">
        <v>267</v>
      </c>
      <c r="D10" s="26">
        <f>IF(D6&lt;=3, D6+9,D6-3)</f>
        <v>11</v>
      </c>
      <c r="E10" s="28" t="s">
        <v>189</v>
      </c>
      <c r="F10" s="29"/>
      <c r="G10" s="28"/>
      <c r="H10" s="23"/>
      <c r="J10" s="30" t="s">
        <v>271</v>
      </c>
      <c r="K10" s="31">
        <v>39966.555107523149</v>
      </c>
    </row>
    <row r="11" spans="1:11" ht="8.25" customHeight="1">
      <c r="A11" s="21"/>
      <c r="B11" s="23"/>
      <c r="C11" s="23"/>
      <c r="D11" s="23"/>
      <c r="E11" s="23"/>
      <c r="F11" s="23"/>
      <c r="G11" s="23"/>
      <c r="H11" s="23"/>
    </row>
    <row r="15" spans="1:11">
      <c r="F15" s="1159" t="s">
        <v>764</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10" activePane="bottomRight" state="frozen"/>
      <selection activeCell="Q9" sqref="Q9"/>
      <selection pane="topRight" activeCell="Q9" sqref="Q9"/>
      <selection pane="bottomLeft" activeCell="Q9" sqref="Q9"/>
      <selection pane="bottomRight" activeCell="Q9" sqref="Q9"/>
    </sheetView>
  </sheetViews>
  <sheetFormatPr defaultColWidth="8.125" defaultRowHeight="13.5"/>
  <cols>
    <col min="1" max="1" width="1.75" style="249" customWidth="1"/>
    <col min="2" max="2" width="4" style="245" customWidth="1"/>
    <col min="3" max="3" width="3.875" style="245" customWidth="1"/>
    <col min="4" max="4" width="12.125" style="254" customWidth="1"/>
    <col min="5" max="7" width="12.125" style="252" customWidth="1"/>
    <col min="8" max="8" width="12.125" style="253" customWidth="1"/>
    <col min="9" max="10" width="12.125" style="252" customWidth="1"/>
    <col min="11" max="11" width="1.125" customWidth="1"/>
    <col min="31" max="16384" width="8.125" style="249"/>
  </cols>
  <sheetData>
    <row r="1" spans="1:192" s="245" customFormat="1" ht="21" customHeight="1">
      <c r="B1" s="258" t="s">
        <v>56</v>
      </c>
      <c r="C1" s="216"/>
      <c r="D1" s="216"/>
      <c r="E1" s="1240"/>
      <c r="F1" s="216"/>
      <c r="G1" s="216"/>
      <c r="H1" s="247"/>
      <c r="I1" s="248"/>
      <c r="J1" s="248"/>
    </row>
    <row r="2" spans="1:192" ht="15" customHeight="1">
      <c r="B2" s="250"/>
      <c r="C2" s="246"/>
      <c r="D2" s="251"/>
    </row>
    <row r="3" spans="1:192" ht="15" customHeight="1">
      <c r="B3" s="1489" t="s">
        <v>548</v>
      </c>
      <c r="C3" s="1489"/>
      <c r="D3" s="1489"/>
      <c r="E3" s="1489"/>
      <c r="F3" s="1489"/>
      <c r="G3" s="1489"/>
      <c r="H3" s="1489"/>
      <c r="I3" s="1489"/>
      <c r="J3" s="1489"/>
    </row>
    <row r="4" spans="1:192" ht="15" customHeight="1">
      <c r="B4" s="697"/>
      <c r="C4" s="690" t="s">
        <v>555</v>
      </c>
      <c r="D4" s="446" t="s">
        <v>393</v>
      </c>
      <c r="E4" s="1241" t="s">
        <v>151</v>
      </c>
      <c r="F4" s="446" t="s">
        <v>152</v>
      </c>
      <c r="G4" s="446" t="s">
        <v>153</v>
      </c>
      <c r="H4" s="446" t="s">
        <v>154</v>
      </c>
      <c r="I4" s="446" t="s">
        <v>155</v>
      </c>
      <c r="J4" s="446" t="s">
        <v>156</v>
      </c>
    </row>
    <row r="5" spans="1:192" s="245" customFormat="1" ht="15" customHeight="1">
      <c r="B5" s="691"/>
      <c r="C5" s="692"/>
      <c r="D5" s="1487" t="s">
        <v>493</v>
      </c>
      <c r="E5" s="1492" t="s">
        <v>496</v>
      </c>
      <c r="F5" s="1492" t="s">
        <v>495</v>
      </c>
      <c r="G5" s="1494" t="s">
        <v>398</v>
      </c>
      <c r="H5" s="1494" t="s">
        <v>397</v>
      </c>
      <c r="I5" s="1490" t="s">
        <v>775</v>
      </c>
      <c r="J5" s="1490" t="s">
        <v>776</v>
      </c>
    </row>
    <row r="6" spans="1:192" ht="15" customHeight="1">
      <c r="B6" s="447"/>
      <c r="C6" s="249"/>
      <c r="D6" s="1488"/>
      <c r="E6" s="1495"/>
      <c r="F6" s="1491"/>
      <c r="G6" s="1491"/>
      <c r="H6" s="1491"/>
      <c r="I6" s="1497"/>
      <c r="J6" s="1491"/>
    </row>
    <row r="7" spans="1:192" ht="15" customHeight="1">
      <c r="B7" s="447"/>
      <c r="C7" s="249"/>
      <c r="D7" s="1488"/>
      <c r="E7" s="1496"/>
      <c r="F7" s="1493"/>
      <c r="G7" s="1493"/>
      <c r="H7" s="1491"/>
      <c r="I7" s="1497"/>
      <c r="J7" s="1491"/>
    </row>
    <row r="8" spans="1:192" ht="15" customHeight="1">
      <c r="B8" s="447"/>
      <c r="C8" s="249"/>
      <c r="D8" s="1488"/>
      <c r="E8" s="1496"/>
      <c r="F8" s="1493"/>
      <c r="G8" s="1493"/>
      <c r="H8" s="1491"/>
      <c r="I8" s="1488"/>
      <c r="J8" s="1491"/>
    </row>
    <row r="9" spans="1:192" ht="15" customHeight="1">
      <c r="A9" s="250"/>
      <c r="B9" s="448" t="s">
        <v>194</v>
      </c>
      <c r="C9" s="449"/>
      <c r="D9" s="809" t="s">
        <v>583</v>
      </c>
      <c r="E9" s="1169" t="s">
        <v>767</v>
      </c>
      <c r="F9" s="1169" t="s">
        <v>767</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1" t="s">
        <v>713</v>
      </c>
      <c r="C10" s="769">
        <v>1</v>
      </c>
      <c r="D10" s="903">
        <v>6497.2</v>
      </c>
      <c r="E10" s="905">
        <v>88</v>
      </c>
      <c r="F10" s="942">
        <v>72</v>
      </c>
      <c r="G10" s="812">
        <v>3286</v>
      </c>
      <c r="H10" s="904">
        <v>741</v>
      </c>
      <c r="I10" s="812">
        <v>3</v>
      </c>
      <c r="J10" s="1283">
        <v>83.3</v>
      </c>
      <c r="K10" s="1301"/>
    </row>
    <row r="11" spans="1:192" ht="15" customHeight="1">
      <c r="B11" s="999"/>
      <c r="C11" s="568">
        <v>2</v>
      </c>
      <c r="D11" s="906">
        <v>6381.5</v>
      </c>
      <c r="E11" s="785">
        <v>89.3</v>
      </c>
      <c r="F11" s="929">
        <v>70.400000000000006</v>
      </c>
      <c r="G11" s="569">
        <v>3320</v>
      </c>
      <c r="H11" s="813">
        <v>434</v>
      </c>
      <c r="I11" s="569">
        <v>5</v>
      </c>
      <c r="J11" s="1284">
        <v>78.7</v>
      </c>
      <c r="K11" s="1301"/>
    </row>
    <row r="12" spans="1:192" ht="15" customHeight="1">
      <c r="B12" s="999"/>
      <c r="C12" s="568">
        <v>3</v>
      </c>
      <c r="D12" s="906">
        <v>6076.6</v>
      </c>
      <c r="E12" s="785">
        <v>88.9</v>
      </c>
      <c r="F12" s="929">
        <v>73.5</v>
      </c>
      <c r="G12" s="569">
        <v>3373</v>
      </c>
      <c r="H12" s="813">
        <v>548</v>
      </c>
      <c r="I12" s="569">
        <v>4</v>
      </c>
      <c r="J12" s="1284">
        <v>78</v>
      </c>
      <c r="K12" s="1301"/>
    </row>
    <row r="13" spans="1:192" ht="15" customHeight="1">
      <c r="B13" s="1001"/>
      <c r="C13" s="568">
        <v>4</v>
      </c>
      <c r="D13" s="906">
        <v>6529.8</v>
      </c>
      <c r="E13" s="785">
        <v>90.7</v>
      </c>
      <c r="F13" s="929">
        <v>73.5</v>
      </c>
      <c r="G13" s="569">
        <v>3433</v>
      </c>
      <c r="H13" s="813">
        <v>617</v>
      </c>
      <c r="I13" s="569">
        <v>4</v>
      </c>
      <c r="J13" s="1284">
        <v>81.3</v>
      </c>
      <c r="K13" s="1301"/>
    </row>
    <row r="14" spans="1:192" ht="15" customHeight="1">
      <c r="B14" s="1003"/>
      <c r="C14" s="568">
        <v>5</v>
      </c>
      <c r="D14" s="906">
        <v>6650.9</v>
      </c>
      <c r="E14" s="785">
        <v>89.6</v>
      </c>
      <c r="F14" s="929">
        <v>91.9</v>
      </c>
      <c r="G14" s="569">
        <v>3320</v>
      </c>
      <c r="H14" s="813">
        <v>561</v>
      </c>
      <c r="I14" s="569">
        <v>3</v>
      </c>
      <c r="J14" s="1284">
        <v>84.7</v>
      </c>
      <c r="K14" s="1301"/>
    </row>
    <row r="15" spans="1:192" ht="15" customHeight="1">
      <c r="B15" s="999"/>
      <c r="C15" s="568">
        <v>6</v>
      </c>
      <c r="D15" s="906">
        <v>6312.7</v>
      </c>
      <c r="E15" s="785">
        <v>92.5</v>
      </c>
      <c r="F15" s="929">
        <v>83</v>
      </c>
      <c r="G15" s="569">
        <v>3408</v>
      </c>
      <c r="H15" s="813">
        <v>582</v>
      </c>
      <c r="I15" s="569">
        <v>3</v>
      </c>
      <c r="J15" s="1284">
        <v>88</v>
      </c>
      <c r="K15" s="1301"/>
    </row>
    <row r="16" spans="1:192" ht="15" customHeight="1">
      <c r="B16" s="999"/>
      <c r="C16" s="568">
        <v>7</v>
      </c>
      <c r="D16" s="906">
        <v>6536.9</v>
      </c>
      <c r="E16" s="785">
        <v>86.3</v>
      </c>
      <c r="F16" s="929">
        <v>92.4</v>
      </c>
      <c r="G16" s="569">
        <v>3726</v>
      </c>
      <c r="H16" s="813">
        <v>491</v>
      </c>
      <c r="I16" s="569">
        <v>4</v>
      </c>
      <c r="J16" s="1284">
        <v>88</v>
      </c>
      <c r="K16" s="1301"/>
    </row>
    <row r="17" spans="2:11" ht="15" customHeight="1">
      <c r="B17" s="999"/>
      <c r="C17" s="568">
        <v>8</v>
      </c>
      <c r="D17" s="906">
        <v>6392.4</v>
      </c>
      <c r="E17" s="785">
        <v>87.2</v>
      </c>
      <c r="F17" s="929">
        <v>92.8</v>
      </c>
      <c r="G17" s="569">
        <v>3351</v>
      </c>
      <c r="H17" s="813">
        <v>452</v>
      </c>
      <c r="I17" s="569">
        <v>3</v>
      </c>
      <c r="J17" s="1284">
        <v>88</v>
      </c>
      <c r="K17" s="1301"/>
    </row>
    <row r="18" spans="2:11" ht="15" customHeight="1">
      <c r="B18" s="999"/>
      <c r="C18" s="568">
        <v>9</v>
      </c>
      <c r="D18" s="906">
        <v>6458.1</v>
      </c>
      <c r="E18" s="785">
        <v>84.9</v>
      </c>
      <c r="F18" s="929">
        <v>94.7</v>
      </c>
      <c r="G18" s="569">
        <v>3465</v>
      </c>
      <c r="H18" s="813">
        <v>536</v>
      </c>
      <c r="I18" s="569">
        <v>7</v>
      </c>
      <c r="J18" s="1284">
        <v>88</v>
      </c>
      <c r="K18" s="1301"/>
    </row>
    <row r="19" spans="2:11" ht="15" customHeight="1">
      <c r="B19" s="999"/>
      <c r="C19" s="568">
        <v>10</v>
      </c>
      <c r="D19" s="906">
        <v>6593.5</v>
      </c>
      <c r="E19" s="785">
        <v>81.5</v>
      </c>
      <c r="F19" s="929">
        <v>106.4</v>
      </c>
      <c r="G19" s="569">
        <v>3700</v>
      </c>
      <c r="H19" s="813">
        <v>581</v>
      </c>
      <c r="I19" s="569">
        <v>2</v>
      </c>
      <c r="J19" s="1284">
        <v>88</v>
      </c>
      <c r="K19" s="1301"/>
    </row>
    <row r="20" spans="2:11" ht="15" customHeight="1">
      <c r="B20" s="999"/>
      <c r="C20" s="568">
        <v>11</v>
      </c>
      <c r="D20" s="906">
        <v>6697.9</v>
      </c>
      <c r="E20" s="785">
        <v>82</v>
      </c>
      <c r="F20" s="929">
        <v>96.9</v>
      </c>
      <c r="G20" s="569">
        <v>3679</v>
      </c>
      <c r="H20" s="813">
        <v>505</v>
      </c>
      <c r="I20" s="569">
        <v>4</v>
      </c>
      <c r="J20" s="1284">
        <v>88</v>
      </c>
      <c r="K20" s="1301"/>
    </row>
    <row r="21" spans="2:11" ht="15" customHeight="1">
      <c r="B21" s="1000"/>
      <c r="C21" s="788">
        <v>12</v>
      </c>
      <c r="D21" s="909">
        <v>6419.9</v>
      </c>
      <c r="E21" s="912">
        <v>81.099999999999994</v>
      </c>
      <c r="F21" s="930">
        <v>106.1</v>
      </c>
      <c r="G21" s="910">
        <v>3782</v>
      </c>
      <c r="H21" s="911">
        <v>637</v>
      </c>
      <c r="I21" s="910">
        <v>5</v>
      </c>
      <c r="J21" s="1285">
        <v>88</v>
      </c>
      <c r="K21" s="1301"/>
    </row>
    <row r="22" spans="2:11" ht="15" customHeight="1">
      <c r="B22" s="1011" t="s">
        <v>714</v>
      </c>
      <c r="C22" s="769">
        <v>1</v>
      </c>
      <c r="D22" s="907">
        <v>6343.8</v>
      </c>
      <c r="E22" s="835">
        <v>81.7</v>
      </c>
      <c r="F22" s="931">
        <v>91.2</v>
      </c>
      <c r="G22" s="834">
        <v>3978</v>
      </c>
      <c r="H22" s="908">
        <v>563</v>
      </c>
      <c r="I22" s="834">
        <v>2</v>
      </c>
      <c r="J22" s="1286">
        <v>88</v>
      </c>
      <c r="K22" s="1301"/>
    </row>
    <row r="23" spans="2:11" ht="15" customHeight="1">
      <c r="B23" s="999"/>
      <c r="C23" s="568">
        <v>2</v>
      </c>
      <c r="D23" s="906">
        <v>6737</v>
      </c>
      <c r="E23" s="785">
        <v>81.3</v>
      </c>
      <c r="F23" s="929">
        <v>100.3</v>
      </c>
      <c r="G23" s="569">
        <v>3959</v>
      </c>
      <c r="H23" s="813">
        <v>532</v>
      </c>
      <c r="I23" s="569">
        <v>1</v>
      </c>
      <c r="J23" s="1284">
        <v>87.7</v>
      </c>
      <c r="K23" s="1301"/>
    </row>
    <row r="24" spans="2:11" ht="15" customHeight="1">
      <c r="B24" s="999"/>
      <c r="C24" s="568">
        <v>3</v>
      </c>
      <c r="D24" s="906">
        <v>5878.6</v>
      </c>
      <c r="E24" s="785">
        <v>82.2</v>
      </c>
      <c r="F24" s="929">
        <v>98.8</v>
      </c>
      <c r="G24" s="569">
        <v>3140</v>
      </c>
      <c r="H24" s="813">
        <v>670</v>
      </c>
      <c r="I24" s="569">
        <v>4</v>
      </c>
      <c r="J24" s="1284">
        <v>86</v>
      </c>
      <c r="K24" s="1301"/>
    </row>
    <row r="25" spans="2:11" ht="15" customHeight="1">
      <c r="B25" s="1001"/>
      <c r="C25" s="568">
        <v>4</v>
      </c>
      <c r="D25" s="906">
        <v>6132.9</v>
      </c>
      <c r="E25" s="785">
        <v>82.3</v>
      </c>
      <c r="F25" s="929">
        <v>106.4</v>
      </c>
      <c r="G25" s="569">
        <v>3782</v>
      </c>
      <c r="H25" s="813">
        <v>503</v>
      </c>
      <c r="I25" s="569">
        <v>5</v>
      </c>
      <c r="J25" s="1284">
        <v>88.3</v>
      </c>
      <c r="K25" s="1301"/>
    </row>
    <row r="26" spans="2:11" ht="15" customHeight="1">
      <c r="B26" s="1003"/>
      <c r="C26" s="568">
        <v>5</v>
      </c>
      <c r="D26" s="906">
        <v>6023</v>
      </c>
      <c r="E26" s="785">
        <v>79.900000000000006</v>
      </c>
      <c r="F26" s="929">
        <v>103.1</v>
      </c>
      <c r="G26" s="569">
        <v>3805</v>
      </c>
      <c r="H26" s="813">
        <v>617</v>
      </c>
      <c r="I26" s="569">
        <v>8</v>
      </c>
      <c r="J26" s="1284">
        <v>90.7</v>
      </c>
      <c r="K26" s="1301"/>
    </row>
    <row r="27" spans="2:11" ht="15" customHeight="1">
      <c r="B27" s="999"/>
      <c r="C27" s="568">
        <v>6</v>
      </c>
      <c r="D27" s="906">
        <v>6280</v>
      </c>
      <c r="E27" s="785">
        <v>85.4</v>
      </c>
      <c r="F27" s="929">
        <v>128.9</v>
      </c>
      <c r="G27" s="569">
        <v>3810</v>
      </c>
      <c r="H27" s="813">
        <v>554</v>
      </c>
      <c r="I27" s="569">
        <v>3</v>
      </c>
      <c r="J27" s="1284">
        <v>93</v>
      </c>
      <c r="K27" s="1301"/>
    </row>
    <row r="28" spans="2:11" ht="15" customHeight="1">
      <c r="B28" s="999"/>
      <c r="C28" s="568">
        <v>7</v>
      </c>
      <c r="D28" s="906">
        <v>6043.8</v>
      </c>
      <c r="E28" s="785">
        <v>76.599999999999994</v>
      </c>
      <c r="F28" s="929">
        <v>92.8</v>
      </c>
      <c r="G28" s="569">
        <v>3521</v>
      </c>
      <c r="H28" s="813">
        <v>572</v>
      </c>
      <c r="I28" s="569">
        <v>4</v>
      </c>
      <c r="J28" s="1284">
        <v>96.7</v>
      </c>
      <c r="K28" s="1301"/>
    </row>
    <row r="29" spans="2:11" ht="15" customHeight="1">
      <c r="B29" s="999"/>
      <c r="C29" s="568">
        <v>8</v>
      </c>
      <c r="D29" s="906">
        <v>6145.2</v>
      </c>
      <c r="E29" s="785">
        <v>66.8</v>
      </c>
      <c r="F29" s="929">
        <v>86.9</v>
      </c>
      <c r="G29" s="569">
        <v>3718</v>
      </c>
      <c r="H29" s="813">
        <v>781</v>
      </c>
      <c r="I29" s="569">
        <v>6</v>
      </c>
      <c r="J29" s="1284">
        <v>100.3</v>
      </c>
      <c r="K29" s="1301"/>
    </row>
    <row r="30" spans="2:11" ht="15" customHeight="1">
      <c r="B30" s="999"/>
      <c r="C30" s="568">
        <v>9</v>
      </c>
      <c r="D30" s="906">
        <v>6550.2</v>
      </c>
      <c r="E30" s="785">
        <v>76.099999999999994</v>
      </c>
      <c r="F30" s="929">
        <v>92.4</v>
      </c>
      <c r="G30" s="569">
        <v>3533</v>
      </c>
      <c r="H30" s="813">
        <v>544</v>
      </c>
      <c r="I30" s="569">
        <v>3</v>
      </c>
      <c r="J30" s="1284">
        <v>104</v>
      </c>
      <c r="K30" s="1301"/>
    </row>
    <row r="31" spans="2:11" ht="15" customHeight="1">
      <c r="B31" s="999"/>
      <c r="C31" s="568">
        <v>10</v>
      </c>
      <c r="D31" s="906">
        <v>5971.3</v>
      </c>
      <c r="E31" s="785">
        <v>77.2</v>
      </c>
      <c r="F31" s="929">
        <v>95.3</v>
      </c>
      <c r="G31" s="569">
        <v>3748</v>
      </c>
      <c r="H31" s="813">
        <v>432</v>
      </c>
      <c r="I31" s="569">
        <v>8</v>
      </c>
      <c r="J31" s="1284">
        <v>101.7</v>
      </c>
      <c r="K31" s="1301"/>
    </row>
    <row r="32" spans="2:11" ht="15" customHeight="1">
      <c r="B32" s="999"/>
      <c r="C32" s="568">
        <v>11</v>
      </c>
      <c r="D32" s="906">
        <v>6052.2</v>
      </c>
      <c r="E32" s="785">
        <v>77.2</v>
      </c>
      <c r="F32" s="929">
        <v>100.7</v>
      </c>
      <c r="G32" s="569">
        <v>3863</v>
      </c>
      <c r="H32" s="813">
        <v>520</v>
      </c>
      <c r="I32" s="569">
        <v>7</v>
      </c>
      <c r="J32" s="1284">
        <v>99.3</v>
      </c>
      <c r="K32" s="1301"/>
    </row>
    <row r="33" spans="2:11" ht="15" customHeight="1">
      <c r="B33" s="1000"/>
      <c r="C33" s="788">
        <v>12</v>
      </c>
      <c r="D33" s="909">
        <v>6510.2</v>
      </c>
      <c r="E33" s="912">
        <v>75.7</v>
      </c>
      <c r="F33" s="930">
        <v>98.4</v>
      </c>
      <c r="G33" s="910">
        <v>3729</v>
      </c>
      <c r="H33" s="911">
        <v>513</v>
      </c>
      <c r="I33" s="910">
        <v>4</v>
      </c>
      <c r="J33" s="1285">
        <v>97</v>
      </c>
      <c r="K33" s="1301"/>
    </row>
    <row r="34" spans="2:11" ht="15" customHeight="1">
      <c r="B34" s="1089" t="s">
        <v>708</v>
      </c>
      <c r="C34" s="769">
        <v>1</v>
      </c>
      <c r="D34" s="907">
        <v>5959.4</v>
      </c>
      <c r="E34" s="835">
        <v>74.8</v>
      </c>
      <c r="F34" s="931">
        <v>72.599999999999994</v>
      </c>
      <c r="G34" s="834">
        <v>3203</v>
      </c>
      <c r="H34" s="908">
        <v>428</v>
      </c>
      <c r="I34" s="834">
        <v>3</v>
      </c>
      <c r="J34" s="1286">
        <v>95.7</v>
      </c>
      <c r="K34" s="1301"/>
    </row>
    <row r="35" spans="2:11" ht="15" customHeight="1">
      <c r="B35" s="999"/>
      <c r="C35" s="568">
        <v>2</v>
      </c>
      <c r="D35" s="906">
        <v>6066.9</v>
      </c>
      <c r="E35" s="785">
        <v>74.099999999999994</v>
      </c>
      <c r="F35" s="929">
        <v>89.5</v>
      </c>
      <c r="G35" s="569">
        <v>2857</v>
      </c>
      <c r="H35" s="813">
        <v>489</v>
      </c>
      <c r="I35" s="569">
        <v>9</v>
      </c>
      <c r="J35" s="1284">
        <v>94.3</v>
      </c>
      <c r="K35" s="1301"/>
    </row>
    <row r="36" spans="2:11" ht="15" customHeight="1">
      <c r="B36" s="999"/>
      <c r="C36" s="568">
        <v>3</v>
      </c>
      <c r="D36" s="906">
        <v>6233.5</v>
      </c>
      <c r="E36" s="785">
        <v>74.099999999999994</v>
      </c>
      <c r="F36" s="929">
        <v>95.7</v>
      </c>
      <c r="G36" s="569">
        <v>3120</v>
      </c>
      <c r="H36" s="813">
        <v>497</v>
      </c>
      <c r="I36" s="569">
        <v>4</v>
      </c>
      <c r="J36" s="1284">
        <v>93</v>
      </c>
      <c r="K36" s="1301"/>
    </row>
    <row r="37" spans="2:11" ht="15" customHeight="1">
      <c r="B37" s="1001"/>
      <c r="C37" s="568">
        <v>4</v>
      </c>
      <c r="D37" s="906">
        <v>6048.9</v>
      </c>
      <c r="E37" s="785">
        <v>75.3</v>
      </c>
      <c r="F37" s="929">
        <v>102.4</v>
      </c>
      <c r="G37" s="569">
        <v>3261</v>
      </c>
      <c r="H37" s="813">
        <v>771</v>
      </c>
      <c r="I37" s="569">
        <v>3</v>
      </c>
      <c r="J37" s="1284">
        <v>92.7</v>
      </c>
      <c r="K37" s="1301"/>
    </row>
    <row r="38" spans="2:11" ht="15" customHeight="1">
      <c r="B38" s="1003"/>
      <c r="C38" s="568">
        <v>5</v>
      </c>
      <c r="D38" s="906">
        <v>6284.5</v>
      </c>
      <c r="E38" s="785">
        <v>77.7</v>
      </c>
      <c r="F38" s="929">
        <v>106.7</v>
      </c>
      <c r="G38" s="569">
        <v>3437</v>
      </c>
      <c r="H38" s="813">
        <v>391</v>
      </c>
      <c r="I38" s="569">
        <v>8</v>
      </c>
      <c r="J38" s="1284">
        <v>92.3</v>
      </c>
      <c r="K38" s="1301"/>
    </row>
    <row r="39" spans="2:11" ht="15" customHeight="1">
      <c r="B39" s="999"/>
      <c r="C39" s="568">
        <v>6</v>
      </c>
      <c r="D39" s="906">
        <v>6006.4</v>
      </c>
      <c r="E39" s="785">
        <v>74.5</v>
      </c>
      <c r="F39" s="929">
        <v>99.3</v>
      </c>
      <c r="G39" s="569">
        <v>3526</v>
      </c>
      <c r="H39" s="813">
        <v>410</v>
      </c>
      <c r="I39" s="569">
        <v>6</v>
      </c>
      <c r="J39" s="1284">
        <v>92</v>
      </c>
      <c r="K39" s="1301"/>
    </row>
    <row r="40" spans="2:11" ht="15" customHeight="1">
      <c r="B40" s="999"/>
      <c r="C40" s="568">
        <v>7</v>
      </c>
      <c r="D40" s="906">
        <v>6061.3</v>
      </c>
      <c r="E40" s="785">
        <v>74.400000000000006</v>
      </c>
      <c r="F40" s="929">
        <v>94.7</v>
      </c>
      <c r="G40" s="569">
        <v>3730</v>
      </c>
      <c r="H40" s="813">
        <v>495</v>
      </c>
      <c r="I40" s="569">
        <v>9</v>
      </c>
      <c r="J40" s="1284">
        <v>93.3</v>
      </c>
      <c r="K40" s="1301"/>
    </row>
    <row r="41" spans="2:11" ht="15" customHeight="1">
      <c r="B41" s="999"/>
      <c r="C41" s="568">
        <v>8</v>
      </c>
      <c r="D41" s="906">
        <v>6188.7</v>
      </c>
      <c r="E41" s="785">
        <v>73.3</v>
      </c>
      <c r="F41" s="929">
        <v>80.5</v>
      </c>
      <c r="G41" s="569">
        <v>3701</v>
      </c>
      <c r="H41" s="813">
        <v>567</v>
      </c>
      <c r="I41" s="569">
        <v>8</v>
      </c>
      <c r="J41" s="1284">
        <v>94.7</v>
      </c>
      <c r="K41" s="1301"/>
    </row>
    <row r="42" spans="2:11" ht="15" customHeight="1">
      <c r="B42" s="999"/>
      <c r="C42" s="568">
        <v>9</v>
      </c>
      <c r="D42" s="906">
        <v>5862.2</v>
      </c>
      <c r="E42" s="785">
        <v>75.7</v>
      </c>
      <c r="F42" s="929">
        <v>103.7</v>
      </c>
      <c r="G42" s="569">
        <v>3748</v>
      </c>
      <c r="H42" s="813">
        <v>340</v>
      </c>
      <c r="I42" s="569">
        <v>5</v>
      </c>
      <c r="J42" s="1284">
        <v>96</v>
      </c>
      <c r="K42" s="1301"/>
    </row>
    <row r="43" spans="2:11" ht="15" customHeight="1">
      <c r="B43" s="999"/>
      <c r="C43" s="568">
        <v>10</v>
      </c>
      <c r="D43" s="906">
        <v>5890.8</v>
      </c>
      <c r="E43" s="785">
        <v>73.2</v>
      </c>
      <c r="F43" s="929">
        <v>108.3</v>
      </c>
      <c r="G43" s="569">
        <v>3514</v>
      </c>
      <c r="H43" s="813">
        <v>528</v>
      </c>
      <c r="I43" s="569">
        <v>7</v>
      </c>
      <c r="J43" s="1284">
        <v>96.3</v>
      </c>
      <c r="K43" s="1302"/>
    </row>
    <row r="44" spans="2:11" ht="15" customHeight="1">
      <c r="B44" s="999"/>
      <c r="C44" s="568">
        <v>11</v>
      </c>
      <c r="D44" s="906">
        <v>5937.6</v>
      </c>
      <c r="E44" s="785">
        <v>73.5</v>
      </c>
      <c r="F44" s="929">
        <v>103.7</v>
      </c>
      <c r="G44" s="569">
        <v>3443</v>
      </c>
      <c r="H44" s="813">
        <v>502</v>
      </c>
      <c r="I44" s="569">
        <v>8</v>
      </c>
      <c r="J44" s="1284">
        <v>96.7</v>
      </c>
      <c r="K44" s="1302"/>
    </row>
    <row r="45" spans="2:11" ht="15" customHeight="1">
      <c r="B45" s="1000"/>
      <c r="C45" s="788">
        <v>12</v>
      </c>
      <c r="D45" s="909">
        <v>5760.7</v>
      </c>
      <c r="E45" s="912">
        <v>73.599999999999994</v>
      </c>
      <c r="F45" s="987">
        <v>102.3</v>
      </c>
      <c r="G45" s="910">
        <v>3424</v>
      </c>
      <c r="H45" s="911">
        <v>519</v>
      </c>
      <c r="I45" s="910">
        <v>6</v>
      </c>
      <c r="J45" s="1285">
        <v>97</v>
      </c>
      <c r="K45" s="1302"/>
    </row>
    <row r="46" spans="2:11" ht="15" customHeight="1">
      <c r="B46" s="1089" t="s">
        <v>812</v>
      </c>
      <c r="C46" s="1057">
        <v>1</v>
      </c>
      <c r="D46" s="934">
        <v>5966.4</v>
      </c>
      <c r="E46" s="1242">
        <v>75.900000000000006</v>
      </c>
      <c r="F46" s="943">
        <v>114.8</v>
      </c>
      <c r="G46" s="935">
        <v>3394</v>
      </c>
      <c r="H46" s="936">
        <v>492</v>
      </c>
      <c r="I46" s="935">
        <v>4</v>
      </c>
      <c r="J46" s="1287">
        <v>97.7</v>
      </c>
      <c r="K46" s="1301"/>
    </row>
    <row r="47" spans="2:11" ht="15" customHeight="1">
      <c r="B47" s="1001"/>
      <c r="C47" s="900">
        <v>2</v>
      </c>
      <c r="D47" s="940">
        <v>5875.1</v>
      </c>
      <c r="E47" s="1270">
        <v>76.2</v>
      </c>
      <c r="F47" s="1270">
        <v>121.8</v>
      </c>
      <c r="G47" s="926">
        <v>3453</v>
      </c>
      <c r="H47" s="941">
        <v>600</v>
      </c>
      <c r="I47" s="926">
        <v>9</v>
      </c>
      <c r="J47" s="983">
        <v>98.3</v>
      </c>
      <c r="K47" s="1301"/>
    </row>
    <row r="48" spans="2:11">
      <c r="B48" s="1001"/>
      <c r="C48" s="900">
        <v>3</v>
      </c>
      <c r="D48" s="940">
        <v>5860</v>
      </c>
      <c r="E48" s="1270">
        <v>70.900000000000006</v>
      </c>
      <c r="F48" s="1270">
        <v>115.7</v>
      </c>
      <c r="G48" s="926">
        <v>3434</v>
      </c>
      <c r="H48" s="941">
        <v>584</v>
      </c>
      <c r="I48" s="926">
        <v>7</v>
      </c>
      <c r="J48" s="983">
        <v>99</v>
      </c>
      <c r="K48" s="1301"/>
    </row>
    <row r="49" spans="2:35">
      <c r="B49" s="1001"/>
      <c r="C49" s="900">
        <v>4</v>
      </c>
      <c r="D49" s="940">
        <v>6259.2</v>
      </c>
      <c r="E49" s="1270">
        <v>73.7</v>
      </c>
      <c r="F49" s="1270">
        <v>102.4</v>
      </c>
      <c r="G49" s="926">
        <v>3846</v>
      </c>
      <c r="H49" s="941">
        <v>510</v>
      </c>
      <c r="I49" s="926">
        <v>6</v>
      </c>
      <c r="J49" s="983">
        <v>99.3</v>
      </c>
      <c r="K49" s="1301"/>
    </row>
    <row r="50" spans="2:35">
      <c r="B50" s="1001"/>
      <c r="C50" s="900">
        <v>5</v>
      </c>
      <c r="D50" s="940">
        <v>6207</v>
      </c>
      <c r="E50" s="1292">
        <v>76.099999999999994</v>
      </c>
      <c r="F50" s="901">
        <v>96.4</v>
      </c>
      <c r="G50" s="926">
        <v>3599</v>
      </c>
      <c r="H50" s="941">
        <v>223</v>
      </c>
      <c r="I50" s="926">
        <v>11</v>
      </c>
      <c r="J50" s="983">
        <v>99.7</v>
      </c>
    </row>
    <row r="51" spans="2:35">
      <c r="B51" s="1001"/>
      <c r="C51" s="900">
        <v>6</v>
      </c>
      <c r="D51" s="940">
        <v>5663.9</v>
      </c>
      <c r="E51" s="1270">
        <v>87.1</v>
      </c>
      <c r="F51" s="1270">
        <v>143.6</v>
      </c>
      <c r="G51" s="926">
        <v>3622</v>
      </c>
      <c r="H51" s="941">
        <v>345</v>
      </c>
      <c r="I51" s="926">
        <v>8</v>
      </c>
      <c r="J51" s="983">
        <v>100</v>
      </c>
    </row>
    <row r="52" spans="2:35">
      <c r="B52" s="1001"/>
      <c r="C52" s="900">
        <v>7</v>
      </c>
      <c r="D52" s="940">
        <v>5627.4</v>
      </c>
      <c r="E52" s="1270">
        <v>81.400000000000006</v>
      </c>
      <c r="F52" s="1270">
        <v>121.8</v>
      </c>
      <c r="G52" s="926">
        <v>3552</v>
      </c>
      <c r="H52" s="941">
        <v>291</v>
      </c>
      <c r="I52" s="926">
        <v>6</v>
      </c>
      <c r="J52" s="983">
        <v>99.3</v>
      </c>
    </row>
    <row r="53" spans="2:35" ht="15" customHeight="1">
      <c r="B53" s="899"/>
      <c r="C53" s="900">
        <v>8</v>
      </c>
      <c r="D53" s="940">
        <v>5436</v>
      </c>
      <c r="E53" s="1270">
        <v>78.599999999999994</v>
      </c>
      <c r="F53" s="1270">
        <v>125.6</v>
      </c>
      <c r="G53" s="926">
        <v>3380</v>
      </c>
      <c r="H53" s="941">
        <v>290</v>
      </c>
      <c r="I53" s="926">
        <v>3</v>
      </c>
      <c r="J53" s="983">
        <v>98.7</v>
      </c>
      <c r="K53" s="1244"/>
      <c r="AE53"/>
      <c r="AF53"/>
      <c r="AG53"/>
      <c r="AH53"/>
      <c r="AI53"/>
    </row>
    <row r="54" spans="2:35" ht="15" customHeight="1">
      <c r="B54" s="899"/>
      <c r="C54" s="900">
        <v>9</v>
      </c>
      <c r="D54" s="940">
        <v>5749.2</v>
      </c>
      <c r="E54" s="1270">
        <v>79.900000000000006</v>
      </c>
      <c r="F54" s="1270">
        <v>122.6</v>
      </c>
      <c r="G54" s="926">
        <v>3586</v>
      </c>
      <c r="H54" s="941">
        <v>357</v>
      </c>
      <c r="I54" s="926">
        <v>5</v>
      </c>
      <c r="J54" s="983">
        <v>98</v>
      </c>
      <c r="K54" s="1244"/>
      <c r="AE54"/>
      <c r="AF54"/>
      <c r="AG54"/>
      <c r="AH54"/>
      <c r="AI54"/>
    </row>
    <row r="55" spans="2:35" ht="15" customHeight="1">
      <c r="B55" s="899"/>
      <c r="C55" s="900">
        <v>10</v>
      </c>
      <c r="D55" s="940">
        <v>5464.4</v>
      </c>
      <c r="E55" s="1270">
        <v>85.4</v>
      </c>
      <c r="F55" s="1270">
        <v>120.9</v>
      </c>
      <c r="G55" s="926">
        <v>3304</v>
      </c>
      <c r="H55" s="941">
        <v>385</v>
      </c>
      <c r="I55" s="926">
        <v>8</v>
      </c>
      <c r="J55" s="983">
        <v>101</v>
      </c>
      <c r="K55" s="1244"/>
      <c r="AE55"/>
      <c r="AF55"/>
      <c r="AG55"/>
      <c r="AH55"/>
      <c r="AI55"/>
    </row>
    <row r="56" spans="2:35" ht="15" customHeight="1">
      <c r="B56" s="899"/>
      <c r="C56" s="900">
        <v>11</v>
      </c>
      <c r="D56" s="940">
        <v>5051.3999999999996</v>
      </c>
      <c r="E56" s="1270">
        <v>85.1</v>
      </c>
      <c r="F56" s="1270">
        <v>124.1</v>
      </c>
      <c r="G56" s="926">
        <v>3445</v>
      </c>
      <c r="H56" s="941">
        <v>454</v>
      </c>
      <c r="I56" s="926">
        <v>7</v>
      </c>
      <c r="J56" s="983">
        <v>104</v>
      </c>
      <c r="K56" s="1244"/>
      <c r="AE56"/>
      <c r="AF56"/>
      <c r="AG56"/>
      <c r="AH56"/>
      <c r="AI56"/>
    </row>
    <row r="57" spans="2:35" ht="13.5" hidden="1" customHeight="1">
      <c r="B57" s="899"/>
      <c r="C57" s="900">
        <v>12</v>
      </c>
      <c r="D57" s="940"/>
      <c r="E57" s="1270"/>
      <c r="F57" s="1270"/>
      <c r="G57" s="926"/>
      <c r="H57" s="941"/>
      <c r="I57" s="926"/>
      <c r="J57" s="983"/>
      <c r="K57" s="1245"/>
      <c r="AE57"/>
      <c r="AF57"/>
      <c r="AG57"/>
      <c r="AH57"/>
      <c r="AI57"/>
    </row>
    <row r="58" spans="2:35" ht="13.5" hidden="1" customHeight="1">
      <c r="B58" s="1085"/>
      <c r="C58" s="1085"/>
      <c r="D58" s="1181"/>
      <c r="E58" s="1087"/>
      <c r="F58" s="1139"/>
      <c r="G58" s="1087"/>
      <c r="H58" s="1088"/>
      <c r="I58" s="1087"/>
      <c r="J58" s="1139"/>
      <c r="K58" s="252"/>
      <c r="AE58"/>
      <c r="AF58"/>
      <c r="AG58"/>
      <c r="AH58"/>
      <c r="AI58"/>
    </row>
    <row r="59" spans="2:35" ht="6.75" customHeight="1">
      <c r="B59" s="1085"/>
      <c r="C59" s="1085"/>
      <c r="D59" s="1086"/>
      <c r="E59" s="1087"/>
      <c r="F59" s="1087"/>
      <c r="G59" s="1087"/>
      <c r="H59" s="1088"/>
      <c r="I59" s="1087"/>
      <c r="J59" s="1189"/>
      <c r="K59" s="1246"/>
      <c r="AE59"/>
      <c r="AF59"/>
      <c r="AG59"/>
      <c r="AH59"/>
      <c r="AI59"/>
    </row>
    <row r="60" spans="2:35" ht="15" customHeight="1">
      <c r="B60" s="445" t="s">
        <v>63</v>
      </c>
      <c r="C60" s="1190" t="s">
        <v>585</v>
      </c>
      <c r="D60" s="1486" t="s">
        <v>769</v>
      </c>
      <c r="E60" s="1486"/>
      <c r="F60" s="1486"/>
      <c r="G60" s="1486"/>
      <c r="H60" s="1486"/>
      <c r="I60" s="1486"/>
      <c r="J60" s="1486"/>
      <c r="K60" s="1247"/>
    </row>
    <row r="61" spans="2:35" ht="15" customHeight="1">
      <c r="B61" s="249" t="s">
        <v>649</v>
      </c>
      <c r="C61" s="249" t="s">
        <v>650</v>
      </c>
      <c r="D61" s="1486" t="s">
        <v>773</v>
      </c>
      <c r="E61" s="1486"/>
      <c r="F61" s="1486"/>
      <c r="G61" s="1486"/>
      <c r="H61" s="1486"/>
      <c r="I61" s="1486"/>
      <c r="J61" s="1486"/>
      <c r="K61" s="1247"/>
    </row>
    <row r="62" spans="2:35" ht="15" customHeight="1">
      <c r="B62" s="249"/>
      <c r="C62" s="1112" t="s">
        <v>777</v>
      </c>
      <c r="K62" s="1170"/>
    </row>
    <row r="63" spans="2:35" ht="15" hidden="1" customHeight="1">
      <c r="C63" s="1282" t="s">
        <v>817</v>
      </c>
      <c r="D63" s="1178" t="s">
        <v>818</v>
      </c>
    </row>
    <row r="64" spans="2:35" ht="15" hidden="1" customHeight="1">
      <c r="B64" s="249"/>
      <c r="C64" s="701" t="s">
        <v>556</v>
      </c>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B17:B21">
    <cfRule type="expression" dxfId="167" priority="7" stopIfTrue="1">
      <formula>$C22=#REF!</formula>
    </cfRule>
  </conditionalFormatting>
  <conditionalFormatting sqref="B29:C33">
    <cfRule type="expression" dxfId="166" priority="41" stopIfTrue="1">
      <formula>$C34=#REF!</formula>
    </cfRule>
  </conditionalFormatting>
  <conditionalFormatting sqref="D10:D57">
    <cfRule type="expression" dxfId="165" priority="1" stopIfTrue="1">
      <formula>$C15=#REF!</formula>
    </cfRule>
  </conditionalFormatting>
  <conditionalFormatting sqref="H29:J33">
    <cfRule type="expression" dxfId="164" priority="3" stopIfTrue="1">
      <formula>$C34=#REF!</formula>
    </cfRule>
  </conditionalFormatting>
  <pageMargins left="0.78740157480314965" right="0.39370078740157483" top="0.59055118110236227" bottom="0.59055118110236227" header="0.39370078740157483" footer="0.39370078740157483"/>
  <pageSetup paperSize="9" scale="93"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45" activePane="bottomRight" state="frozen"/>
      <selection activeCell="Q9" sqref="Q9"/>
      <selection pane="topRight" activeCell="Q9" sqref="Q9"/>
      <selection pane="bottomLeft" activeCell="Q9" sqref="Q9"/>
      <selection pane="bottomRight" activeCell="Q9" sqref="Q9"/>
    </sheetView>
  </sheetViews>
  <sheetFormatPr defaultColWidth="8.125" defaultRowHeight="13.5"/>
  <cols>
    <col min="1" max="1" width="1.75" style="249" customWidth="1"/>
    <col min="2" max="2" width="4" style="249" customWidth="1"/>
    <col min="3" max="3" width="3.875" style="249" customWidth="1"/>
    <col min="4" max="4" width="10.625" style="254" customWidth="1"/>
    <col min="5" max="7" width="10.625" style="252" customWidth="1"/>
    <col min="8" max="8" width="10.625" style="253" customWidth="1"/>
    <col min="9" max="11" width="10.625" style="252" customWidth="1"/>
    <col min="12" max="12" width="1.375" customWidth="1"/>
    <col min="13" max="13" width="5.875" customWidth="1"/>
    <col min="36" max="16384" width="8.12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89" t="s">
        <v>549</v>
      </c>
      <c r="C3" s="1489"/>
      <c r="D3" s="1489"/>
      <c r="E3" s="1489"/>
      <c r="F3" s="1489"/>
      <c r="G3" s="1489"/>
      <c r="H3" s="1489"/>
      <c r="I3" s="1489"/>
      <c r="J3" s="1489"/>
      <c r="K3" s="1489"/>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498" t="s">
        <v>801</v>
      </c>
      <c r="E5" s="1490" t="s">
        <v>796</v>
      </c>
      <c r="F5" s="1490" t="s">
        <v>798</v>
      </c>
      <c r="G5" s="1492" t="s">
        <v>498</v>
      </c>
      <c r="H5" s="1492" t="s">
        <v>508</v>
      </c>
      <c r="I5" s="1492" t="s">
        <v>509</v>
      </c>
      <c r="J5" s="1490" t="s">
        <v>797</v>
      </c>
      <c r="K5" s="1492" t="s">
        <v>543</v>
      </c>
      <c r="AJ5" s="245"/>
      <c r="AK5" s="245"/>
      <c r="AL5" s="245"/>
    </row>
    <row r="6" spans="1:212" ht="15" customHeight="1">
      <c r="B6" s="447"/>
      <c r="C6" s="450"/>
      <c r="D6" s="1487"/>
      <c r="E6" s="1497"/>
      <c r="F6" s="1492"/>
      <c r="G6" s="1492"/>
      <c r="H6" s="1492"/>
      <c r="I6" s="1492"/>
      <c r="J6" s="1497"/>
      <c r="K6" s="1497"/>
    </row>
    <row r="7" spans="1:212" ht="15" customHeight="1">
      <c r="B7" s="447"/>
      <c r="C7" s="450"/>
      <c r="D7" s="1487"/>
      <c r="E7" s="1497"/>
      <c r="F7" s="1492"/>
      <c r="G7" s="1492"/>
      <c r="H7" s="1492"/>
      <c r="I7" s="1492"/>
      <c r="J7" s="1497"/>
      <c r="K7" s="1497"/>
    </row>
    <row r="8" spans="1:212" ht="15" customHeight="1">
      <c r="B8" s="447"/>
      <c r="C8" s="450"/>
      <c r="D8" s="1487"/>
      <c r="E8" s="1488"/>
      <c r="F8" s="1492"/>
      <c r="G8" s="1492"/>
      <c r="H8" s="1492"/>
      <c r="I8" s="1492"/>
      <c r="J8" s="1488"/>
      <c r="K8" s="1488"/>
    </row>
    <row r="9" spans="1:212" ht="15" customHeight="1">
      <c r="A9" s="250"/>
      <c r="B9" s="448" t="s">
        <v>194</v>
      </c>
      <c r="C9" s="454"/>
      <c r="D9" s="455" t="s">
        <v>400</v>
      </c>
      <c r="E9" s="456" t="s">
        <v>475</v>
      </c>
      <c r="F9" s="456" t="s">
        <v>501</v>
      </c>
      <c r="G9" s="1171" t="s">
        <v>768</v>
      </c>
      <c r="H9" s="1171" t="s">
        <v>768</v>
      </c>
      <c r="I9" s="1171" t="s">
        <v>768</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1" t="s">
        <v>713</v>
      </c>
      <c r="C10" s="769">
        <v>1</v>
      </c>
      <c r="D10" s="1265">
        <v>1.32</v>
      </c>
      <c r="E10" s="1288">
        <v>3959.9</v>
      </c>
      <c r="F10" s="944">
        <v>12.9</v>
      </c>
      <c r="G10" s="905">
        <v>112.7</v>
      </c>
      <c r="H10" s="905">
        <v>125.7</v>
      </c>
      <c r="I10" s="928">
        <v>154.19999999999999</v>
      </c>
      <c r="J10" s="1293">
        <v>74</v>
      </c>
      <c r="K10" s="913">
        <v>4916.3999999999996</v>
      </c>
    </row>
    <row r="11" spans="1:212" ht="15" customHeight="1">
      <c r="B11" s="999"/>
      <c r="C11" s="568">
        <v>2</v>
      </c>
      <c r="D11" s="1266">
        <v>1.35</v>
      </c>
      <c r="E11" s="1289">
        <v>3876.8</v>
      </c>
      <c r="F11" s="937">
        <v>12.4</v>
      </c>
      <c r="G11" s="785">
        <v>106.7</v>
      </c>
      <c r="H11" s="785">
        <v>122.8</v>
      </c>
      <c r="I11" s="928">
        <v>144.80000000000001</v>
      </c>
      <c r="J11" s="1294">
        <v>72.599999999999994</v>
      </c>
      <c r="K11" s="914">
        <v>5927.2</v>
      </c>
    </row>
    <row r="12" spans="1:212" ht="15" customHeight="1">
      <c r="B12" s="999"/>
      <c r="C12" s="568">
        <v>3</v>
      </c>
      <c r="D12" s="1266">
        <v>1.35</v>
      </c>
      <c r="E12" s="1289">
        <v>3890.7</v>
      </c>
      <c r="F12" s="937">
        <v>12.2</v>
      </c>
      <c r="G12" s="785">
        <v>116.8</v>
      </c>
      <c r="H12" s="785">
        <v>124.3</v>
      </c>
      <c r="I12" s="928">
        <v>138.30000000000001</v>
      </c>
      <c r="J12" s="1294">
        <v>71.5</v>
      </c>
      <c r="K12" s="914">
        <v>6527.9</v>
      </c>
    </row>
    <row r="13" spans="1:212" ht="15" customHeight="1">
      <c r="B13" s="1001"/>
      <c r="C13" s="568">
        <v>4</v>
      </c>
      <c r="D13" s="1266">
        <v>1.33</v>
      </c>
      <c r="E13" s="1289">
        <v>3891</v>
      </c>
      <c r="F13" s="937">
        <v>12.2</v>
      </c>
      <c r="G13" s="785">
        <v>102.9</v>
      </c>
      <c r="H13" s="785">
        <v>127.3</v>
      </c>
      <c r="I13" s="928">
        <v>150.5</v>
      </c>
      <c r="J13" s="1294">
        <v>68.8</v>
      </c>
      <c r="K13" s="914">
        <v>3662.9</v>
      </c>
    </row>
    <row r="14" spans="1:212" ht="15" customHeight="1">
      <c r="B14" s="1003"/>
      <c r="C14" s="568">
        <v>5</v>
      </c>
      <c r="D14" s="1266">
        <v>1.31</v>
      </c>
      <c r="E14" s="1289">
        <v>3826.2</v>
      </c>
      <c r="F14" s="937">
        <v>11.9</v>
      </c>
      <c r="G14" s="785">
        <v>113</v>
      </c>
      <c r="H14" s="785">
        <v>129.5</v>
      </c>
      <c r="I14" s="928">
        <v>153.30000000000001</v>
      </c>
      <c r="J14" s="1294">
        <v>67.3</v>
      </c>
      <c r="K14" s="914">
        <v>6116.8</v>
      </c>
    </row>
    <row r="15" spans="1:212" ht="15" customHeight="1">
      <c r="B15" s="999"/>
      <c r="C15" s="568">
        <v>6</v>
      </c>
      <c r="D15" s="1266">
        <v>1.33</v>
      </c>
      <c r="E15" s="1289">
        <v>4019.4</v>
      </c>
      <c r="F15" s="937">
        <v>11.8</v>
      </c>
      <c r="G15" s="785">
        <v>119.1</v>
      </c>
      <c r="H15" s="785">
        <v>129.6</v>
      </c>
      <c r="I15" s="928">
        <v>149.6</v>
      </c>
      <c r="J15" s="1294">
        <v>67.3</v>
      </c>
      <c r="K15" s="914">
        <v>5695.6</v>
      </c>
    </row>
    <row r="16" spans="1:212" ht="15" customHeight="1">
      <c r="B16" s="999"/>
      <c r="C16" s="568">
        <v>7</v>
      </c>
      <c r="D16" s="1266">
        <v>1.32</v>
      </c>
      <c r="E16" s="1289">
        <v>3968</v>
      </c>
      <c r="F16" s="937">
        <v>12.1</v>
      </c>
      <c r="G16" s="785">
        <v>136.69999999999999</v>
      </c>
      <c r="H16" s="785">
        <v>133.6</v>
      </c>
      <c r="I16" s="928">
        <v>153</v>
      </c>
      <c r="J16" s="1294">
        <v>65.599999999999994</v>
      </c>
      <c r="K16" s="914">
        <v>6932.8</v>
      </c>
    </row>
    <row r="17" spans="2:11" ht="15" customHeight="1">
      <c r="B17" s="999"/>
      <c r="C17" s="568">
        <v>8</v>
      </c>
      <c r="D17" s="1266">
        <v>1.31</v>
      </c>
      <c r="E17" s="1289">
        <v>4073.1</v>
      </c>
      <c r="F17" s="937">
        <v>11.9</v>
      </c>
      <c r="G17" s="785">
        <v>125.3</v>
      </c>
      <c r="H17" s="785">
        <v>134.6</v>
      </c>
      <c r="I17" s="928">
        <v>155.6</v>
      </c>
      <c r="J17" s="1294">
        <v>65.3</v>
      </c>
      <c r="K17" s="914">
        <v>6860.2</v>
      </c>
    </row>
    <row r="18" spans="2:11" ht="15" customHeight="1">
      <c r="B18" s="999"/>
      <c r="C18" s="568">
        <v>9</v>
      </c>
      <c r="D18" s="1266">
        <v>1.34</v>
      </c>
      <c r="E18" s="1289">
        <v>3959.1</v>
      </c>
      <c r="F18" s="937">
        <v>11.8</v>
      </c>
      <c r="G18" s="785">
        <v>144.9</v>
      </c>
      <c r="H18" s="785">
        <v>134.1</v>
      </c>
      <c r="I18" s="928">
        <v>148.30000000000001</v>
      </c>
      <c r="J18" s="1294">
        <v>63.7</v>
      </c>
      <c r="K18" s="914">
        <v>6318.9</v>
      </c>
    </row>
    <row r="19" spans="2:11" ht="15" customHeight="1">
      <c r="B19" s="999"/>
      <c r="C19" s="568">
        <v>10</v>
      </c>
      <c r="D19" s="1266">
        <v>1.36</v>
      </c>
      <c r="E19" s="1289">
        <v>3873.1</v>
      </c>
      <c r="F19" s="937">
        <v>11.2</v>
      </c>
      <c r="G19" s="785">
        <v>108.7</v>
      </c>
      <c r="H19" s="785">
        <v>118.6</v>
      </c>
      <c r="I19" s="928">
        <v>139.9</v>
      </c>
      <c r="J19" s="1294">
        <v>72.2</v>
      </c>
      <c r="K19" s="914">
        <v>6486.4</v>
      </c>
    </row>
    <row r="20" spans="2:11" ht="15" customHeight="1">
      <c r="B20" s="999"/>
      <c r="C20" s="568">
        <v>11</v>
      </c>
      <c r="D20" s="1266">
        <v>1.39</v>
      </c>
      <c r="E20" s="1289">
        <v>3867.7</v>
      </c>
      <c r="F20" s="937">
        <v>10.8</v>
      </c>
      <c r="G20" s="785">
        <v>120.6</v>
      </c>
      <c r="H20" s="785">
        <v>121.4</v>
      </c>
      <c r="I20" s="928">
        <v>142.1</v>
      </c>
      <c r="J20" s="1294">
        <v>69.2</v>
      </c>
      <c r="K20" s="914">
        <v>7343.9</v>
      </c>
    </row>
    <row r="21" spans="2:11" ht="15" customHeight="1">
      <c r="B21" s="1000"/>
      <c r="C21" s="788">
        <v>12</v>
      </c>
      <c r="D21" s="1267">
        <v>1.33</v>
      </c>
      <c r="E21" s="1290">
        <v>3878.8</v>
      </c>
      <c r="F21" s="938">
        <v>11.1</v>
      </c>
      <c r="G21" s="912">
        <v>119.5</v>
      </c>
      <c r="H21" s="912">
        <v>120.8</v>
      </c>
      <c r="I21" s="928">
        <v>141</v>
      </c>
      <c r="J21" s="1295">
        <v>69.900000000000006</v>
      </c>
      <c r="K21" s="916">
        <v>4661.8999999999996</v>
      </c>
    </row>
    <row r="22" spans="2:11" ht="15" customHeight="1">
      <c r="B22" s="1011" t="s">
        <v>714</v>
      </c>
      <c r="C22" s="769">
        <v>1</v>
      </c>
      <c r="D22" s="1268">
        <v>1.31</v>
      </c>
      <c r="E22" s="1291">
        <v>3890.8</v>
      </c>
      <c r="F22" s="945">
        <v>10.7</v>
      </c>
      <c r="G22" s="835">
        <v>104.8</v>
      </c>
      <c r="H22" s="835">
        <v>131.1</v>
      </c>
      <c r="I22" s="942">
        <v>152.5</v>
      </c>
      <c r="J22" s="1296">
        <v>65.900000000000006</v>
      </c>
      <c r="K22" s="915">
        <v>5732.9</v>
      </c>
    </row>
    <row r="23" spans="2:11" ht="15" customHeight="1">
      <c r="B23" s="999"/>
      <c r="C23" s="568">
        <v>2</v>
      </c>
      <c r="D23" s="1266">
        <v>1.29</v>
      </c>
      <c r="E23" s="1289">
        <v>3915.7</v>
      </c>
      <c r="F23" s="937">
        <v>10.7</v>
      </c>
      <c r="G23" s="785">
        <v>132.6</v>
      </c>
      <c r="H23" s="785">
        <v>132.5</v>
      </c>
      <c r="I23" s="928">
        <v>148.4</v>
      </c>
      <c r="J23" s="1294">
        <v>64.2</v>
      </c>
      <c r="K23" s="914">
        <v>3675.8</v>
      </c>
    </row>
    <row r="24" spans="2:11" ht="15" customHeight="1">
      <c r="B24" s="999"/>
      <c r="C24" s="568">
        <v>3</v>
      </c>
      <c r="D24" s="1266">
        <v>1.26</v>
      </c>
      <c r="E24" s="1289">
        <v>4056</v>
      </c>
      <c r="F24" s="937">
        <v>10.6</v>
      </c>
      <c r="G24" s="785">
        <v>131.19999999999999</v>
      </c>
      <c r="H24" s="785">
        <v>131.6</v>
      </c>
      <c r="I24" s="928">
        <v>146.69999999999999</v>
      </c>
      <c r="J24" s="1294">
        <v>64.2</v>
      </c>
      <c r="K24" s="914">
        <v>3864.8</v>
      </c>
    </row>
    <row r="25" spans="2:11" ht="15" customHeight="1">
      <c r="B25" s="1001"/>
      <c r="C25" s="568">
        <v>4</v>
      </c>
      <c r="D25" s="1266">
        <v>1.23</v>
      </c>
      <c r="E25" s="1289">
        <v>4051</v>
      </c>
      <c r="F25" s="937">
        <v>10.6</v>
      </c>
      <c r="G25" s="785">
        <v>99.2</v>
      </c>
      <c r="H25" s="785">
        <v>128</v>
      </c>
      <c r="I25" s="928">
        <v>148.4</v>
      </c>
      <c r="J25" s="1294">
        <v>67.400000000000006</v>
      </c>
      <c r="K25" s="914">
        <v>6927.7</v>
      </c>
    </row>
    <row r="26" spans="2:11" ht="15" customHeight="1">
      <c r="B26" s="1003"/>
      <c r="C26" s="568">
        <v>5</v>
      </c>
      <c r="D26" s="1266">
        <v>1.25</v>
      </c>
      <c r="E26" s="1289">
        <v>4189.2</v>
      </c>
      <c r="F26" s="937">
        <v>11.2</v>
      </c>
      <c r="G26" s="785">
        <v>97.3</v>
      </c>
      <c r="H26" s="785">
        <v>126.8</v>
      </c>
      <c r="I26" s="928">
        <v>148.19999999999999</v>
      </c>
      <c r="J26" s="1294">
        <v>68.400000000000006</v>
      </c>
      <c r="K26" s="914">
        <v>3674.7</v>
      </c>
    </row>
    <row r="27" spans="2:11" ht="15" customHeight="1">
      <c r="B27" s="999"/>
      <c r="C27" s="568">
        <v>6</v>
      </c>
      <c r="D27" s="1266">
        <v>1.24</v>
      </c>
      <c r="E27" s="1289">
        <v>4295.5</v>
      </c>
      <c r="F27" s="937">
        <v>11.1</v>
      </c>
      <c r="G27" s="785">
        <v>96.2</v>
      </c>
      <c r="H27" s="785">
        <v>130.30000000000001</v>
      </c>
      <c r="I27" s="928">
        <v>153</v>
      </c>
      <c r="J27" s="1294">
        <v>67.2</v>
      </c>
      <c r="K27" s="914">
        <v>4510.8</v>
      </c>
    </row>
    <row r="28" spans="2:11" ht="15" customHeight="1">
      <c r="B28" s="999"/>
      <c r="C28" s="568">
        <v>7</v>
      </c>
      <c r="D28" s="1266">
        <v>1.23</v>
      </c>
      <c r="E28" s="1289">
        <v>4251.5</v>
      </c>
      <c r="F28" s="937">
        <v>10.9</v>
      </c>
      <c r="G28" s="785">
        <v>98.5</v>
      </c>
      <c r="H28" s="785">
        <v>122.2</v>
      </c>
      <c r="I28" s="928">
        <v>142.69999999999999</v>
      </c>
      <c r="J28" s="1294">
        <v>71.599999999999994</v>
      </c>
      <c r="K28" s="914">
        <v>4055.4</v>
      </c>
    </row>
    <row r="29" spans="2:11" ht="15" customHeight="1">
      <c r="B29" s="999"/>
      <c r="C29" s="568">
        <v>8</v>
      </c>
      <c r="D29" s="1266">
        <v>1.22</v>
      </c>
      <c r="E29" s="1289">
        <v>4266.3</v>
      </c>
      <c r="F29" s="937">
        <v>10.9</v>
      </c>
      <c r="G29" s="785">
        <v>94.6</v>
      </c>
      <c r="H29" s="785">
        <v>115.6</v>
      </c>
      <c r="I29" s="928">
        <v>132.30000000000001</v>
      </c>
      <c r="J29" s="1294">
        <v>75.5</v>
      </c>
      <c r="K29" s="914">
        <v>4448.5</v>
      </c>
    </row>
    <row r="30" spans="2:11" ht="15" customHeight="1">
      <c r="B30" s="999"/>
      <c r="C30" s="568">
        <v>9</v>
      </c>
      <c r="D30" s="1266">
        <v>1.21</v>
      </c>
      <c r="E30" s="1289">
        <v>4259.8999999999996</v>
      </c>
      <c r="F30" s="937">
        <v>11.4</v>
      </c>
      <c r="G30" s="785">
        <v>100.1</v>
      </c>
      <c r="H30" s="785">
        <v>112.9</v>
      </c>
      <c r="I30" s="928">
        <v>127</v>
      </c>
      <c r="J30" s="1294">
        <v>77.900000000000006</v>
      </c>
      <c r="K30" s="914">
        <v>3689.7</v>
      </c>
    </row>
    <row r="31" spans="2:11" ht="15" customHeight="1">
      <c r="B31" s="999"/>
      <c r="C31" s="568">
        <v>10</v>
      </c>
      <c r="D31" s="1266">
        <v>1.22</v>
      </c>
      <c r="E31" s="1289">
        <v>4440</v>
      </c>
      <c r="F31" s="937">
        <v>11.4</v>
      </c>
      <c r="G31" s="785">
        <v>98.2</v>
      </c>
      <c r="H31" s="785">
        <v>110.3</v>
      </c>
      <c r="I31" s="928">
        <v>126.3</v>
      </c>
      <c r="J31" s="1294">
        <v>80.7</v>
      </c>
      <c r="K31" s="914">
        <v>6254.3</v>
      </c>
    </row>
    <row r="32" spans="2:11" ht="15" customHeight="1">
      <c r="B32" s="999"/>
      <c r="C32" s="568">
        <v>11</v>
      </c>
      <c r="D32" s="1266">
        <v>1.22</v>
      </c>
      <c r="E32" s="1289">
        <v>4406.1000000000004</v>
      </c>
      <c r="F32" s="937">
        <v>11.7</v>
      </c>
      <c r="G32" s="785">
        <v>87.6</v>
      </c>
      <c r="H32" s="785">
        <v>108.8</v>
      </c>
      <c r="I32" s="928">
        <v>122.8</v>
      </c>
      <c r="J32" s="1294">
        <v>80.2</v>
      </c>
      <c r="K32" s="914">
        <v>4492.8</v>
      </c>
    </row>
    <row r="33" spans="2:11" ht="15" customHeight="1">
      <c r="B33" s="1000"/>
      <c r="C33" s="788">
        <v>12</v>
      </c>
      <c r="D33" s="1267">
        <v>1.21</v>
      </c>
      <c r="E33" s="1290">
        <v>4441.5</v>
      </c>
      <c r="F33" s="938">
        <v>11</v>
      </c>
      <c r="G33" s="912">
        <v>107.2</v>
      </c>
      <c r="H33" s="912">
        <v>112.5</v>
      </c>
      <c r="I33" s="928">
        <v>124.9</v>
      </c>
      <c r="J33" s="1295">
        <v>77.900000000000006</v>
      </c>
      <c r="K33" s="916">
        <v>4840.5</v>
      </c>
    </row>
    <row r="34" spans="2:11" ht="15" customHeight="1">
      <c r="B34" s="1011" t="s">
        <v>715</v>
      </c>
      <c r="C34" s="769">
        <v>1</v>
      </c>
      <c r="D34" s="1268">
        <v>1.19</v>
      </c>
      <c r="E34" s="1291">
        <v>4410.6000000000004</v>
      </c>
      <c r="F34" s="945">
        <v>10.6</v>
      </c>
      <c r="G34" s="835">
        <v>94.8</v>
      </c>
      <c r="H34" s="835">
        <v>111.4</v>
      </c>
      <c r="I34" s="942">
        <v>129.1</v>
      </c>
      <c r="J34" s="1296">
        <v>80.599999999999994</v>
      </c>
      <c r="K34" s="915">
        <v>3874.1</v>
      </c>
    </row>
    <row r="35" spans="2:11" ht="15" customHeight="1">
      <c r="B35" s="999"/>
      <c r="C35" s="568">
        <v>2</v>
      </c>
      <c r="D35" s="1266">
        <v>1.2</v>
      </c>
      <c r="E35" s="1289">
        <v>4508.7</v>
      </c>
      <c r="F35" s="937">
        <v>10</v>
      </c>
      <c r="G35" s="785">
        <v>103.2</v>
      </c>
      <c r="H35" s="785">
        <v>117.3</v>
      </c>
      <c r="I35" s="928">
        <v>134</v>
      </c>
      <c r="J35" s="1294">
        <v>77.099999999999994</v>
      </c>
      <c r="K35" s="914">
        <v>5389</v>
      </c>
    </row>
    <row r="36" spans="2:11" ht="15" customHeight="1">
      <c r="B36" s="999"/>
      <c r="C36" s="568">
        <v>3</v>
      </c>
      <c r="D36" s="1266">
        <v>1.21</v>
      </c>
      <c r="E36" s="1289">
        <v>4426</v>
      </c>
      <c r="F36" s="937">
        <v>9.9</v>
      </c>
      <c r="G36" s="785">
        <v>107</v>
      </c>
      <c r="H36" s="785">
        <v>120.4</v>
      </c>
      <c r="I36" s="928">
        <v>136.1</v>
      </c>
      <c r="J36" s="1294">
        <v>75.099999999999994</v>
      </c>
      <c r="K36" s="914">
        <v>5073.5</v>
      </c>
    </row>
    <row r="37" spans="2:11" ht="15" customHeight="1">
      <c r="B37" s="1001"/>
      <c r="C37" s="568">
        <v>4</v>
      </c>
      <c r="D37" s="1266">
        <v>1.2</v>
      </c>
      <c r="E37" s="1289">
        <v>4502.8</v>
      </c>
      <c r="F37" s="937">
        <v>10.1</v>
      </c>
      <c r="G37" s="785">
        <v>111.8</v>
      </c>
      <c r="H37" s="785">
        <v>125.8</v>
      </c>
      <c r="I37" s="928">
        <v>138.19999999999999</v>
      </c>
      <c r="J37" s="1294">
        <v>69.8</v>
      </c>
      <c r="K37" s="914">
        <v>4726.5</v>
      </c>
    </row>
    <row r="38" spans="2:11" ht="15" customHeight="1">
      <c r="B38" s="1003"/>
      <c r="C38" s="568">
        <v>5</v>
      </c>
      <c r="D38" s="1266">
        <v>1.2</v>
      </c>
      <c r="E38" s="1289">
        <v>4319</v>
      </c>
      <c r="F38" s="937">
        <v>9.8000000000000007</v>
      </c>
      <c r="G38" s="785">
        <v>104.5</v>
      </c>
      <c r="H38" s="785">
        <v>125.2</v>
      </c>
      <c r="I38" s="928">
        <v>143.1</v>
      </c>
      <c r="J38" s="1294">
        <v>71.099999999999994</v>
      </c>
      <c r="K38" s="914">
        <v>6817.4</v>
      </c>
    </row>
    <row r="39" spans="2:11" ht="15" customHeight="1">
      <c r="B39" s="999"/>
      <c r="C39" s="568">
        <v>6</v>
      </c>
      <c r="D39" s="1266">
        <v>1.17</v>
      </c>
      <c r="E39" s="1289">
        <v>4285.3</v>
      </c>
      <c r="F39" s="937">
        <v>10.1</v>
      </c>
      <c r="G39" s="929">
        <v>104.1</v>
      </c>
      <c r="H39" s="929">
        <v>124.7</v>
      </c>
      <c r="I39" s="928">
        <v>142.4</v>
      </c>
      <c r="J39" s="1294">
        <v>72.3</v>
      </c>
      <c r="K39" s="914">
        <v>6041.9</v>
      </c>
    </row>
    <row r="40" spans="2:11" ht="15" customHeight="1">
      <c r="B40" s="999"/>
      <c r="C40" s="568">
        <v>7</v>
      </c>
      <c r="D40" s="1266">
        <v>1.19</v>
      </c>
      <c r="E40" s="1289">
        <v>4276</v>
      </c>
      <c r="F40" s="937">
        <v>10</v>
      </c>
      <c r="G40" s="929">
        <v>89.6</v>
      </c>
      <c r="H40" s="929">
        <v>120.1</v>
      </c>
      <c r="I40" s="928">
        <v>141.6</v>
      </c>
      <c r="J40" s="1294">
        <v>73.5</v>
      </c>
      <c r="K40" s="914">
        <v>3979</v>
      </c>
    </row>
    <row r="41" spans="2:11" ht="15" customHeight="1">
      <c r="B41" s="999"/>
      <c r="C41" s="568">
        <v>8</v>
      </c>
      <c r="D41" s="1266">
        <v>1.2</v>
      </c>
      <c r="E41" s="1289">
        <v>4167.8999999999996</v>
      </c>
      <c r="F41" s="937">
        <v>9.9</v>
      </c>
      <c r="G41" s="929">
        <v>103.3</v>
      </c>
      <c r="H41" s="929">
        <v>118.7</v>
      </c>
      <c r="I41" s="928">
        <v>134.4</v>
      </c>
      <c r="J41" s="1294">
        <v>73.900000000000006</v>
      </c>
      <c r="K41" s="914">
        <v>4066.4</v>
      </c>
    </row>
    <row r="42" spans="2:11" ht="15" customHeight="1">
      <c r="B42" s="999"/>
      <c r="C42" s="568">
        <v>9</v>
      </c>
      <c r="D42" s="1266">
        <v>1.2</v>
      </c>
      <c r="E42" s="1289">
        <v>4161</v>
      </c>
      <c r="F42" s="937">
        <v>9.5</v>
      </c>
      <c r="G42" s="929">
        <v>111</v>
      </c>
      <c r="H42" s="929">
        <v>124.4</v>
      </c>
      <c r="I42" s="928">
        <v>141.1</v>
      </c>
      <c r="J42" s="1294">
        <v>72</v>
      </c>
      <c r="K42" s="914">
        <v>5366.5</v>
      </c>
    </row>
    <row r="43" spans="2:11" ht="15" customHeight="1">
      <c r="B43" s="999"/>
      <c r="C43" s="568">
        <v>10</v>
      </c>
      <c r="D43" s="1266">
        <v>1.18</v>
      </c>
      <c r="E43" s="1289">
        <v>4076.7</v>
      </c>
      <c r="F43" s="937">
        <v>10.3</v>
      </c>
      <c r="G43" s="929">
        <v>117.1</v>
      </c>
      <c r="H43" s="929">
        <v>133.30000000000001</v>
      </c>
      <c r="I43" s="928">
        <v>159.5</v>
      </c>
      <c r="J43" s="1294">
        <v>65.8</v>
      </c>
      <c r="K43" s="914">
        <v>4408.5</v>
      </c>
    </row>
    <row r="44" spans="2:11" ht="15" customHeight="1">
      <c r="B44" s="999"/>
      <c r="C44" s="568">
        <v>11</v>
      </c>
      <c r="D44" s="1222">
        <v>1.17</v>
      </c>
      <c r="E44" s="982">
        <v>3981.3</v>
      </c>
      <c r="F44" s="946">
        <v>9.6999999999999993</v>
      </c>
      <c r="G44" s="929">
        <v>113</v>
      </c>
      <c r="H44" s="929">
        <v>126.3</v>
      </c>
      <c r="I44" s="928">
        <v>153.1</v>
      </c>
      <c r="J44" s="1297">
        <v>71.8</v>
      </c>
      <c r="K44" s="939">
        <v>4932.3999999999996</v>
      </c>
    </row>
    <row r="45" spans="2:11" ht="15" customHeight="1">
      <c r="B45" s="1000"/>
      <c r="C45" s="788">
        <v>12</v>
      </c>
      <c r="D45" s="1267">
        <v>1.17</v>
      </c>
      <c r="E45" s="1290">
        <v>4169.2</v>
      </c>
      <c r="F45" s="949">
        <v>9.6</v>
      </c>
      <c r="G45" s="930">
        <v>111.1</v>
      </c>
      <c r="H45" s="930">
        <v>124</v>
      </c>
      <c r="I45" s="930">
        <v>150.69999999999999</v>
      </c>
      <c r="J45" s="1297">
        <v>72.2</v>
      </c>
      <c r="K45" s="939">
        <v>6667.5</v>
      </c>
    </row>
    <row r="46" spans="2:11" ht="15" customHeight="1">
      <c r="B46" s="1089" t="s">
        <v>812</v>
      </c>
      <c r="C46" s="1057">
        <v>1</v>
      </c>
      <c r="D46" s="1269">
        <v>1.18</v>
      </c>
      <c r="E46" s="982">
        <v>4045.7</v>
      </c>
      <c r="F46" s="931">
        <v>10.3</v>
      </c>
      <c r="G46" s="1142">
        <v>112.2</v>
      </c>
      <c r="H46" s="1142">
        <v>130.5</v>
      </c>
      <c r="I46" s="1142">
        <v>153</v>
      </c>
      <c r="J46" s="1298">
        <v>69.8</v>
      </c>
      <c r="K46" s="1058">
        <v>8202.7999999999993</v>
      </c>
    </row>
    <row r="47" spans="2:11" ht="15" customHeight="1">
      <c r="B47" s="1001"/>
      <c r="C47" s="900">
        <v>2</v>
      </c>
      <c r="D47" s="1222">
        <v>1.18</v>
      </c>
      <c r="E47" s="1289">
        <v>4000</v>
      </c>
      <c r="F47" s="1271">
        <v>10.6</v>
      </c>
      <c r="G47" s="1271">
        <v>109.7</v>
      </c>
      <c r="H47" s="1271">
        <v>134.19999999999999</v>
      </c>
      <c r="I47" s="928">
        <v>158.5</v>
      </c>
      <c r="J47" s="1297">
        <v>67.2</v>
      </c>
      <c r="K47" s="939">
        <v>5188.3999999999996</v>
      </c>
    </row>
    <row r="48" spans="2:11" ht="15" customHeight="1">
      <c r="B48" s="1001"/>
      <c r="C48" s="900">
        <v>3</v>
      </c>
      <c r="D48" s="1222">
        <v>1.21</v>
      </c>
      <c r="E48" s="982">
        <v>3948.4</v>
      </c>
      <c r="F48" s="1271">
        <v>10.7</v>
      </c>
      <c r="G48" s="1271">
        <v>131.1</v>
      </c>
      <c r="H48" s="1271">
        <v>135.69999999999999</v>
      </c>
      <c r="I48" s="928">
        <v>147</v>
      </c>
      <c r="J48" s="1297">
        <v>66.8</v>
      </c>
      <c r="K48" s="939">
        <v>6551.3</v>
      </c>
    </row>
    <row r="49" spans="2:35" ht="15" customHeight="1">
      <c r="B49" s="1001"/>
      <c r="C49" s="900">
        <v>4</v>
      </c>
      <c r="D49" s="1222">
        <v>1.19</v>
      </c>
      <c r="E49" s="982">
        <v>4001.1</v>
      </c>
      <c r="F49" s="1271">
        <v>10.7</v>
      </c>
      <c r="G49" s="1271">
        <v>90.3</v>
      </c>
      <c r="H49" s="1271">
        <v>123.9</v>
      </c>
      <c r="I49" s="928">
        <v>144.69999999999999</v>
      </c>
      <c r="J49" s="1297">
        <v>76.400000000000006</v>
      </c>
      <c r="K49" s="939">
        <v>4390.6000000000004</v>
      </c>
    </row>
    <row r="50" spans="2:35">
      <c r="B50" s="1001"/>
      <c r="C50" s="900">
        <v>5</v>
      </c>
      <c r="D50" s="1222">
        <v>1.19</v>
      </c>
      <c r="E50" s="982">
        <v>4019.7</v>
      </c>
      <c r="F50" s="946">
        <v>10.9</v>
      </c>
      <c r="G50" s="1292">
        <v>95.2</v>
      </c>
      <c r="H50" s="1292">
        <v>124.7</v>
      </c>
      <c r="I50" s="1292">
        <v>147</v>
      </c>
      <c r="J50" s="1297">
        <v>75.7</v>
      </c>
      <c r="K50" s="939">
        <v>4687.8</v>
      </c>
    </row>
    <row r="51" spans="2:35" ht="15" customHeight="1">
      <c r="B51" s="1070"/>
      <c r="C51" s="900">
        <v>6</v>
      </c>
      <c r="D51" s="1222">
        <v>1.19</v>
      </c>
      <c r="E51" s="982">
        <v>4250.5</v>
      </c>
      <c r="F51" s="927">
        <v>10.6</v>
      </c>
      <c r="G51" s="927">
        <v>108.4</v>
      </c>
      <c r="H51" s="927">
        <v>129.1</v>
      </c>
      <c r="I51" s="927">
        <v>145.30000000000001</v>
      </c>
      <c r="J51" s="927">
        <v>73.8</v>
      </c>
      <c r="K51" s="939">
        <v>4180.8</v>
      </c>
    </row>
    <row r="52" spans="2:35" ht="15" customHeight="1">
      <c r="B52" s="1070"/>
      <c r="C52" s="900">
        <v>7</v>
      </c>
      <c r="D52" s="1222">
        <v>1.1499999999999999</v>
      </c>
      <c r="E52" s="982">
        <v>4365.3</v>
      </c>
      <c r="F52" s="927">
        <v>10.1</v>
      </c>
      <c r="G52" s="927">
        <v>91.3</v>
      </c>
      <c r="H52" s="927">
        <v>124.8</v>
      </c>
      <c r="I52" s="927">
        <v>149.19999999999999</v>
      </c>
      <c r="J52" s="1297">
        <v>73.900000000000006</v>
      </c>
      <c r="K52" s="939"/>
    </row>
    <row r="53" spans="2:35" ht="15" customHeight="1">
      <c r="B53" s="899"/>
      <c r="C53" s="900">
        <v>8</v>
      </c>
      <c r="D53" s="1222">
        <v>1.1000000000000001</v>
      </c>
      <c r="E53" s="982">
        <v>4557.2</v>
      </c>
      <c r="F53" s="927">
        <v>10.4</v>
      </c>
      <c r="G53" s="927">
        <v>108.7</v>
      </c>
      <c r="H53" s="927">
        <v>126</v>
      </c>
      <c r="I53" s="928">
        <v>147.69999999999999</v>
      </c>
      <c r="J53" s="1297">
        <v>71.900000000000006</v>
      </c>
      <c r="K53" s="939">
        <v>3673.7</v>
      </c>
    </row>
    <row r="54" spans="2:35" ht="15" customHeight="1">
      <c r="B54" s="899"/>
      <c r="C54" s="900">
        <v>9</v>
      </c>
      <c r="D54" s="1222">
        <v>1.0900000000000001</v>
      </c>
      <c r="E54" s="982">
        <v>4730.8999999999996</v>
      </c>
      <c r="F54" s="927">
        <v>10</v>
      </c>
      <c r="G54" s="927">
        <v>103.5</v>
      </c>
      <c r="H54" s="927">
        <v>137.1</v>
      </c>
      <c r="I54" s="928">
        <v>164.7</v>
      </c>
      <c r="J54" s="1297">
        <v>69.8</v>
      </c>
      <c r="K54" s="939">
        <v>4145.8</v>
      </c>
    </row>
    <row r="55" spans="2:35" ht="15" customHeight="1">
      <c r="B55" s="899"/>
      <c r="C55" s="900">
        <v>10</v>
      </c>
      <c r="D55" s="1222">
        <v>1.07</v>
      </c>
      <c r="E55" s="982">
        <v>4817.6000000000004</v>
      </c>
      <c r="F55" s="927">
        <v>9.9</v>
      </c>
      <c r="G55" s="927">
        <v>102</v>
      </c>
      <c r="H55" s="927">
        <v>137.19999999999999</v>
      </c>
      <c r="I55" s="928">
        <v>177.4</v>
      </c>
      <c r="J55" s="1297">
        <v>69.3</v>
      </c>
      <c r="K55" s="939">
        <v>5270.9</v>
      </c>
    </row>
    <row r="56" spans="2:35" ht="15" customHeight="1">
      <c r="B56" s="899"/>
      <c r="C56" s="900">
        <v>11</v>
      </c>
      <c r="D56" s="1222">
        <v>1.06</v>
      </c>
      <c r="E56" s="982">
        <v>4559</v>
      </c>
      <c r="F56" s="1141">
        <v>10.9</v>
      </c>
      <c r="G56" s="1141">
        <v>113.3</v>
      </c>
      <c r="H56" s="1141">
        <v>140.30000000000001</v>
      </c>
      <c r="I56" s="928">
        <v>177.6</v>
      </c>
      <c r="J56" s="1297">
        <v>69.599999999999994</v>
      </c>
      <c r="K56" s="939">
        <v>4740.3999999999996</v>
      </c>
    </row>
    <row r="57" spans="2:35" ht="13.5" hidden="1" customHeight="1">
      <c r="B57" s="899"/>
      <c r="C57" s="900">
        <v>12</v>
      </c>
      <c r="D57" s="1222"/>
      <c r="E57" s="982"/>
      <c r="F57" s="983"/>
      <c r="G57" s="983"/>
      <c r="H57" s="983"/>
      <c r="I57" s="927"/>
      <c r="J57" s="926"/>
      <c r="K57" s="926"/>
    </row>
    <row r="58" spans="2:35" ht="13.5" hidden="1" customHeight="1">
      <c r="B58" s="1085"/>
      <c r="C58" s="1085"/>
      <c r="D58" s="1181"/>
      <c r="E58" s="1087"/>
      <c r="F58" s="1139"/>
      <c r="G58" s="1087"/>
      <c r="H58" s="1088"/>
      <c r="I58" s="1087"/>
      <c r="J58" s="1139"/>
      <c r="K58" s="1087"/>
    </row>
    <row r="59" spans="2:35" ht="6.75" customHeight="1">
      <c r="B59" s="1085"/>
      <c r="C59" s="1085"/>
      <c r="D59" s="1086"/>
      <c r="E59" s="1087"/>
      <c r="F59" s="1087"/>
      <c r="G59" s="1087"/>
      <c r="H59" s="1088"/>
      <c r="I59" s="1087"/>
      <c r="J59" s="1189"/>
      <c r="K59" s="1189"/>
    </row>
    <row r="60" spans="2:35">
      <c r="B60" s="445" t="s">
        <v>316</v>
      </c>
      <c r="C60" s="441" t="s">
        <v>562</v>
      </c>
      <c r="D60" s="1113" t="s">
        <v>770</v>
      </c>
    </row>
    <row r="61" spans="2:35">
      <c r="B61" s="249" t="s">
        <v>545</v>
      </c>
      <c r="C61" s="441" t="s">
        <v>560</v>
      </c>
      <c r="D61" s="1172" t="s">
        <v>771</v>
      </c>
      <c r="E61" s="451"/>
      <c r="F61" s="451"/>
      <c r="G61" s="452"/>
      <c r="H61" s="452"/>
      <c r="I61" s="453"/>
      <c r="J61" s="453"/>
      <c r="K61" s="453"/>
    </row>
    <row r="62" spans="2:35">
      <c r="B62" s="249" t="s">
        <v>546</v>
      </c>
      <c r="C62" s="1177" t="s">
        <v>781</v>
      </c>
      <c r="D62" s="254" t="s">
        <v>780</v>
      </c>
    </row>
    <row r="63" spans="2:35" hidden="1">
      <c r="C63" s="1179" t="s">
        <v>817</v>
      </c>
      <c r="D63" s="1178" t="s">
        <v>818</v>
      </c>
    </row>
    <row r="64" spans="2:35">
      <c r="C64" s="1177"/>
      <c r="D64" s="1113"/>
      <c r="E64" s="256"/>
      <c r="F64" s="256"/>
      <c r="G64" s="256"/>
      <c r="H64" s="256"/>
      <c r="I64" s="257"/>
      <c r="J64" s="257"/>
      <c r="K64" s="1170"/>
      <c r="AE64" s="249"/>
      <c r="AF64" s="249"/>
      <c r="AG64" s="249"/>
      <c r="AH64" s="249"/>
      <c r="AI64" s="249"/>
    </row>
    <row r="65" spans="2:11">
      <c r="B65" s="259"/>
      <c r="C65" s="259"/>
      <c r="D65" s="255"/>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17:B21">
    <cfRule type="expression" dxfId="163" priority="1" stopIfTrue="1">
      <formula>$C22=#REF!</formula>
    </cfRule>
  </conditionalFormatting>
  <conditionalFormatting sqref="B29:B33">
    <cfRule type="expression" dxfId="162" priority="3"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8"/>
  <sheetViews>
    <sheetView view="pageBreakPreview" zoomScaleNormal="100" zoomScaleSheetLayoutView="100" workbookViewId="0">
      <pane xSplit="3" ySplit="9" topLeftCell="D10" activePane="bottomRight" state="frozen"/>
      <selection activeCell="Q9" sqref="Q9"/>
      <selection pane="topRight" activeCell="Q9" sqref="Q9"/>
      <selection pane="bottomLeft" activeCell="Q9" sqref="Q9"/>
      <selection pane="bottomRight" activeCell="Q9" sqref="Q9"/>
    </sheetView>
  </sheetViews>
  <sheetFormatPr defaultColWidth="8.125" defaultRowHeight="13.5"/>
  <cols>
    <col min="1" max="1" width="2.625" style="249" customWidth="1"/>
    <col min="2" max="2" width="4.875" style="245" customWidth="1"/>
    <col min="3" max="3" width="3.875" style="245" customWidth="1"/>
    <col min="4" max="4" width="12.125" style="254" customWidth="1"/>
    <col min="5" max="8" width="12.125" style="252" customWidth="1"/>
    <col min="9" max="9" width="12.125" style="253" customWidth="1"/>
    <col min="10" max="10" width="12.125" style="1232" customWidth="1"/>
    <col min="11" max="11" width="3" customWidth="1"/>
    <col min="31" max="34" width="8.125" style="249"/>
    <col min="35" max="36" width="11.625" style="249" customWidth="1"/>
    <col min="37" max="16384" width="8.125" style="249"/>
  </cols>
  <sheetData>
    <row r="1" spans="1:235" s="245" customFormat="1" ht="15" customHeight="1">
      <c r="B1" s="258" t="s">
        <v>586</v>
      </c>
      <c r="C1" s="246"/>
      <c r="D1" s="260"/>
      <c r="E1" s="248"/>
      <c r="F1" s="248"/>
      <c r="G1" s="248"/>
      <c r="H1" s="248"/>
      <c r="I1" s="247"/>
      <c r="J1" s="1231"/>
    </row>
    <row r="2" spans="1:235" ht="15" customHeight="1">
      <c r="B2" s="246"/>
      <c r="C2" s="246"/>
      <c r="D2" s="251"/>
    </row>
    <row r="3" spans="1:235" ht="15" customHeight="1">
      <c r="B3" s="1501" t="s">
        <v>550</v>
      </c>
      <c r="C3" s="1501"/>
      <c r="D3" s="1501"/>
      <c r="E3" s="1501"/>
      <c r="F3" s="1501"/>
      <c r="G3" s="1501"/>
      <c r="H3" s="1501"/>
      <c r="I3" s="1501"/>
      <c r="J3" s="1233"/>
    </row>
    <row r="4" spans="1:235" ht="15" customHeight="1">
      <c r="B4" s="693"/>
      <c r="C4" s="700" t="s">
        <v>555</v>
      </c>
      <c r="D4" s="457" t="s">
        <v>62</v>
      </c>
      <c r="E4" s="457" t="s">
        <v>164</v>
      </c>
      <c r="F4" s="457" t="s">
        <v>165</v>
      </c>
      <c r="G4" s="457" t="s">
        <v>518</v>
      </c>
      <c r="H4" s="457" t="s">
        <v>516</v>
      </c>
      <c r="I4" s="457" t="s">
        <v>517</v>
      </c>
      <c r="J4" s="1234" t="s">
        <v>519</v>
      </c>
    </row>
    <row r="5" spans="1:235" s="245" customFormat="1" ht="15" customHeight="1">
      <c r="B5" s="698"/>
      <c r="C5" s="699"/>
      <c r="D5" s="1502" t="s">
        <v>73</v>
      </c>
      <c r="E5" s="1504" t="s">
        <v>504</v>
      </c>
      <c r="F5" s="1506" t="s">
        <v>799</v>
      </c>
      <c r="G5" s="1510" t="s">
        <v>639</v>
      </c>
      <c r="H5" s="1508" t="s">
        <v>800</v>
      </c>
      <c r="I5" s="1509" t="s">
        <v>542</v>
      </c>
      <c r="J5" s="1499" t="s">
        <v>408</v>
      </c>
    </row>
    <row r="6" spans="1:235" ht="15" customHeight="1">
      <c r="B6" s="458"/>
      <c r="C6" s="249"/>
      <c r="D6" s="1503"/>
      <c r="E6" s="1505"/>
      <c r="F6" s="1507"/>
      <c r="G6" s="1503"/>
      <c r="H6" s="1503"/>
      <c r="I6" s="1503"/>
      <c r="J6" s="1500"/>
    </row>
    <row r="7" spans="1:235" ht="15" customHeight="1">
      <c r="B7" s="458"/>
      <c r="C7" s="249"/>
      <c r="D7" s="1503"/>
      <c r="E7" s="1505"/>
      <c r="F7" s="1507"/>
      <c r="G7" s="1503"/>
      <c r="H7" s="1503"/>
      <c r="I7" s="1503"/>
      <c r="J7" s="1500"/>
    </row>
    <row r="8" spans="1:235" ht="15" customHeight="1">
      <c r="B8" s="458"/>
      <c r="C8" s="249"/>
      <c r="D8" s="1503"/>
      <c r="E8" s="1505"/>
      <c r="F8" s="1507"/>
      <c r="G8" s="1503"/>
      <c r="H8" s="1503"/>
      <c r="I8" s="1503"/>
      <c r="J8" s="1500"/>
    </row>
    <row r="9" spans="1:235" ht="15" customHeight="1">
      <c r="A9" s="250"/>
      <c r="B9" s="815" t="s">
        <v>194</v>
      </c>
      <c r="C9" s="816"/>
      <c r="D9" s="1173" t="s">
        <v>768</v>
      </c>
      <c r="E9" s="1173" t="s">
        <v>768</v>
      </c>
      <c r="F9" s="459" t="s">
        <v>520</v>
      </c>
      <c r="G9" s="459" t="s">
        <v>520</v>
      </c>
      <c r="H9" s="261" t="s">
        <v>587</v>
      </c>
      <c r="I9" s="459" t="s">
        <v>520</v>
      </c>
      <c r="J9" s="1235" t="s">
        <v>782</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1" t="s">
        <v>713</v>
      </c>
      <c r="C10" s="769">
        <v>1</v>
      </c>
      <c r="D10" s="947">
        <v>99.7</v>
      </c>
      <c r="E10" s="947">
        <v>129.80000000000001</v>
      </c>
      <c r="F10" s="947">
        <v>2.8</v>
      </c>
      <c r="G10" s="1299">
        <v>-1.1000000000000001</v>
      </c>
      <c r="H10" s="783">
        <v>309218</v>
      </c>
      <c r="I10" s="784">
        <v>0.2</v>
      </c>
      <c r="J10" s="783">
        <v>3570.4</v>
      </c>
    </row>
    <row r="11" spans="1:235" ht="14.1" customHeight="1">
      <c r="B11" s="999"/>
      <c r="C11" s="568">
        <v>2</v>
      </c>
      <c r="D11" s="929">
        <v>98.3</v>
      </c>
      <c r="E11" s="929">
        <v>116.7</v>
      </c>
      <c r="F11" s="929">
        <v>2.7</v>
      </c>
      <c r="G11" s="1294">
        <v>-3.9</v>
      </c>
      <c r="H11" s="680">
        <v>289847</v>
      </c>
      <c r="I11" s="681">
        <v>0.6</v>
      </c>
      <c r="J11" s="680">
        <v>3569.3</v>
      </c>
    </row>
    <row r="12" spans="1:235" ht="14.1" customHeight="1">
      <c r="B12" s="999"/>
      <c r="C12" s="568">
        <v>3</v>
      </c>
      <c r="D12" s="929">
        <v>100.1</v>
      </c>
      <c r="E12" s="929">
        <v>134</v>
      </c>
      <c r="F12" s="929">
        <v>2.6</v>
      </c>
      <c r="G12" s="1294">
        <v>-2.2000000000000002</v>
      </c>
      <c r="H12" s="680">
        <v>289796</v>
      </c>
      <c r="I12" s="681">
        <v>1.2</v>
      </c>
      <c r="J12" s="680">
        <v>4199</v>
      </c>
    </row>
    <row r="13" spans="1:235" ht="14.1" customHeight="1">
      <c r="B13" s="1001"/>
      <c r="C13" s="568">
        <v>4</v>
      </c>
      <c r="D13" s="929">
        <v>99.4</v>
      </c>
      <c r="E13" s="929">
        <v>111.5</v>
      </c>
      <c r="F13" s="929">
        <v>2.6</v>
      </c>
      <c r="G13" s="1294">
        <v>-1.8</v>
      </c>
      <c r="H13" s="680">
        <v>265093</v>
      </c>
      <c r="I13" s="681">
        <v>2.2999999999999998</v>
      </c>
      <c r="J13" s="680">
        <v>3223.3</v>
      </c>
    </row>
    <row r="14" spans="1:235" ht="14.1" customHeight="1">
      <c r="B14" s="1003"/>
      <c r="C14" s="568">
        <v>5</v>
      </c>
      <c r="D14" s="929">
        <v>101.8</v>
      </c>
      <c r="E14" s="929">
        <v>127.2</v>
      </c>
      <c r="F14" s="929">
        <v>2.6</v>
      </c>
      <c r="G14" s="1294">
        <v>0.5</v>
      </c>
      <c r="H14" s="680">
        <v>355080</v>
      </c>
      <c r="I14" s="681">
        <v>2.7</v>
      </c>
      <c r="J14" s="680">
        <v>3724.9</v>
      </c>
    </row>
    <row r="15" spans="1:235" ht="14.1" customHeight="1">
      <c r="B15" s="999"/>
      <c r="C15" s="568">
        <v>6</v>
      </c>
      <c r="D15" s="929">
        <v>101.8</v>
      </c>
      <c r="E15" s="929">
        <v>136.69999999999999</v>
      </c>
      <c r="F15" s="929">
        <v>2.6</v>
      </c>
      <c r="G15" s="1294">
        <v>-2.4</v>
      </c>
      <c r="H15" s="680">
        <v>297142</v>
      </c>
      <c r="I15" s="681">
        <v>2.2999999999999998</v>
      </c>
      <c r="J15" s="680">
        <v>2919.8</v>
      </c>
    </row>
    <row r="16" spans="1:235" ht="14.1" customHeight="1">
      <c r="B16" s="999"/>
      <c r="C16" s="568">
        <v>7</v>
      </c>
      <c r="D16" s="929">
        <v>102</v>
      </c>
      <c r="E16" s="929">
        <v>173.3</v>
      </c>
      <c r="F16" s="929">
        <v>2.5</v>
      </c>
      <c r="G16" s="1294">
        <v>2.6</v>
      </c>
      <c r="H16" s="680">
        <v>343365</v>
      </c>
      <c r="I16" s="681">
        <v>2.2999999999999998</v>
      </c>
      <c r="J16" s="680">
        <v>3052.8</v>
      </c>
    </row>
    <row r="17" spans="2:10" ht="14.1" customHeight="1">
      <c r="B17" s="999"/>
      <c r="C17" s="568">
        <v>8</v>
      </c>
      <c r="D17" s="929">
        <v>101.7</v>
      </c>
      <c r="E17" s="929">
        <v>149.9</v>
      </c>
      <c r="F17" s="929">
        <v>2.5</v>
      </c>
      <c r="G17" s="1294">
        <v>0.7</v>
      </c>
      <c r="H17" s="680">
        <v>293757</v>
      </c>
      <c r="I17" s="681">
        <v>2.2999999999999998</v>
      </c>
      <c r="J17" s="680">
        <v>3192.8</v>
      </c>
    </row>
    <row r="18" spans="2:10" ht="14.1" customHeight="1">
      <c r="B18" s="999"/>
      <c r="C18" s="568">
        <v>9</v>
      </c>
      <c r="D18" s="929">
        <v>100.7</v>
      </c>
      <c r="E18" s="929">
        <v>180.4</v>
      </c>
      <c r="F18" s="929">
        <v>2.6</v>
      </c>
      <c r="G18" s="1294">
        <v>3.5</v>
      </c>
      <c r="H18" s="680">
        <v>287820</v>
      </c>
      <c r="I18" s="681">
        <v>2.6</v>
      </c>
      <c r="J18" s="680">
        <v>3695.3</v>
      </c>
    </row>
    <row r="19" spans="2:10" ht="14.1" customHeight="1">
      <c r="B19" s="999"/>
      <c r="C19" s="568">
        <v>10</v>
      </c>
      <c r="D19" s="929">
        <v>101.7</v>
      </c>
      <c r="E19" s="929">
        <v>129.69999999999999</v>
      </c>
      <c r="F19" s="929">
        <v>2.6</v>
      </c>
      <c r="G19" s="1294">
        <v>1.5</v>
      </c>
      <c r="H19" s="680">
        <v>274469</v>
      </c>
      <c r="I19" s="681">
        <v>3.2</v>
      </c>
      <c r="J19" s="680">
        <v>3462.5</v>
      </c>
    </row>
    <row r="20" spans="2:10" ht="14.1" customHeight="1">
      <c r="B20" s="999"/>
      <c r="C20" s="568">
        <v>11</v>
      </c>
      <c r="D20" s="929">
        <v>101.7</v>
      </c>
      <c r="E20" s="929">
        <v>150</v>
      </c>
      <c r="F20" s="929">
        <v>2.5</v>
      </c>
      <c r="G20" s="1294">
        <v>-0.8</v>
      </c>
      <c r="H20" s="680">
        <v>278901</v>
      </c>
      <c r="I20" s="681">
        <v>3.5</v>
      </c>
      <c r="J20" s="680">
        <v>3515.8</v>
      </c>
    </row>
    <row r="21" spans="2:10" ht="14.1" customHeight="1">
      <c r="B21" s="1000"/>
      <c r="C21" s="788">
        <v>12</v>
      </c>
      <c r="D21" s="930">
        <v>102.3</v>
      </c>
      <c r="E21" s="930">
        <v>144.19999999999999</v>
      </c>
      <c r="F21" s="930">
        <v>2.5</v>
      </c>
      <c r="G21" s="1295">
        <v>0.1</v>
      </c>
      <c r="H21" s="918">
        <v>310254</v>
      </c>
      <c r="I21" s="917">
        <v>4.3</v>
      </c>
      <c r="J21" s="918">
        <v>3638.5</v>
      </c>
    </row>
    <row r="22" spans="2:10" ht="14.1" customHeight="1">
      <c r="B22" s="1011" t="s">
        <v>714</v>
      </c>
      <c r="C22" s="769">
        <v>1</v>
      </c>
      <c r="D22" s="931">
        <v>103.1</v>
      </c>
      <c r="E22" s="931">
        <v>119</v>
      </c>
      <c r="F22" s="931">
        <v>2.5</v>
      </c>
      <c r="G22" s="1296">
        <v>1</v>
      </c>
      <c r="H22" s="836">
        <v>296612</v>
      </c>
      <c r="I22" s="837">
        <v>4.7</v>
      </c>
      <c r="J22" s="836">
        <v>3756.1</v>
      </c>
    </row>
    <row r="23" spans="2:10" ht="14.1" customHeight="1">
      <c r="B23" s="999"/>
      <c r="C23" s="568">
        <v>2</v>
      </c>
      <c r="D23" s="929">
        <v>103</v>
      </c>
      <c r="E23" s="929">
        <v>170.6</v>
      </c>
      <c r="F23" s="929">
        <v>2.6</v>
      </c>
      <c r="G23" s="1294">
        <v>2</v>
      </c>
      <c r="H23" s="680">
        <v>324808</v>
      </c>
      <c r="I23" s="681">
        <v>3.8</v>
      </c>
      <c r="J23" s="680">
        <v>3042.2</v>
      </c>
    </row>
    <row r="24" spans="2:10" ht="14.1" customHeight="1">
      <c r="B24" s="999"/>
      <c r="C24" s="568">
        <v>3</v>
      </c>
      <c r="D24" s="929">
        <v>104.5</v>
      </c>
      <c r="E24" s="929">
        <v>161</v>
      </c>
      <c r="F24" s="929">
        <v>2.7</v>
      </c>
      <c r="G24" s="1294">
        <v>-1.3</v>
      </c>
      <c r="H24" s="680">
        <v>275860</v>
      </c>
      <c r="I24" s="681">
        <v>3.6</v>
      </c>
      <c r="J24" s="680">
        <v>3265.5</v>
      </c>
    </row>
    <row r="25" spans="2:10" ht="14.1" customHeight="1">
      <c r="B25" s="1001"/>
      <c r="C25" s="568">
        <v>4</v>
      </c>
      <c r="D25" s="929">
        <v>103.8</v>
      </c>
      <c r="E25" s="929">
        <v>109.9</v>
      </c>
      <c r="F25" s="929">
        <v>2.6</v>
      </c>
      <c r="G25" s="1294">
        <v>2.2999999999999998</v>
      </c>
      <c r="H25" s="680">
        <v>287788</v>
      </c>
      <c r="I25" s="681">
        <v>4.0999999999999996</v>
      </c>
      <c r="J25" s="680">
        <v>3016.2</v>
      </c>
    </row>
    <row r="26" spans="2:10" ht="14.1" customHeight="1">
      <c r="B26" s="1003"/>
      <c r="C26" s="568">
        <v>5</v>
      </c>
      <c r="D26" s="929">
        <v>103.7</v>
      </c>
      <c r="E26" s="929">
        <v>108.2</v>
      </c>
      <c r="F26" s="929">
        <v>2.5</v>
      </c>
      <c r="G26" s="1294">
        <v>-1.8</v>
      </c>
      <c r="H26" s="680">
        <v>295039</v>
      </c>
      <c r="I26" s="681">
        <v>3.5</v>
      </c>
      <c r="J26" s="680">
        <v>3269</v>
      </c>
    </row>
    <row r="27" spans="2:10" ht="14.1" customHeight="1">
      <c r="B27" s="999"/>
      <c r="C27" s="568">
        <v>6</v>
      </c>
      <c r="D27" s="929">
        <v>103.2</v>
      </c>
      <c r="E27" s="929">
        <v>106.2</v>
      </c>
      <c r="F27" s="929">
        <v>2.5</v>
      </c>
      <c r="G27" s="1294">
        <v>-0.1</v>
      </c>
      <c r="H27" s="680">
        <v>260415</v>
      </c>
      <c r="I27" s="681">
        <v>3.8</v>
      </c>
      <c r="J27" s="680">
        <v>2885.8</v>
      </c>
    </row>
    <row r="28" spans="2:10" ht="14.1" customHeight="1">
      <c r="B28" s="999"/>
      <c r="C28" s="568">
        <v>7</v>
      </c>
      <c r="D28" s="929">
        <v>103.8</v>
      </c>
      <c r="E28" s="929">
        <v>114.1</v>
      </c>
      <c r="F28" s="929">
        <v>2.6</v>
      </c>
      <c r="G28" s="1294">
        <v>1.3</v>
      </c>
      <c r="H28" s="680">
        <v>290775</v>
      </c>
      <c r="I28" s="681">
        <v>3.8</v>
      </c>
      <c r="J28" s="680">
        <v>3212.9</v>
      </c>
    </row>
    <row r="29" spans="2:10" ht="14.1" customHeight="1">
      <c r="B29" s="999"/>
      <c r="C29" s="568">
        <v>8</v>
      </c>
      <c r="D29" s="929">
        <v>104.1</v>
      </c>
      <c r="E29" s="929">
        <v>109.6</v>
      </c>
      <c r="F29" s="929">
        <v>2.6</v>
      </c>
      <c r="G29" s="1294">
        <v>2.8</v>
      </c>
      <c r="H29" s="1289">
        <v>292701</v>
      </c>
      <c r="I29" s="681">
        <v>4.7</v>
      </c>
      <c r="J29" s="680">
        <v>3428.3</v>
      </c>
    </row>
    <row r="30" spans="2:10" ht="14.1" customHeight="1">
      <c r="B30" s="999"/>
      <c r="C30" s="568">
        <v>9</v>
      </c>
      <c r="D30" s="929">
        <v>104.1</v>
      </c>
      <c r="E30" s="929">
        <v>113.7</v>
      </c>
      <c r="F30" s="929">
        <v>2.6</v>
      </c>
      <c r="G30" s="1294">
        <v>1.8</v>
      </c>
      <c r="H30" s="1289">
        <v>304093</v>
      </c>
      <c r="I30" s="681">
        <v>4.5999999999999996</v>
      </c>
      <c r="J30" s="680">
        <v>3436</v>
      </c>
    </row>
    <row r="31" spans="2:10" ht="14.1" customHeight="1">
      <c r="B31" s="999"/>
      <c r="C31" s="568">
        <v>10</v>
      </c>
      <c r="D31" s="929">
        <v>104.8</v>
      </c>
      <c r="E31" s="929">
        <v>112.7</v>
      </c>
      <c r="F31" s="929">
        <v>2.6</v>
      </c>
      <c r="G31" s="1294">
        <v>0.1</v>
      </c>
      <c r="H31" s="1289">
        <v>362899</v>
      </c>
      <c r="I31" s="681">
        <v>4.5</v>
      </c>
      <c r="J31" s="680">
        <v>3273.3</v>
      </c>
    </row>
    <row r="32" spans="2:10" ht="14.1" customHeight="1">
      <c r="B32" s="999"/>
      <c r="C32" s="568">
        <v>11</v>
      </c>
      <c r="D32" s="929">
        <v>104.9</v>
      </c>
      <c r="E32" s="929">
        <v>93.3</v>
      </c>
      <c r="F32" s="929">
        <v>2.6</v>
      </c>
      <c r="G32" s="1294">
        <v>0.4</v>
      </c>
      <c r="H32" s="1289">
        <v>295708</v>
      </c>
      <c r="I32" s="681">
        <v>4.0999999999999996</v>
      </c>
      <c r="J32" s="680">
        <v>3437.9</v>
      </c>
    </row>
    <row r="33" spans="2:13" ht="14.1" customHeight="1">
      <c r="B33" s="1000"/>
      <c r="C33" s="788">
        <v>12</v>
      </c>
      <c r="D33" s="930">
        <v>104.7</v>
      </c>
      <c r="E33" s="930">
        <v>128.1</v>
      </c>
      <c r="F33" s="930">
        <v>2.5</v>
      </c>
      <c r="G33" s="1295">
        <v>2</v>
      </c>
      <c r="H33" s="1290">
        <v>291607</v>
      </c>
      <c r="I33" s="917">
        <v>3.5</v>
      </c>
      <c r="J33" s="918">
        <v>3583.7</v>
      </c>
    </row>
    <row r="34" spans="2:13" ht="14.1" customHeight="1">
      <c r="B34" s="1011" t="s">
        <v>715</v>
      </c>
      <c r="C34" s="769">
        <v>1</v>
      </c>
      <c r="D34" s="931">
        <v>104.5</v>
      </c>
      <c r="E34" s="931">
        <v>107.5</v>
      </c>
      <c r="F34" s="931">
        <v>2.5</v>
      </c>
      <c r="G34" s="1296">
        <v>-0.5</v>
      </c>
      <c r="H34" s="1291">
        <v>273904</v>
      </c>
      <c r="I34" s="837">
        <v>3.1</v>
      </c>
      <c r="J34" s="836">
        <v>2218.8000000000002</v>
      </c>
    </row>
    <row r="35" spans="2:13" ht="14.1" customHeight="1">
      <c r="B35" s="999"/>
      <c r="C35" s="568">
        <v>2</v>
      </c>
      <c r="D35" s="929">
        <v>104.8</v>
      </c>
      <c r="E35" s="929">
        <v>124.1</v>
      </c>
      <c r="F35" s="929">
        <v>2.6</v>
      </c>
      <c r="G35" s="1294">
        <v>1.3</v>
      </c>
      <c r="H35" s="1289">
        <v>302053</v>
      </c>
      <c r="I35" s="681">
        <v>3.6</v>
      </c>
      <c r="J35" s="680">
        <v>3684.4</v>
      </c>
    </row>
    <row r="36" spans="2:13" ht="14.1" customHeight="1">
      <c r="B36" s="999"/>
      <c r="C36" s="568">
        <v>3</v>
      </c>
      <c r="D36" s="929">
        <v>104.5</v>
      </c>
      <c r="E36" s="929">
        <v>128.6</v>
      </c>
      <c r="F36" s="929">
        <v>2.6</v>
      </c>
      <c r="G36" s="1294">
        <v>3.6</v>
      </c>
      <c r="H36" s="1289">
        <v>292065</v>
      </c>
      <c r="I36" s="681">
        <v>3.2</v>
      </c>
      <c r="J36" s="680">
        <v>3190.6</v>
      </c>
    </row>
    <row r="37" spans="2:13" ht="14.1" customHeight="1">
      <c r="B37" s="1001"/>
      <c r="C37" s="568">
        <v>4</v>
      </c>
      <c r="D37" s="929">
        <v>104.4</v>
      </c>
      <c r="E37" s="929">
        <v>135.80000000000001</v>
      </c>
      <c r="F37" s="929">
        <v>2.6</v>
      </c>
      <c r="G37" s="1294">
        <v>-0.5</v>
      </c>
      <c r="H37" s="680">
        <v>244705</v>
      </c>
      <c r="I37" s="681">
        <v>3.1</v>
      </c>
      <c r="J37" s="680">
        <v>3979.5</v>
      </c>
    </row>
    <row r="38" spans="2:13" ht="14.1" customHeight="1">
      <c r="B38" s="1003"/>
      <c r="C38" s="568">
        <v>5</v>
      </c>
      <c r="D38" s="929">
        <v>104.5</v>
      </c>
      <c r="E38" s="929">
        <v>122.6</v>
      </c>
      <c r="F38" s="929">
        <v>2.6</v>
      </c>
      <c r="G38" s="1294">
        <v>0.9</v>
      </c>
      <c r="H38" s="680">
        <v>259288</v>
      </c>
      <c r="I38" s="681">
        <v>3.7</v>
      </c>
      <c r="J38" s="680">
        <v>3779.5</v>
      </c>
    </row>
    <row r="39" spans="2:13" ht="14.1" customHeight="1">
      <c r="B39" s="999"/>
      <c r="C39" s="568">
        <v>6</v>
      </c>
      <c r="D39" s="929">
        <v>104.9</v>
      </c>
      <c r="E39" s="929">
        <v>126.4</v>
      </c>
      <c r="F39" s="929">
        <v>2.5</v>
      </c>
      <c r="G39" s="1294">
        <v>4.5999999999999996</v>
      </c>
      <c r="H39" s="680">
        <v>380681</v>
      </c>
      <c r="I39" s="681">
        <v>3.2</v>
      </c>
      <c r="J39" s="680">
        <v>2841.2</v>
      </c>
    </row>
    <row r="40" spans="2:13" ht="14.1" customHeight="1">
      <c r="B40" s="999"/>
      <c r="C40" s="568">
        <v>7</v>
      </c>
      <c r="D40" s="929">
        <v>105</v>
      </c>
      <c r="E40" s="929">
        <v>99.6</v>
      </c>
      <c r="F40" s="929">
        <v>2.6</v>
      </c>
      <c r="G40" s="1294">
        <v>-4.3</v>
      </c>
      <c r="H40" s="680">
        <v>266868</v>
      </c>
      <c r="I40" s="681">
        <v>3.3</v>
      </c>
      <c r="J40" s="680">
        <v>5956.7</v>
      </c>
    </row>
    <row r="41" spans="2:13" ht="14.1" customHeight="1">
      <c r="B41" s="999"/>
      <c r="C41" s="568">
        <v>8</v>
      </c>
      <c r="D41" s="929">
        <v>105.4</v>
      </c>
      <c r="E41" s="929">
        <v>121</v>
      </c>
      <c r="F41" s="929">
        <v>2.5</v>
      </c>
      <c r="G41" s="1294">
        <v>3</v>
      </c>
      <c r="H41" s="680">
        <v>329269</v>
      </c>
      <c r="I41" s="681">
        <v>2.7</v>
      </c>
      <c r="J41" s="680">
        <v>3643.4</v>
      </c>
    </row>
    <row r="42" spans="2:13" ht="14.1" customHeight="1">
      <c r="B42" s="999"/>
      <c r="C42" s="568">
        <v>9</v>
      </c>
      <c r="D42" s="929">
        <v>105.6</v>
      </c>
      <c r="E42" s="929">
        <v>132.9</v>
      </c>
      <c r="F42" s="929">
        <v>2.4</v>
      </c>
      <c r="G42" s="1294">
        <v>0.3</v>
      </c>
      <c r="H42" s="680">
        <v>293666</v>
      </c>
      <c r="I42" s="681">
        <v>2.1</v>
      </c>
      <c r="J42" s="680">
        <v>3483.5</v>
      </c>
    </row>
    <row r="43" spans="2:13" ht="14.1" customHeight="1">
      <c r="B43" s="999"/>
      <c r="C43" s="568">
        <v>10</v>
      </c>
      <c r="D43" s="929">
        <v>105.4</v>
      </c>
      <c r="E43" s="929">
        <v>148.6</v>
      </c>
      <c r="F43" s="929">
        <v>2.5</v>
      </c>
      <c r="G43" s="1294">
        <v>-2.6</v>
      </c>
      <c r="H43" s="680">
        <v>310453</v>
      </c>
      <c r="I43" s="681">
        <v>2.4</v>
      </c>
      <c r="J43" s="680">
        <v>3426.3</v>
      </c>
    </row>
    <row r="44" spans="2:13" ht="14.1" customHeight="1">
      <c r="B44" s="999"/>
      <c r="C44" s="568">
        <v>11</v>
      </c>
      <c r="D44" s="929">
        <v>105.8</v>
      </c>
      <c r="E44" s="929">
        <v>138.80000000000001</v>
      </c>
      <c r="F44" s="929">
        <v>2.5</v>
      </c>
      <c r="G44" s="1294">
        <v>2.6</v>
      </c>
      <c r="H44" s="680">
        <v>388180</v>
      </c>
      <c r="I44" s="681">
        <v>2.9</v>
      </c>
      <c r="J44" s="680">
        <v>3527.5</v>
      </c>
    </row>
    <row r="45" spans="2:13" ht="14.1" customHeight="1">
      <c r="B45" s="1000"/>
      <c r="C45" s="925">
        <v>12</v>
      </c>
      <c r="D45" s="930">
        <v>106.2</v>
      </c>
      <c r="E45" s="930">
        <v>133</v>
      </c>
      <c r="F45" s="930">
        <v>2.5</v>
      </c>
      <c r="G45" s="1295">
        <v>0.6</v>
      </c>
      <c r="H45" s="918">
        <v>299489</v>
      </c>
      <c r="I45" s="917">
        <v>3.5</v>
      </c>
      <c r="J45" s="918">
        <v>3413.2</v>
      </c>
    </row>
    <row r="46" spans="2:13" ht="13.5" customHeight="1">
      <c r="B46" s="1011" t="s">
        <v>812</v>
      </c>
      <c r="C46" s="1059">
        <v>1</v>
      </c>
      <c r="D46" s="931">
        <v>106.1</v>
      </c>
      <c r="E46" s="931">
        <v>135.9</v>
      </c>
      <c r="F46" s="931">
        <v>2.5</v>
      </c>
      <c r="G46" s="1296">
        <v>2.9</v>
      </c>
      <c r="H46" s="1061">
        <v>293059</v>
      </c>
      <c r="I46" s="1060">
        <v>3.8</v>
      </c>
      <c r="J46" s="1061">
        <v>3329.7</v>
      </c>
    </row>
    <row r="47" spans="2:13" ht="13.5" customHeight="1">
      <c r="B47" s="1001"/>
      <c r="C47" s="900">
        <v>2</v>
      </c>
      <c r="D47" s="929">
        <v>106.3</v>
      </c>
      <c r="E47" s="929">
        <v>137.4</v>
      </c>
      <c r="F47" s="929">
        <v>2.4</v>
      </c>
      <c r="G47" s="1294">
        <v>1.2</v>
      </c>
      <c r="H47" s="919">
        <v>251622</v>
      </c>
      <c r="I47" s="901">
        <v>3.5</v>
      </c>
      <c r="J47" s="919">
        <v>3900.5</v>
      </c>
      <c r="K47" s="1170"/>
      <c r="M47" s="902"/>
    </row>
    <row r="48" spans="2:13" ht="13.5" customHeight="1">
      <c r="B48" s="1001"/>
      <c r="C48" s="900">
        <v>3</v>
      </c>
      <c r="D48" s="901">
        <v>104.7</v>
      </c>
      <c r="E48" s="901">
        <v>167.8</v>
      </c>
      <c r="F48" s="901">
        <v>2.5</v>
      </c>
      <c r="G48" s="901">
        <v>1.8</v>
      </c>
      <c r="H48" s="919">
        <v>297809</v>
      </c>
      <c r="I48" s="901">
        <v>3.7</v>
      </c>
      <c r="J48" s="982">
        <v>2936.6</v>
      </c>
      <c r="K48" s="1170"/>
    </row>
    <row r="49" spans="2:36" ht="13.5" customHeight="1">
      <c r="B49" s="1001"/>
      <c r="C49" s="900">
        <v>4</v>
      </c>
      <c r="D49" s="901">
        <v>104.8</v>
      </c>
      <c r="E49" s="901">
        <v>101.4</v>
      </c>
      <c r="F49" s="901">
        <v>2.5</v>
      </c>
      <c r="G49" s="901">
        <v>0.9</v>
      </c>
      <c r="H49" s="919">
        <v>294370</v>
      </c>
      <c r="I49" s="901">
        <v>3.4</v>
      </c>
      <c r="J49" s="982">
        <v>3706.6</v>
      </c>
      <c r="K49" s="1170"/>
    </row>
    <row r="50" spans="2:36" ht="14.25" customHeight="1">
      <c r="B50" s="1001"/>
      <c r="C50" s="900">
        <v>5</v>
      </c>
      <c r="D50" s="901">
        <v>104.6</v>
      </c>
      <c r="E50" s="1292">
        <v>108.6</v>
      </c>
      <c r="F50" s="901">
        <v>2.5</v>
      </c>
      <c r="G50" s="901">
        <v>-1.3</v>
      </c>
      <c r="H50" s="919">
        <v>265595</v>
      </c>
      <c r="I50" s="901">
        <v>3.3</v>
      </c>
      <c r="J50" s="982">
        <v>3782.6</v>
      </c>
      <c r="K50" s="1170"/>
    </row>
    <row r="51" spans="2:36" ht="14.25" customHeight="1">
      <c r="B51" s="899"/>
      <c r="C51" s="900">
        <v>6</v>
      </c>
      <c r="D51" s="928">
        <v>104.3</v>
      </c>
      <c r="E51" s="928">
        <v>124.5</v>
      </c>
      <c r="F51" s="928">
        <v>2.5</v>
      </c>
      <c r="G51" s="927">
        <v>0.3</v>
      </c>
      <c r="H51" s="919">
        <v>251762</v>
      </c>
      <c r="I51" s="901">
        <v>3.3</v>
      </c>
      <c r="J51" s="919">
        <v>3081.1</v>
      </c>
      <c r="K51" s="1170"/>
    </row>
    <row r="52" spans="2:36" ht="14.25" customHeight="1">
      <c r="B52" s="899"/>
      <c r="C52" s="900">
        <v>7</v>
      </c>
      <c r="D52" s="928">
        <v>104.5</v>
      </c>
      <c r="E52" s="928">
        <v>98.1</v>
      </c>
      <c r="F52" s="928">
        <v>2.2999999999999998</v>
      </c>
      <c r="G52" s="927">
        <v>2.9</v>
      </c>
      <c r="H52" s="919">
        <v>362350</v>
      </c>
      <c r="I52" s="901">
        <v>3.1</v>
      </c>
      <c r="J52" s="919">
        <v>2170</v>
      </c>
      <c r="K52" s="1170"/>
    </row>
    <row r="53" spans="2:36" ht="15" customHeight="1">
      <c r="B53" s="899"/>
      <c r="C53" s="900">
        <v>8</v>
      </c>
      <c r="D53" s="928">
        <v>103.8</v>
      </c>
      <c r="E53" s="928">
        <v>126.9</v>
      </c>
      <c r="F53" s="928">
        <v>2.6</v>
      </c>
      <c r="G53" s="901">
        <v>-0.8</v>
      </c>
      <c r="H53" s="919">
        <v>251313</v>
      </c>
      <c r="I53" s="901">
        <v>2.7</v>
      </c>
      <c r="J53" s="919">
        <v>4318.3999999999996</v>
      </c>
      <c r="K53" s="1170"/>
      <c r="AE53"/>
      <c r="AF53"/>
      <c r="AG53"/>
      <c r="AH53"/>
      <c r="AI53"/>
    </row>
    <row r="54" spans="2:36" ht="15" customHeight="1">
      <c r="B54" s="899"/>
      <c r="C54" s="900">
        <v>9</v>
      </c>
      <c r="D54" s="928">
        <v>103.4</v>
      </c>
      <c r="E54" s="928">
        <v>117.4</v>
      </c>
      <c r="F54" s="928">
        <v>2.6</v>
      </c>
      <c r="G54" s="901">
        <v>-2.2999999999999998</v>
      </c>
      <c r="H54" s="919">
        <v>345055</v>
      </c>
      <c r="I54" s="901">
        <v>3.6</v>
      </c>
      <c r="J54" s="919">
        <v>3643.4</v>
      </c>
      <c r="K54" s="1170"/>
      <c r="AE54"/>
      <c r="AF54"/>
      <c r="AG54"/>
      <c r="AH54"/>
      <c r="AI54"/>
    </row>
    <row r="55" spans="2:36" ht="15" customHeight="1">
      <c r="B55" s="899"/>
      <c r="C55" s="900">
        <v>10</v>
      </c>
      <c r="D55" s="928">
        <v>103.8</v>
      </c>
      <c r="E55" s="928">
        <v>113.5</v>
      </c>
      <c r="F55" s="928">
        <v>2.6</v>
      </c>
      <c r="G55" s="927">
        <v>0.9</v>
      </c>
      <c r="H55" s="919">
        <v>332048</v>
      </c>
      <c r="I55" s="901">
        <v>3.7</v>
      </c>
      <c r="J55" s="919">
        <v>4108.6000000000004</v>
      </c>
      <c r="K55" s="1170"/>
      <c r="AE55"/>
      <c r="AF55"/>
      <c r="AG55"/>
      <c r="AH55"/>
      <c r="AI55"/>
    </row>
    <row r="56" spans="2:36" ht="15" customHeight="1">
      <c r="B56" s="899"/>
      <c r="C56" s="900">
        <v>11</v>
      </c>
      <c r="D56" s="1141">
        <v>104.4</v>
      </c>
      <c r="E56" s="1141">
        <v>131.30000000000001</v>
      </c>
      <c r="F56" s="1141">
        <v>2.6</v>
      </c>
      <c r="G56" s="927">
        <v>0.2</v>
      </c>
      <c r="H56" s="939">
        <v>380334</v>
      </c>
      <c r="I56" s="1292">
        <v>3.8</v>
      </c>
      <c r="J56" s="982">
        <v>3460.8</v>
      </c>
      <c r="K56" s="1170"/>
      <c r="AE56"/>
      <c r="AF56"/>
      <c r="AG56"/>
      <c r="AH56"/>
      <c r="AI56"/>
    </row>
    <row r="57" spans="2:36" ht="13.5" hidden="1" customHeight="1">
      <c r="B57" s="899"/>
      <c r="C57" s="900">
        <v>12</v>
      </c>
      <c r="D57" s="982"/>
      <c r="E57" s="982"/>
      <c r="F57" s="982"/>
      <c r="G57" s="1243"/>
      <c r="H57" s="939"/>
      <c r="I57" s="1292"/>
      <c r="J57" s="982"/>
      <c r="K57" s="1170"/>
      <c r="AE57"/>
      <c r="AF57"/>
      <c r="AG57"/>
      <c r="AH57"/>
      <c r="AI57"/>
    </row>
    <row r="58" spans="2:36" ht="13.5" hidden="1" customHeight="1">
      <c r="B58" s="1085"/>
      <c r="C58" s="1085"/>
      <c r="D58" s="1181"/>
      <c r="E58" s="1087"/>
      <c r="F58" s="1139"/>
      <c r="G58" s="1087"/>
      <c r="H58" s="1088"/>
      <c r="I58" s="1087"/>
      <c r="J58" s="1236"/>
      <c r="K58" s="1170"/>
      <c r="AE58"/>
      <c r="AF58"/>
      <c r="AG58"/>
      <c r="AH58"/>
      <c r="AI58"/>
    </row>
    <row r="59" spans="2:36" ht="6.75" customHeight="1">
      <c r="B59" s="1085"/>
      <c r="C59" s="1085"/>
      <c r="D59" s="1086"/>
      <c r="E59" s="1087"/>
      <c r="F59" s="1087"/>
      <c r="G59" s="1087"/>
      <c r="H59" s="1088"/>
      <c r="I59" s="1087"/>
      <c r="J59" s="1237"/>
      <c r="K59" s="1170"/>
      <c r="AE59"/>
      <c r="AF59"/>
      <c r="AG59"/>
      <c r="AH59"/>
      <c r="AI59"/>
    </row>
    <row r="60" spans="2:36">
      <c r="B60" s="445" t="s">
        <v>63</v>
      </c>
      <c r="C60" s="441" t="s">
        <v>584</v>
      </c>
      <c r="D60" s="254" t="s">
        <v>770</v>
      </c>
      <c r="E60" s="451"/>
      <c r="F60" s="451"/>
      <c r="G60" s="451"/>
      <c r="H60" s="452"/>
      <c r="I60" s="452"/>
      <c r="J60" s="1238"/>
      <c r="K60" s="1170"/>
    </row>
    <row r="61" spans="2:36" ht="13.5" customHeight="1">
      <c r="B61" s="249" t="s">
        <v>64</v>
      </c>
      <c r="C61" s="441" t="s">
        <v>557</v>
      </c>
      <c r="D61" s="1486" t="s">
        <v>772</v>
      </c>
      <c r="E61" s="1486"/>
      <c r="F61" s="1486"/>
      <c r="G61" s="1486"/>
      <c r="H61" s="1486"/>
      <c r="I61" s="1486"/>
      <c r="J61" s="1486"/>
      <c r="K61" s="1247"/>
    </row>
    <row r="62" spans="2:36" ht="12" hidden="1" customHeight="1">
      <c r="B62" s="249"/>
      <c r="C62" s="441" t="s">
        <v>558</v>
      </c>
      <c r="K62" s="1170"/>
    </row>
    <row r="63" spans="2:36" ht="12" hidden="1" customHeight="1">
      <c r="B63" s="249"/>
      <c r="C63" s="441" t="s">
        <v>559</v>
      </c>
      <c r="K63" s="1170"/>
    </row>
    <row r="64" spans="2:36" ht="12" customHeight="1">
      <c r="B64" s="249" t="s">
        <v>546</v>
      </c>
      <c r="C64" s="1177" t="s">
        <v>781</v>
      </c>
      <c r="D64" s="254" t="s">
        <v>780</v>
      </c>
      <c r="H64" s="253"/>
      <c r="I64" s="252"/>
      <c r="K64" s="252"/>
      <c r="L64" s="252"/>
      <c r="AE64"/>
      <c r="AF64"/>
      <c r="AG64"/>
      <c r="AH64"/>
      <c r="AI64"/>
      <c r="AJ64"/>
    </row>
    <row r="65" spans="2:11">
      <c r="B65" s="249"/>
      <c r="C65" s="1282"/>
      <c r="D65" s="1178"/>
      <c r="E65" s="256"/>
      <c r="F65" s="256"/>
      <c r="G65" s="256"/>
      <c r="H65" s="256"/>
      <c r="I65" s="257"/>
      <c r="J65" s="1239"/>
      <c r="K65" s="1170"/>
    </row>
    <row r="66" spans="2:11" ht="6.75" customHeight="1">
      <c r="B66" s="249"/>
      <c r="C66" s="1179"/>
      <c r="D66" s="1178"/>
      <c r="E66" s="256"/>
      <c r="F66" s="256"/>
      <c r="G66" s="256"/>
      <c r="H66" s="256"/>
      <c r="I66" s="257"/>
      <c r="J66" s="1239"/>
      <c r="K66" s="1170"/>
    </row>
    <row r="67" spans="2:11">
      <c r="B67" s="249"/>
      <c r="C67" s="262"/>
      <c r="D67" s="1138"/>
      <c r="E67" s="256"/>
      <c r="F67" s="256"/>
      <c r="G67" s="256"/>
      <c r="H67" s="256"/>
      <c r="I67" s="257"/>
      <c r="J67" s="1239"/>
    </row>
    <row r="68" spans="2:11">
      <c r="B68" s="259"/>
      <c r="C68" s="262"/>
      <c r="D68" s="255"/>
      <c r="E68" s="256"/>
      <c r="F68" s="256"/>
      <c r="G68" s="256"/>
      <c r="H68" s="256"/>
      <c r="I68" s="257"/>
      <c r="J68" s="1239"/>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17:B21">
    <cfRule type="expression" dxfId="161" priority="1" stopIfTrue="1">
      <formula>$C22=#REF!</formula>
    </cfRule>
  </conditionalFormatting>
  <conditionalFormatting sqref="B29:B33">
    <cfRule type="expression" dxfId="160" priority="3" stopIfTrue="1">
      <formula>$C34=#REF!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U48"/>
  <sheetViews>
    <sheetView view="pageBreakPreview" zoomScale="80" zoomScaleNormal="100" zoomScaleSheetLayoutView="80" workbookViewId="0">
      <pane xSplit="20" ySplit="4" topLeftCell="U5" activePane="bottomRight" state="frozen"/>
      <selection activeCell="Q9" sqref="Q9"/>
      <selection pane="topRight" activeCell="Q9" sqref="Q9"/>
      <selection pane="bottomLeft" activeCell="Q9" sqref="Q9"/>
      <selection pane="bottomRight" activeCell="Q9" sqref="Q9"/>
    </sheetView>
  </sheetViews>
  <sheetFormatPr defaultColWidth="8" defaultRowHeight="17.25"/>
  <cols>
    <col min="1" max="1" width="5.875" style="435" customWidth="1"/>
    <col min="2" max="2" width="7.375" style="213" customWidth="1"/>
    <col min="3" max="3" width="7.375" style="263" customWidth="1"/>
    <col min="4" max="7" width="7.375" style="211" customWidth="1"/>
    <col min="8" max="8" width="5.875" style="437" customWidth="1"/>
    <col min="9" max="19" width="8.5" style="211" hidden="1" customWidth="1"/>
    <col min="20" max="20" width="6.625" style="211" hidden="1" customWidth="1"/>
    <col min="21" max="29" width="8.125" style="211" hidden="1" customWidth="1"/>
    <col min="30" max="43" width="8.125" style="211" customWidth="1"/>
    <col min="44" max="44" width="8.125" style="211" hidden="1" customWidth="1"/>
    <col min="45" max="45" width="3.75" style="211" hidden="1" customWidth="1"/>
    <col min="46" max="46" width="2.375" hidden="1" customWidth="1"/>
    <col min="47" max="47" width="1.25" customWidth="1"/>
    <col min="48" max="16384" width="8" style="211"/>
  </cols>
  <sheetData>
    <row r="1" spans="1:47" s="270" customFormat="1" ht="39.950000000000003" customHeight="1">
      <c r="A1" s="703" t="str">
        <f>"８．（参考）ＤＩ変化方向表（令和６年１０月～令和７年"&amp;DBCS(初期登録!$D$10)&amp;"月）"</f>
        <v>８．（参考）ＤＩ変化方向表（令和６年１０月～令和７年１１月）</v>
      </c>
      <c r="C1" s="296"/>
      <c r="H1" s="737"/>
      <c r="AT1"/>
      <c r="AU1"/>
    </row>
    <row r="2" spans="1:47" ht="15" customHeight="1" thickBot="1">
      <c r="U2" s="1054"/>
      <c r="V2" s="1054"/>
      <c r="W2" s="1054"/>
      <c r="X2" s="1054"/>
      <c r="Y2" s="1054"/>
      <c r="Z2" s="1054"/>
      <c r="AA2" s="1054"/>
      <c r="AB2" s="1054"/>
      <c r="AC2" s="1054"/>
      <c r="AD2" s="1054"/>
      <c r="AE2" s="1054"/>
      <c r="AF2" s="1054"/>
      <c r="AG2" s="1054"/>
      <c r="AH2" s="1054"/>
    </row>
    <row r="3" spans="1:47" s="375" customFormat="1" ht="24.95" customHeight="1">
      <c r="A3" s="613"/>
      <c r="B3" s="1535" t="s">
        <v>219</v>
      </c>
      <c r="C3" s="1516" t="s">
        <v>220</v>
      </c>
      <c r="D3" s="1517"/>
      <c r="E3" s="1517"/>
      <c r="F3" s="1517"/>
      <c r="G3" s="1518"/>
      <c r="H3" s="1514" t="s">
        <v>305</v>
      </c>
      <c r="I3" s="1522" t="s">
        <v>689</v>
      </c>
      <c r="J3" s="1522"/>
      <c r="K3" s="1522"/>
      <c r="L3" s="1522"/>
      <c r="M3" s="1522"/>
      <c r="N3" s="1522"/>
      <c r="O3" s="1522"/>
      <c r="P3" s="1522"/>
      <c r="Q3" s="1522"/>
      <c r="R3" s="1522"/>
      <c r="S3" s="1522"/>
      <c r="T3" s="1522"/>
      <c r="U3" s="1094" t="s">
        <v>717</v>
      </c>
      <c r="V3" s="1093"/>
      <c r="W3" s="1093"/>
      <c r="X3" s="1093"/>
      <c r="Y3" s="1093"/>
      <c r="Z3" s="1093"/>
      <c r="AA3" s="1093"/>
      <c r="AB3" s="1093" t="s">
        <v>717</v>
      </c>
      <c r="AD3" s="1093" t="s">
        <v>717</v>
      </c>
      <c r="AE3" s="1093"/>
      <c r="AF3" s="1092"/>
      <c r="AG3" s="1094" t="s">
        <v>816</v>
      </c>
      <c r="AH3" s="1092"/>
      <c r="AI3" s="1093"/>
      <c r="AJ3" s="1093"/>
      <c r="AK3" s="1093"/>
      <c r="AL3" s="1093"/>
      <c r="AM3" s="1093"/>
      <c r="AN3" s="1093"/>
      <c r="AO3" s="1093"/>
      <c r="AP3" s="1093"/>
      <c r="AQ3" s="1300"/>
      <c r="AR3" s="1224"/>
      <c r="AS3" s="1323"/>
      <c r="AT3"/>
      <c r="AU3" s="1337"/>
    </row>
    <row r="4" spans="1:47" s="375" customFormat="1" ht="24.95" customHeight="1">
      <c r="A4" s="882"/>
      <c r="B4" s="1536"/>
      <c r="C4" s="1519"/>
      <c r="D4" s="1520"/>
      <c r="E4" s="1520"/>
      <c r="F4" s="1520"/>
      <c r="G4" s="1521"/>
      <c r="H4" s="1515"/>
      <c r="I4" s="1053" t="s">
        <v>211</v>
      </c>
      <c r="J4" s="734" t="s">
        <v>213</v>
      </c>
      <c r="K4" s="735" t="s">
        <v>214</v>
      </c>
      <c r="L4" s="736" t="s">
        <v>215</v>
      </c>
      <c r="M4" s="736" t="s">
        <v>216</v>
      </c>
      <c r="N4" s="736" t="s">
        <v>217</v>
      </c>
      <c r="O4" s="736" t="s">
        <v>218</v>
      </c>
      <c r="P4" s="736" t="s">
        <v>18</v>
      </c>
      <c r="Q4" s="736" t="s">
        <v>19</v>
      </c>
      <c r="R4" s="736">
        <v>10</v>
      </c>
      <c r="S4" s="736">
        <v>11</v>
      </c>
      <c r="T4" s="797">
        <v>12</v>
      </c>
      <c r="U4" s="1025" t="s">
        <v>211</v>
      </c>
      <c r="V4" s="1036" t="s">
        <v>213</v>
      </c>
      <c r="W4" s="735" t="s">
        <v>214</v>
      </c>
      <c r="X4" s="735" t="s">
        <v>215</v>
      </c>
      <c r="Y4" s="734" t="s">
        <v>216</v>
      </c>
      <c r="Z4" s="1015" t="s">
        <v>217</v>
      </c>
      <c r="AA4" s="735" t="s">
        <v>218</v>
      </c>
      <c r="AB4" s="1051" t="s">
        <v>18</v>
      </c>
      <c r="AC4" s="735" t="s">
        <v>19</v>
      </c>
      <c r="AD4" s="734">
        <v>10</v>
      </c>
      <c r="AE4" s="1015">
        <v>11</v>
      </c>
      <c r="AF4" s="1095">
        <v>12</v>
      </c>
      <c r="AG4" s="1062" t="s">
        <v>211</v>
      </c>
      <c r="AH4" s="734" t="s">
        <v>213</v>
      </c>
      <c r="AI4" s="735" t="s">
        <v>214</v>
      </c>
      <c r="AJ4" s="735" t="s">
        <v>215</v>
      </c>
      <c r="AK4" s="735" t="s">
        <v>216</v>
      </c>
      <c r="AL4" s="735" t="s">
        <v>217</v>
      </c>
      <c r="AM4" s="735" t="s">
        <v>218</v>
      </c>
      <c r="AN4" s="1051" t="s">
        <v>18</v>
      </c>
      <c r="AO4" s="735" t="s">
        <v>19</v>
      </c>
      <c r="AP4" s="735">
        <v>10</v>
      </c>
      <c r="AQ4" s="735">
        <v>11</v>
      </c>
      <c r="AR4" s="792">
        <v>12</v>
      </c>
      <c r="AS4" s="1323"/>
      <c r="AT4"/>
      <c r="AU4" s="1337"/>
    </row>
    <row r="5" spans="1:47" ht="45" customHeight="1">
      <c r="A5" s="1532" t="s">
        <v>221</v>
      </c>
      <c r="B5" s="726" t="s">
        <v>222</v>
      </c>
      <c r="C5" s="727" t="s">
        <v>211</v>
      </c>
      <c r="D5" s="1527" t="s">
        <v>223</v>
      </c>
      <c r="E5" s="1527"/>
      <c r="F5" s="1527"/>
      <c r="G5" s="1528"/>
      <c r="H5" s="1073" t="s">
        <v>225</v>
      </c>
      <c r="I5" s="1072" t="s">
        <v>835</v>
      </c>
      <c r="J5" s="711" t="s">
        <v>835</v>
      </c>
      <c r="K5" s="711" t="s">
        <v>834</v>
      </c>
      <c r="L5" s="712" t="s">
        <v>835</v>
      </c>
      <c r="M5" s="712" t="s">
        <v>835</v>
      </c>
      <c r="N5" s="712" t="s">
        <v>834</v>
      </c>
      <c r="O5" s="712" t="s">
        <v>835</v>
      </c>
      <c r="P5" s="712" t="s">
        <v>835</v>
      </c>
      <c r="Q5" s="712" t="s">
        <v>835</v>
      </c>
      <c r="R5" s="712" t="s">
        <v>835</v>
      </c>
      <c r="S5" s="712" t="s">
        <v>835</v>
      </c>
      <c r="T5" s="800" t="s">
        <v>835</v>
      </c>
      <c r="U5" s="1026" t="s">
        <v>835</v>
      </c>
      <c r="V5" s="971" t="s">
        <v>835</v>
      </c>
      <c r="W5" s="971" t="s">
        <v>834</v>
      </c>
      <c r="X5" s="971" t="s">
        <v>835</v>
      </c>
      <c r="Y5" s="712" t="s">
        <v>835</v>
      </c>
      <c r="Z5" s="1016" t="s">
        <v>834</v>
      </c>
      <c r="AA5" s="971" t="s">
        <v>835</v>
      </c>
      <c r="AB5" s="971" t="s">
        <v>835</v>
      </c>
      <c r="AC5" s="971" t="s">
        <v>835</v>
      </c>
      <c r="AD5" s="712" t="s">
        <v>835</v>
      </c>
      <c r="AE5" s="1016" t="s">
        <v>835</v>
      </c>
      <c r="AF5" s="800" t="s">
        <v>835</v>
      </c>
      <c r="AG5" s="710" t="s">
        <v>835</v>
      </c>
      <c r="AH5" s="712" t="s">
        <v>834</v>
      </c>
      <c r="AI5" s="971" t="s">
        <v>835</v>
      </c>
      <c r="AJ5" s="971" t="s">
        <v>834</v>
      </c>
      <c r="AK5" s="971" t="s">
        <v>834</v>
      </c>
      <c r="AL5" s="971" t="s">
        <v>835</v>
      </c>
      <c r="AM5" s="971" t="s">
        <v>835</v>
      </c>
      <c r="AN5" s="971" t="s">
        <v>835</v>
      </c>
      <c r="AO5" s="971" t="s">
        <v>835</v>
      </c>
      <c r="AP5" s="971" t="s">
        <v>835</v>
      </c>
      <c r="AQ5" s="971" t="s">
        <v>835</v>
      </c>
      <c r="AR5" s="771" t="s">
        <v>835</v>
      </c>
      <c r="AS5" s="1324"/>
      <c r="AU5" s="1337"/>
    </row>
    <row r="6" spans="1:47" ht="45" customHeight="1">
      <c r="A6" s="1533"/>
      <c r="B6" s="1551" t="s">
        <v>571</v>
      </c>
      <c r="C6" s="728" t="s">
        <v>213</v>
      </c>
      <c r="D6" s="1529" t="s">
        <v>572</v>
      </c>
      <c r="E6" s="1530"/>
      <c r="F6" s="1530"/>
      <c r="G6" s="1531"/>
      <c r="H6" s="1071" t="s">
        <v>225</v>
      </c>
      <c r="I6" s="1066" t="s">
        <v>834</v>
      </c>
      <c r="J6" s="705" t="s">
        <v>835</v>
      </c>
      <c r="K6" s="705" t="s">
        <v>835</v>
      </c>
      <c r="L6" s="706" t="s">
        <v>835</v>
      </c>
      <c r="M6" s="706" t="s">
        <v>834</v>
      </c>
      <c r="N6" s="706" t="s">
        <v>835</v>
      </c>
      <c r="O6" s="706" t="s">
        <v>834</v>
      </c>
      <c r="P6" s="706" t="s">
        <v>835</v>
      </c>
      <c r="Q6" s="706" t="s">
        <v>834</v>
      </c>
      <c r="R6" s="706" t="s">
        <v>835</v>
      </c>
      <c r="S6" s="706" t="s">
        <v>835</v>
      </c>
      <c r="T6" s="798" t="s">
        <v>835</v>
      </c>
      <c r="U6" s="1027" t="s">
        <v>834</v>
      </c>
      <c r="V6" s="972" t="s">
        <v>835</v>
      </c>
      <c r="W6" s="972" t="s">
        <v>835</v>
      </c>
      <c r="X6" s="972" t="s">
        <v>835</v>
      </c>
      <c r="Y6" s="706" t="s">
        <v>834</v>
      </c>
      <c r="Z6" s="1017" t="s">
        <v>835</v>
      </c>
      <c r="AA6" s="972" t="s">
        <v>834</v>
      </c>
      <c r="AB6" s="972" t="s">
        <v>835</v>
      </c>
      <c r="AC6" s="972" t="s">
        <v>834</v>
      </c>
      <c r="AD6" s="706" t="s">
        <v>835</v>
      </c>
      <c r="AE6" s="1017" t="s">
        <v>835</v>
      </c>
      <c r="AF6" s="798" t="s">
        <v>835</v>
      </c>
      <c r="AG6" s="704" t="s">
        <v>834</v>
      </c>
      <c r="AH6" s="706" t="s">
        <v>834</v>
      </c>
      <c r="AI6" s="972" t="s">
        <v>835</v>
      </c>
      <c r="AJ6" s="972" t="s">
        <v>834</v>
      </c>
      <c r="AK6" s="972" t="s">
        <v>834</v>
      </c>
      <c r="AL6" s="972" t="s">
        <v>834</v>
      </c>
      <c r="AM6" s="972" t="s">
        <v>834</v>
      </c>
      <c r="AN6" s="972" t="s">
        <v>834</v>
      </c>
      <c r="AO6" s="972" t="s">
        <v>834</v>
      </c>
      <c r="AP6" s="972" t="s">
        <v>834</v>
      </c>
      <c r="AQ6" s="972" t="s">
        <v>835</v>
      </c>
      <c r="AR6" s="780" t="s">
        <v>835</v>
      </c>
      <c r="AS6" s="1324"/>
      <c r="AU6" s="1337"/>
    </row>
    <row r="7" spans="1:47" ht="45" customHeight="1">
      <c r="A7" s="1533"/>
      <c r="B7" s="1552"/>
      <c r="C7" s="729" t="s">
        <v>214</v>
      </c>
      <c r="D7" s="1537" t="s">
        <v>479</v>
      </c>
      <c r="E7" s="1538"/>
      <c r="F7" s="1538"/>
      <c r="G7" s="1539"/>
      <c r="H7" s="1068" t="s">
        <v>225</v>
      </c>
      <c r="I7" s="1065" t="s">
        <v>835</v>
      </c>
      <c r="J7" s="708" t="s">
        <v>835</v>
      </c>
      <c r="K7" s="708" t="s">
        <v>834</v>
      </c>
      <c r="L7" s="709" t="s">
        <v>834</v>
      </c>
      <c r="M7" s="709" t="s">
        <v>834</v>
      </c>
      <c r="N7" s="709" t="s">
        <v>834</v>
      </c>
      <c r="O7" s="709" t="s">
        <v>834</v>
      </c>
      <c r="P7" s="709" t="s">
        <v>835</v>
      </c>
      <c r="Q7" s="709" t="s">
        <v>834</v>
      </c>
      <c r="R7" s="709" t="s">
        <v>834</v>
      </c>
      <c r="S7" s="709" t="s">
        <v>834</v>
      </c>
      <c r="T7" s="799" t="s">
        <v>834</v>
      </c>
      <c r="U7" s="1028" t="s">
        <v>835</v>
      </c>
      <c r="V7" s="973" t="s">
        <v>835</v>
      </c>
      <c r="W7" s="973" t="s">
        <v>834</v>
      </c>
      <c r="X7" s="973" t="s">
        <v>834</v>
      </c>
      <c r="Y7" s="709" t="s">
        <v>834</v>
      </c>
      <c r="Z7" s="1018" t="s">
        <v>834</v>
      </c>
      <c r="AA7" s="973" t="s">
        <v>834</v>
      </c>
      <c r="AB7" s="973" t="s">
        <v>835</v>
      </c>
      <c r="AC7" s="973" t="s">
        <v>834</v>
      </c>
      <c r="AD7" s="709" t="s">
        <v>834</v>
      </c>
      <c r="AE7" s="1018" t="s">
        <v>834</v>
      </c>
      <c r="AF7" s="799" t="s">
        <v>834</v>
      </c>
      <c r="AG7" s="707" t="s">
        <v>834</v>
      </c>
      <c r="AH7" s="709" t="s">
        <v>834</v>
      </c>
      <c r="AI7" s="973" t="s">
        <v>834</v>
      </c>
      <c r="AJ7" s="973" t="s">
        <v>835</v>
      </c>
      <c r="AK7" s="973" t="s">
        <v>835</v>
      </c>
      <c r="AL7" s="973" t="s">
        <v>834</v>
      </c>
      <c r="AM7" s="973" t="s">
        <v>836</v>
      </c>
      <c r="AN7" s="973" t="s">
        <v>834</v>
      </c>
      <c r="AO7" s="973" t="s">
        <v>834</v>
      </c>
      <c r="AP7" s="973" t="s">
        <v>834</v>
      </c>
      <c r="AQ7" s="973" t="s">
        <v>835</v>
      </c>
      <c r="AR7" s="770" t="s">
        <v>835</v>
      </c>
      <c r="AS7" s="1324"/>
      <c r="AU7" s="1337"/>
    </row>
    <row r="8" spans="1:47" ht="45" customHeight="1">
      <c r="A8" s="1533"/>
      <c r="B8" s="730" t="s">
        <v>15</v>
      </c>
      <c r="C8" s="731" t="s">
        <v>215</v>
      </c>
      <c r="D8" s="1542" t="s">
        <v>226</v>
      </c>
      <c r="E8" s="1542"/>
      <c r="F8" s="1542"/>
      <c r="G8" s="1543"/>
      <c r="H8" s="1074" t="s">
        <v>225</v>
      </c>
      <c r="I8" s="1072" t="s">
        <v>835</v>
      </c>
      <c r="J8" s="711" t="s">
        <v>835</v>
      </c>
      <c r="K8" s="711" t="s">
        <v>835</v>
      </c>
      <c r="L8" s="712" t="s">
        <v>835</v>
      </c>
      <c r="M8" s="712" t="s">
        <v>835</v>
      </c>
      <c r="N8" s="712" t="s">
        <v>834</v>
      </c>
      <c r="O8" s="712" t="s">
        <v>834</v>
      </c>
      <c r="P8" s="712" t="s">
        <v>834</v>
      </c>
      <c r="Q8" s="712" t="s">
        <v>834</v>
      </c>
      <c r="R8" s="712" t="s">
        <v>834</v>
      </c>
      <c r="S8" s="712" t="s">
        <v>835</v>
      </c>
      <c r="T8" s="800" t="s">
        <v>835</v>
      </c>
      <c r="U8" s="1026" t="s">
        <v>835</v>
      </c>
      <c r="V8" s="971" t="s">
        <v>835</v>
      </c>
      <c r="W8" s="971" t="s">
        <v>835</v>
      </c>
      <c r="X8" s="971" t="s">
        <v>835</v>
      </c>
      <c r="Y8" s="712" t="s">
        <v>835</v>
      </c>
      <c r="Z8" s="1016" t="s">
        <v>834</v>
      </c>
      <c r="AA8" s="971" t="s">
        <v>834</v>
      </c>
      <c r="AB8" s="971" t="s">
        <v>834</v>
      </c>
      <c r="AC8" s="971" t="s">
        <v>834</v>
      </c>
      <c r="AD8" s="712" t="s">
        <v>834</v>
      </c>
      <c r="AE8" s="1016" t="s">
        <v>835</v>
      </c>
      <c r="AF8" s="800" t="s">
        <v>835</v>
      </c>
      <c r="AG8" s="710" t="s">
        <v>835</v>
      </c>
      <c r="AH8" s="712" t="s">
        <v>835</v>
      </c>
      <c r="AI8" s="971" t="s">
        <v>835</v>
      </c>
      <c r="AJ8" s="971" t="s">
        <v>834</v>
      </c>
      <c r="AK8" s="971" t="s">
        <v>834</v>
      </c>
      <c r="AL8" s="971" t="s">
        <v>834</v>
      </c>
      <c r="AM8" s="971" t="s">
        <v>834</v>
      </c>
      <c r="AN8" s="971" t="s">
        <v>835</v>
      </c>
      <c r="AO8" s="971" t="s">
        <v>835</v>
      </c>
      <c r="AP8" s="971" t="s">
        <v>835</v>
      </c>
      <c r="AQ8" s="971" t="s">
        <v>835</v>
      </c>
      <c r="AR8" s="771" t="s">
        <v>835</v>
      </c>
      <c r="AS8" s="1324"/>
      <c r="AU8" s="1337"/>
    </row>
    <row r="9" spans="1:47" ht="45" customHeight="1">
      <c r="A9" s="1533"/>
      <c r="B9" s="730" t="s">
        <v>227</v>
      </c>
      <c r="C9" s="732" t="s">
        <v>216</v>
      </c>
      <c r="D9" s="1546" t="s">
        <v>228</v>
      </c>
      <c r="E9" s="1547"/>
      <c r="F9" s="1547"/>
      <c r="G9" s="1548"/>
      <c r="H9" s="1075" t="s">
        <v>225</v>
      </c>
      <c r="I9" s="1072" t="s">
        <v>835</v>
      </c>
      <c r="J9" s="711" t="s">
        <v>835</v>
      </c>
      <c r="K9" s="711" t="s">
        <v>834</v>
      </c>
      <c r="L9" s="712" t="s">
        <v>834</v>
      </c>
      <c r="M9" s="712" t="s">
        <v>835</v>
      </c>
      <c r="N9" s="712" t="s">
        <v>835</v>
      </c>
      <c r="O9" s="712" t="s">
        <v>834</v>
      </c>
      <c r="P9" s="712" t="s">
        <v>834</v>
      </c>
      <c r="Q9" s="712" t="s">
        <v>835</v>
      </c>
      <c r="R9" s="712" t="s">
        <v>834</v>
      </c>
      <c r="S9" s="712" t="s">
        <v>834</v>
      </c>
      <c r="T9" s="800" t="s">
        <v>834</v>
      </c>
      <c r="U9" s="1026" t="s">
        <v>835</v>
      </c>
      <c r="V9" s="971" t="s">
        <v>835</v>
      </c>
      <c r="W9" s="971" t="s">
        <v>834</v>
      </c>
      <c r="X9" s="971" t="s">
        <v>834</v>
      </c>
      <c r="Y9" s="712" t="s">
        <v>835</v>
      </c>
      <c r="Z9" s="1016" t="s">
        <v>835</v>
      </c>
      <c r="AA9" s="971" t="s">
        <v>834</v>
      </c>
      <c r="AB9" s="971" t="s">
        <v>834</v>
      </c>
      <c r="AC9" s="971" t="s">
        <v>835</v>
      </c>
      <c r="AD9" s="712" t="s">
        <v>834</v>
      </c>
      <c r="AE9" s="1016" t="s">
        <v>834</v>
      </c>
      <c r="AF9" s="800" t="s">
        <v>834</v>
      </c>
      <c r="AG9" s="710" t="s">
        <v>835</v>
      </c>
      <c r="AH9" s="712" t="s">
        <v>834</v>
      </c>
      <c r="AI9" s="971" t="s">
        <v>834</v>
      </c>
      <c r="AJ9" s="971" t="s">
        <v>834</v>
      </c>
      <c r="AK9" s="971" t="s">
        <v>835</v>
      </c>
      <c r="AL9" s="971" t="s">
        <v>835</v>
      </c>
      <c r="AM9" s="971" t="s">
        <v>835</v>
      </c>
      <c r="AN9" s="971" t="s">
        <v>835</v>
      </c>
      <c r="AO9" s="971" t="s">
        <v>835</v>
      </c>
      <c r="AP9" s="971" t="s">
        <v>834</v>
      </c>
      <c r="AQ9" s="971" t="s">
        <v>834</v>
      </c>
      <c r="AR9" s="771" t="s">
        <v>835</v>
      </c>
      <c r="AS9" s="1324"/>
      <c r="AU9" s="1337"/>
    </row>
    <row r="10" spans="1:47" ht="45" customHeight="1">
      <c r="A10" s="1533"/>
      <c r="B10" s="1540" t="s">
        <v>229</v>
      </c>
      <c r="C10" s="728" t="s">
        <v>217</v>
      </c>
      <c r="D10" s="1549" t="s">
        <v>464</v>
      </c>
      <c r="E10" s="1550"/>
      <c r="F10" s="1550"/>
      <c r="G10" s="1550"/>
      <c r="H10" s="1069" t="s">
        <v>469</v>
      </c>
      <c r="I10" s="1066" t="s">
        <v>834</v>
      </c>
      <c r="J10" s="705" t="s">
        <v>835</v>
      </c>
      <c r="K10" s="705" t="s">
        <v>834</v>
      </c>
      <c r="L10" s="706" t="s">
        <v>834</v>
      </c>
      <c r="M10" s="706" t="s">
        <v>835</v>
      </c>
      <c r="N10" s="706" t="s">
        <v>835</v>
      </c>
      <c r="O10" s="706" t="s">
        <v>836</v>
      </c>
      <c r="P10" s="706" t="s">
        <v>835</v>
      </c>
      <c r="Q10" s="706" t="s">
        <v>835</v>
      </c>
      <c r="R10" s="706" t="s">
        <v>834</v>
      </c>
      <c r="S10" s="706" t="s">
        <v>835</v>
      </c>
      <c r="T10" s="798" t="s">
        <v>834</v>
      </c>
      <c r="U10" s="1027" t="s">
        <v>834</v>
      </c>
      <c r="V10" s="972" t="s">
        <v>835</v>
      </c>
      <c r="W10" s="972" t="s">
        <v>834</v>
      </c>
      <c r="X10" s="972" t="s">
        <v>834</v>
      </c>
      <c r="Y10" s="706" t="s">
        <v>835</v>
      </c>
      <c r="Z10" s="1017" t="s">
        <v>835</v>
      </c>
      <c r="AA10" s="972" t="s">
        <v>836</v>
      </c>
      <c r="AB10" s="972" t="s">
        <v>835</v>
      </c>
      <c r="AC10" s="972" t="s">
        <v>835</v>
      </c>
      <c r="AD10" s="706" t="s">
        <v>834</v>
      </c>
      <c r="AE10" s="1017" t="s">
        <v>835</v>
      </c>
      <c r="AF10" s="798" t="s">
        <v>834</v>
      </c>
      <c r="AG10" s="704" t="s">
        <v>834</v>
      </c>
      <c r="AH10" s="706" t="s">
        <v>835</v>
      </c>
      <c r="AI10" s="972" t="s">
        <v>836</v>
      </c>
      <c r="AJ10" s="972" t="s">
        <v>834</v>
      </c>
      <c r="AK10" s="972" t="s">
        <v>835</v>
      </c>
      <c r="AL10" s="972" t="s">
        <v>835</v>
      </c>
      <c r="AM10" s="972" t="s">
        <v>834</v>
      </c>
      <c r="AN10" s="972" t="s">
        <v>834</v>
      </c>
      <c r="AO10" s="972" t="s">
        <v>834</v>
      </c>
      <c r="AP10" s="972" t="s">
        <v>834</v>
      </c>
      <c r="AQ10" s="972" t="s">
        <v>834</v>
      </c>
      <c r="AR10" s="780" t="s">
        <v>835</v>
      </c>
      <c r="AS10" s="1324"/>
      <c r="AU10" s="1337"/>
    </row>
    <row r="11" spans="1:47" ht="45" customHeight="1">
      <c r="A11" s="1533"/>
      <c r="B11" s="1541"/>
      <c r="C11" s="729" t="s">
        <v>218</v>
      </c>
      <c r="D11" s="733" t="s">
        <v>230</v>
      </c>
      <c r="E11" s="817"/>
      <c r="F11" s="818"/>
      <c r="G11" s="733"/>
      <c r="H11" s="1160" t="s">
        <v>736</v>
      </c>
      <c r="I11" s="1065" t="s">
        <v>835</v>
      </c>
      <c r="J11" s="708" t="s">
        <v>835</v>
      </c>
      <c r="K11" s="708" t="s">
        <v>835</v>
      </c>
      <c r="L11" s="709" t="s">
        <v>835</v>
      </c>
      <c r="M11" s="709" t="s">
        <v>835</v>
      </c>
      <c r="N11" s="709" t="s">
        <v>835</v>
      </c>
      <c r="O11" s="709" t="s">
        <v>835</v>
      </c>
      <c r="P11" s="709" t="s">
        <v>834</v>
      </c>
      <c r="Q11" s="709" t="s">
        <v>834</v>
      </c>
      <c r="R11" s="709" t="s">
        <v>834</v>
      </c>
      <c r="S11" s="709" t="s">
        <v>834</v>
      </c>
      <c r="T11" s="799" t="s">
        <v>834</v>
      </c>
      <c r="U11" s="1028" t="s">
        <v>835</v>
      </c>
      <c r="V11" s="709" t="s">
        <v>835</v>
      </c>
      <c r="W11" s="973" t="s">
        <v>835</v>
      </c>
      <c r="X11" s="973" t="s">
        <v>835</v>
      </c>
      <c r="Y11" s="709" t="s">
        <v>835</v>
      </c>
      <c r="Z11" s="709" t="s">
        <v>835</v>
      </c>
      <c r="AA11" s="973" t="s">
        <v>835</v>
      </c>
      <c r="AB11" s="973" t="s">
        <v>834</v>
      </c>
      <c r="AC11" s="973" t="s">
        <v>834</v>
      </c>
      <c r="AD11" s="709" t="s">
        <v>834</v>
      </c>
      <c r="AE11" s="1018" t="s">
        <v>834</v>
      </c>
      <c r="AF11" s="799" t="s">
        <v>834</v>
      </c>
      <c r="AG11" s="707" t="s">
        <v>834</v>
      </c>
      <c r="AH11" s="709" t="s">
        <v>834</v>
      </c>
      <c r="AI11" s="973" t="s">
        <v>834</v>
      </c>
      <c r="AJ11" s="973" t="s">
        <v>834</v>
      </c>
      <c r="AK11" s="973" t="s">
        <v>834</v>
      </c>
      <c r="AL11" s="973" t="s">
        <v>834</v>
      </c>
      <c r="AM11" s="973" t="s">
        <v>834</v>
      </c>
      <c r="AN11" s="973" t="s">
        <v>835</v>
      </c>
      <c r="AO11" s="973" t="s">
        <v>835</v>
      </c>
      <c r="AP11" s="973" t="s">
        <v>834</v>
      </c>
      <c r="AQ11" s="973" t="s">
        <v>834</v>
      </c>
      <c r="AR11" s="770" t="s">
        <v>835</v>
      </c>
      <c r="AS11" s="1324"/>
      <c r="AU11" s="1337"/>
    </row>
    <row r="12" spans="1:47" ht="33.950000000000003" customHeight="1">
      <c r="A12" s="1533"/>
      <c r="B12" s="1525" t="s">
        <v>231</v>
      </c>
      <c r="C12" s="1526"/>
      <c r="D12" s="1526"/>
      <c r="E12" s="1526"/>
      <c r="F12" s="1526"/>
      <c r="G12" s="1526"/>
      <c r="H12" s="1526"/>
      <c r="I12" s="833">
        <f t="shared" ref="I12:W12" si="0">COUNTIF(I5:I11,"＋")+COUNTIF(I5:I11,0)/2</f>
        <v>2</v>
      </c>
      <c r="J12" s="826">
        <f t="shared" si="0"/>
        <v>0</v>
      </c>
      <c r="K12" s="826">
        <f t="shared" si="0"/>
        <v>4</v>
      </c>
      <c r="L12" s="825">
        <f t="shared" si="0"/>
        <v>3</v>
      </c>
      <c r="M12" s="825">
        <f t="shared" si="0"/>
        <v>2</v>
      </c>
      <c r="N12" s="825">
        <f t="shared" si="0"/>
        <v>3</v>
      </c>
      <c r="O12" s="825">
        <f t="shared" si="0"/>
        <v>4.5</v>
      </c>
      <c r="P12" s="825">
        <f t="shared" si="0"/>
        <v>3</v>
      </c>
      <c r="Q12" s="825">
        <f t="shared" si="0"/>
        <v>4</v>
      </c>
      <c r="R12" s="825">
        <f t="shared" si="0"/>
        <v>5</v>
      </c>
      <c r="S12" s="825">
        <f t="shared" si="0"/>
        <v>3</v>
      </c>
      <c r="T12" s="827">
        <f t="shared" si="0"/>
        <v>4</v>
      </c>
      <c r="U12" s="1029">
        <f>COUNTIF(U5:U11,"＋")+COUNTIF(U5:U11,0)/2</f>
        <v>2</v>
      </c>
      <c r="V12" s="974">
        <f t="shared" si="0"/>
        <v>0</v>
      </c>
      <c r="W12" s="974">
        <f t="shared" si="0"/>
        <v>4</v>
      </c>
      <c r="X12" s="974">
        <f t="shared" ref="X12:AD12" si="1">COUNTIF(X5:X11,"＋")+COUNTIF(X5:X11,0)/2</f>
        <v>3</v>
      </c>
      <c r="Y12" s="825">
        <f t="shared" si="1"/>
        <v>2</v>
      </c>
      <c r="Z12" s="1099">
        <f t="shared" si="1"/>
        <v>3</v>
      </c>
      <c r="AA12" s="974">
        <f t="shared" si="1"/>
        <v>4.5</v>
      </c>
      <c r="AB12" s="974">
        <f t="shared" si="1"/>
        <v>3</v>
      </c>
      <c r="AC12" s="974">
        <f t="shared" si="1"/>
        <v>4</v>
      </c>
      <c r="AD12" s="825">
        <f t="shared" si="1"/>
        <v>5</v>
      </c>
      <c r="AE12" s="1019">
        <f>COUNTIF(AE5:AE11,"＋")+COUNTIF(AE5:AE11,0)/2</f>
        <v>3</v>
      </c>
      <c r="AF12" s="827">
        <f>COUNTIF(AF5:AF11,"＋")+COUNTIF(AF5:AF11,0)/2</f>
        <v>4</v>
      </c>
      <c r="AG12" s="833">
        <f>COUNTIF(AG5:AG11,"＋")+COUNTIF(AG5:AG11,0)/2</f>
        <v>4</v>
      </c>
      <c r="AH12" s="825">
        <f t="shared" ref="AH12:AP12" si="2">COUNTIF(AH5:AH11,"＋")+COUNTIF(AH5:AH11,0)/2</f>
        <v>5</v>
      </c>
      <c r="AI12" s="974">
        <f t="shared" si="2"/>
        <v>3.5</v>
      </c>
      <c r="AJ12" s="974">
        <f t="shared" si="2"/>
        <v>6</v>
      </c>
      <c r="AK12" s="974">
        <f t="shared" si="2"/>
        <v>4</v>
      </c>
      <c r="AL12" s="974">
        <f t="shared" si="2"/>
        <v>4</v>
      </c>
      <c r="AM12" s="974">
        <f t="shared" si="2"/>
        <v>4.5</v>
      </c>
      <c r="AN12" s="974">
        <f t="shared" si="2"/>
        <v>3</v>
      </c>
      <c r="AO12" s="974">
        <f t="shared" si="2"/>
        <v>3</v>
      </c>
      <c r="AP12" s="974">
        <f t="shared" si="2"/>
        <v>5</v>
      </c>
      <c r="AQ12" s="974">
        <f>COUNTIF(AQ5:AQ11,"＋")+COUNTIF(AQ5:AQ11,0)/2</f>
        <v>3</v>
      </c>
      <c r="AR12" s="772">
        <f>COUNTIF(AR5:AR11,"＋")+COUNTIF(AR5:AR11,0)/2</f>
        <v>0</v>
      </c>
      <c r="AS12" s="1325"/>
      <c r="AU12" s="1337"/>
    </row>
    <row r="13" spans="1:47" ht="33.950000000000003" customHeight="1">
      <c r="A13" s="1533"/>
      <c r="B13" s="1523" t="s">
        <v>232</v>
      </c>
      <c r="C13" s="1524"/>
      <c r="D13" s="1524"/>
      <c r="E13" s="1524"/>
      <c r="F13" s="1524"/>
      <c r="G13" s="1524"/>
      <c r="H13" s="1524"/>
      <c r="I13" s="707">
        <f t="shared" ref="I13:AD13" si="3">7-COUNTIF(I5:I11,"")</f>
        <v>7</v>
      </c>
      <c r="J13" s="708">
        <f t="shared" si="3"/>
        <v>7</v>
      </c>
      <c r="K13" s="708">
        <f t="shared" si="3"/>
        <v>7</v>
      </c>
      <c r="L13" s="709">
        <f t="shared" si="3"/>
        <v>7</v>
      </c>
      <c r="M13" s="709">
        <f t="shared" si="3"/>
        <v>7</v>
      </c>
      <c r="N13" s="709">
        <f t="shared" si="3"/>
        <v>7</v>
      </c>
      <c r="O13" s="709">
        <f t="shared" si="3"/>
        <v>7</v>
      </c>
      <c r="P13" s="709">
        <f t="shared" si="3"/>
        <v>7</v>
      </c>
      <c r="Q13" s="709">
        <f t="shared" si="3"/>
        <v>7</v>
      </c>
      <c r="R13" s="709">
        <f t="shared" si="3"/>
        <v>7</v>
      </c>
      <c r="S13" s="709">
        <f t="shared" si="3"/>
        <v>7</v>
      </c>
      <c r="T13" s="799">
        <f t="shared" si="3"/>
        <v>7</v>
      </c>
      <c r="U13" s="1028">
        <f>7-COUNTIF(U5:U11,"")</f>
        <v>7</v>
      </c>
      <c r="V13" s="973">
        <f t="shared" si="3"/>
        <v>7</v>
      </c>
      <c r="W13" s="973">
        <f t="shared" si="3"/>
        <v>7</v>
      </c>
      <c r="X13" s="973">
        <f t="shared" si="3"/>
        <v>7</v>
      </c>
      <c r="Y13" s="709">
        <f t="shared" si="3"/>
        <v>7</v>
      </c>
      <c r="Z13" s="709">
        <f t="shared" si="3"/>
        <v>7</v>
      </c>
      <c r="AA13" s="973">
        <f t="shared" si="3"/>
        <v>7</v>
      </c>
      <c r="AB13" s="973">
        <f t="shared" si="3"/>
        <v>7</v>
      </c>
      <c r="AC13" s="973">
        <f t="shared" si="3"/>
        <v>7</v>
      </c>
      <c r="AD13" s="709">
        <f t="shared" si="3"/>
        <v>7</v>
      </c>
      <c r="AE13" s="1018">
        <f>7-COUNTIF(AE5:AE11,"")</f>
        <v>7</v>
      </c>
      <c r="AF13" s="799">
        <f>7-COUNTIF(AF5:AF11,"")</f>
        <v>7</v>
      </c>
      <c r="AG13" s="707">
        <f>7-COUNTIF(AG5:AG11,"")</f>
        <v>7</v>
      </c>
      <c r="AH13" s="709">
        <f t="shared" ref="AH13:AP13" si="4">7-COUNTIF(AH5:AH11,"")</f>
        <v>7</v>
      </c>
      <c r="AI13" s="973">
        <f t="shared" si="4"/>
        <v>7</v>
      </c>
      <c r="AJ13" s="973">
        <f t="shared" si="4"/>
        <v>7</v>
      </c>
      <c r="AK13" s="973">
        <f t="shared" si="4"/>
        <v>7</v>
      </c>
      <c r="AL13" s="973">
        <f t="shared" si="4"/>
        <v>7</v>
      </c>
      <c r="AM13" s="973">
        <f t="shared" si="4"/>
        <v>7</v>
      </c>
      <c r="AN13" s="973">
        <f t="shared" si="4"/>
        <v>7</v>
      </c>
      <c r="AO13" s="973">
        <f t="shared" si="4"/>
        <v>7</v>
      </c>
      <c r="AP13" s="973">
        <f t="shared" si="4"/>
        <v>7</v>
      </c>
      <c r="AQ13" s="973">
        <f>7-COUNTIF(AQ5:AQ11,"")</f>
        <v>7</v>
      </c>
      <c r="AR13" s="770">
        <f>7-COUNTIF(AR5:AR11,"")</f>
        <v>7</v>
      </c>
      <c r="AS13" s="1324"/>
      <c r="AU13" s="1337"/>
    </row>
    <row r="14" spans="1:47" s="379" customFormat="1" ht="39" customHeight="1" thickBot="1">
      <c r="A14" s="1534"/>
      <c r="B14" s="1544" t="s">
        <v>233</v>
      </c>
      <c r="C14" s="1545"/>
      <c r="D14" s="1545"/>
      <c r="E14" s="1545"/>
      <c r="F14" s="1545"/>
      <c r="G14" s="1545"/>
      <c r="H14" s="1545"/>
      <c r="I14" s="782">
        <f t="shared" ref="I14:T14" si="5">ROUND(I12/I13*100,1)</f>
        <v>28.6</v>
      </c>
      <c r="J14" s="747">
        <f t="shared" si="5"/>
        <v>0</v>
      </c>
      <c r="K14" s="747">
        <f t="shared" si="5"/>
        <v>57.1</v>
      </c>
      <c r="L14" s="747">
        <f t="shared" si="5"/>
        <v>42.9</v>
      </c>
      <c r="M14" s="747">
        <f t="shared" si="5"/>
        <v>28.6</v>
      </c>
      <c r="N14" s="747">
        <f t="shared" si="5"/>
        <v>42.9</v>
      </c>
      <c r="O14" s="747">
        <f t="shared" si="5"/>
        <v>64.3</v>
      </c>
      <c r="P14" s="747">
        <f t="shared" si="5"/>
        <v>42.9</v>
      </c>
      <c r="Q14" s="747">
        <f t="shared" si="5"/>
        <v>57.1</v>
      </c>
      <c r="R14" s="747">
        <f t="shared" si="5"/>
        <v>71.400000000000006</v>
      </c>
      <c r="S14" s="747">
        <f t="shared" si="5"/>
        <v>42.9</v>
      </c>
      <c r="T14" s="747">
        <f t="shared" si="5"/>
        <v>57.1</v>
      </c>
      <c r="U14" s="1030">
        <f>ROUND(U12/U13*100,1)</f>
        <v>28.6</v>
      </c>
      <c r="V14" s="975">
        <f t="shared" ref="V14:AD14" si="6">ROUND(V12/V13*100,1)</f>
        <v>0</v>
      </c>
      <c r="W14" s="975">
        <f t="shared" si="6"/>
        <v>57.1</v>
      </c>
      <c r="X14" s="975">
        <f t="shared" si="6"/>
        <v>42.9</v>
      </c>
      <c r="Y14" s="747">
        <f t="shared" si="6"/>
        <v>28.6</v>
      </c>
      <c r="Z14" s="747">
        <f t="shared" si="6"/>
        <v>42.9</v>
      </c>
      <c r="AA14" s="975">
        <f t="shared" si="6"/>
        <v>64.3</v>
      </c>
      <c r="AB14" s="975">
        <f t="shared" si="6"/>
        <v>42.9</v>
      </c>
      <c r="AC14" s="975">
        <f t="shared" si="6"/>
        <v>57.1</v>
      </c>
      <c r="AD14" s="747">
        <f t="shared" si="6"/>
        <v>71.400000000000006</v>
      </c>
      <c r="AE14" s="1020">
        <f>ROUND(AE12/AE13*100,1)</f>
        <v>42.9</v>
      </c>
      <c r="AF14" s="801">
        <f>ROUND(AF12/AF13*100,1)</f>
        <v>57.1</v>
      </c>
      <c r="AG14" s="782">
        <f>ROUND(AG12/AG13*100,1)</f>
        <v>57.1</v>
      </c>
      <c r="AH14" s="747">
        <f t="shared" ref="AH14:AP14" si="7">ROUND(AH12/AH13*100,1)</f>
        <v>71.400000000000006</v>
      </c>
      <c r="AI14" s="975">
        <f t="shared" si="7"/>
        <v>50</v>
      </c>
      <c r="AJ14" s="975">
        <f t="shared" si="7"/>
        <v>85.7</v>
      </c>
      <c r="AK14" s="975">
        <f t="shared" si="7"/>
        <v>57.1</v>
      </c>
      <c r="AL14" s="975">
        <f t="shared" si="7"/>
        <v>57.1</v>
      </c>
      <c r="AM14" s="975">
        <f t="shared" si="7"/>
        <v>64.3</v>
      </c>
      <c r="AN14" s="975">
        <f t="shared" si="7"/>
        <v>42.9</v>
      </c>
      <c r="AO14" s="975">
        <f t="shared" si="7"/>
        <v>42.9</v>
      </c>
      <c r="AP14" s="975">
        <f t="shared" si="7"/>
        <v>71.400000000000006</v>
      </c>
      <c r="AQ14" s="975">
        <f>ROUND(AQ12/AQ13*100,1)</f>
        <v>42.9</v>
      </c>
      <c r="AR14" s="773">
        <f>ROUND(AR12/AR13*100,1)</f>
        <v>0</v>
      </c>
      <c r="AS14" s="1326"/>
      <c r="AT14"/>
      <c r="AU14" s="1337"/>
    </row>
    <row r="15" spans="1:47" ht="45" customHeight="1">
      <c r="A15" s="1563" t="s">
        <v>234</v>
      </c>
      <c r="B15" s="1573" t="s">
        <v>235</v>
      </c>
      <c r="C15" s="819" t="s">
        <v>16</v>
      </c>
      <c r="D15" s="1574" t="s">
        <v>236</v>
      </c>
      <c r="E15" s="1574"/>
      <c r="F15" s="1574"/>
      <c r="G15" s="1575"/>
      <c r="H15" s="820" t="s">
        <v>237</v>
      </c>
      <c r="I15" s="713" t="s">
        <v>835</v>
      </c>
      <c r="J15" s="714" t="s">
        <v>835</v>
      </c>
      <c r="K15" s="714" t="s">
        <v>835</v>
      </c>
      <c r="L15" s="715" t="s">
        <v>835</v>
      </c>
      <c r="M15" s="715" t="s">
        <v>835</v>
      </c>
      <c r="N15" s="715" t="s">
        <v>835</v>
      </c>
      <c r="O15" s="715" t="s">
        <v>835</v>
      </c>
      <c r="P15" s="715" t="s">
        <v>835</v>
      </c>
      <c r="Q15" s="715" t="s">
        <v>836</v>
      </c>
      <c r="R15" s="715" t="s">
        <v>835</v>
      </c>
      <c r="S15" s="715" t="s">
        <v>836</v>
      </c>
      <c r="T15" s="822" t="s">
        <v>835</v>
      </c>
      <c r="U15" s="1031" t="s">
        <v>835</v>
      </c>
      <c r="V15" s="976" t="s">
        <v>835</v>
      </c>
      <c r="W15" s="976" t="s">
        <v>835</v>
      </c>
      <c r="X15" s="976" t="s">
        <v>835</v>
      </c>
      <c r="Y15" s="715" t="s">
        <v>835</v>
      </c>
      <c r="Z15" s="715" t="s">
        <v>835</v>
      </c>
      <c r="AA15" s="976" t="s">
        <v>835</v>
      </c>
      <c r="AB15" s="1052" t="s">
        <v>835</v>
      </c>
      <c r="AC15" s="976" t="s">
        <v>836</v>
      </c>
      <c r="AD15" s="715" t="s">
        <v>835</v>
      </c>
      <c r="AE15" s="1021" t="s">
        <v>836</v>
      </c>
      <c r="AF15" s="822" t="s">
        <v>835</v>
      </c>
      <c r="AG15" s="713" t="s">
        <v>835</v>
      </c>
      <c r="AH15" s="715" t="s">
        <v>835</v>
      </c>
      <c r="AI15" s="976" t="s">
        <v>834</v>
      </c>
      <c r="AJ15" s="976" t="s">
        <v>834</v>
      </c>
      <c r="AK15" s="976" t="s">
        <v>834</v>
      </c>
      <c r="AL15" s="976" t="s">
        <v>834</v>
      </c>
      <c r="AM15" s="976" t="s">
        <v>835</v>
      </c>
      <c r="AN15" s="976" t="s">
        <v>835</v>
      </c>
      <c r="AO15" s="976" t="s">
        <v>835</v>
      </c>
      <c r="AP15" s="976" t="s">
        <v>835</v>
      </c>
      <c r="AQ15" s="976" t="s">
        <v>835</v>
      </c>
      <c r="AR15" s="794" t="s">
        <v>835</v>
      </c>
      <c r="AS15" s="1324"/>
      <c r="AU15" s="1337"/>
    </row>
    <row r="16" spans="1:47" ht="45" customHeight="1">
      <c r="A16" s="1533"/>
      <c r="B16" s="1573"/>
      <c r="C16" s="746" t="s">
        <v>568</v>
      </c>
      <c r="D16" s="1511" t="s">
        <v>463</v>
      </c>
      <c r="E16" s="1512"/>
      <c r="F16" s="1512"/>
      <c r="G16" s="1513"/>
      <c r="H16" s="739" t="s">
        <v>241</v>
      </c>
      <c r="I16" s="716" t="s">
        <v>835</v>
      </c>
      <c r="J16" s="717" t="s">
        <v>835</v>
      </c>
      <c r="K16" s="717" t="s">
        <v>834</v>
      </c>
      <c r="L16" s="718" t="s">
        <v>835</v>
      </c>
      <c r="M16" s="718" t="s">
        <v>834</v>
      </c>
      <c r="N16" s="718" t="s">
        <v>834</v>
      </c>
      <c r="O16" s="718" t="s">
        <v>834</v>
      </c>
      <c r="P16" s="718" t="s">
        <v>834</v>
      </c>
      <c r="Q16" s="718" t="s">
        <v>834</v>
      </c>
      <c r="R16" s="718" t="s">
        <v>834</v>
      </c>
      <c r="S16" s="718" t="s">
        <v>834</v>
      </c>
      <c r="T16" s="823" t="s">
        <v>834</v>
      </c>
      <c r="U16" s="1032" t="s">
        <v>835</v>
      </c>
      <c r="V16" s="977" t="s">
        <v>835</v>
      </c>
      <c r="W16" s="977" t="s">
        <v>834</v>
      </c>
      <c r="X16" s="977" t="s">
        <v>835</v>
      </c>
      <c r="Y16" s="718" t="s">
        <v>834</v>
      </c>
      <c r="Z16" s="718" t="s">
        <v>834</v>
      </c>
      <c r="AA16" s="977" t="s">
        <v>834</v>
      </c>
      <c r="AB16" s="977" t="s">
        <v>834</v>
      </c>
      <c r="AC16" s="977" t="s">
        <v>834</v>
      </c>
      <c r="AD16" s="718" t="s">
        <v>834</v>
      </c>
      <c r="AE16" s="1022" t="s">
        <v>834</v>
      </c>
      <c r="AF16" s="823" t="s">
        <v>834</v>
      </c>
      <c r="AG16" s="716" t="s">
        <v>834</v>
      </c>
      <c r="AH16" s="718" t="s">
        <v>834</v>
      </c>
      <c r="AI16" s="977" t="s">
        <v>834</v>
      </c>
      <c r="AJ16" s="977" t="s">
        <v>835</v>
      </c>
      <c r="AK16" s="977" t="s">
        <v>834</v>
      </c>
      <c r="AL16" s="977" t="s">
        <v>835</v>
      </c>
      <c r="AM16" s="977" t="s">
        <v>835</v>
      </c>
      <c r="AN16" s="977" t="s">
        <v>835</v>
      </c>
      <c r="AO16" s="977" t="s">
        <v>835</v>
      </c>
      <c r="AP16" s="977" t="s">
        <v>835</v>
      </c>
      <c r="AQ16" s="977" t="s">
        <v>835</v>
      </c>
      <c r="AR16" s="795" t="s">
        <v>835</v>
      </c>
      <c r="AS16" s="1324"/>
      <c r="AU16" s="1337"/>
    </row>
    <row r="17" spans="1:47" ht="45" customHeight="1">
      <c r="A17" s="1533"/>
      <c r="B17" s="1554"/>
      <c r="C17" s="743" t="s">
        <v>563</v>
      </c>
      <c r="D17" s="1559" t="s">
        <v>238</v>
      </c>
      <c r="E17" s="1537"/>
      <c r="F17" s="1537"/>
      <c r="G17" s="1560"/>
      <c r="H17" s="729" t="s">
        <v>225</v>
      </c>
      <c r="I17" s="707" t="s">
        <v>835</v>
      </c>
      <c r="J17" s="708" t="s">
        <v>835</v>
      </c>
      <c r="K17" s="708" t="s">
        <v>835</v>
      </c>
      <c r="L17" s="708" t="s">
        <v>835</v>
      </c>
      <c r="M17" s="709" t="s">
        <v>835</v>
      </c>
      <c r="N17" s="709" t="s">
        <v>835</v>
      </c>
      <c r="O17" s="766" t="s">
        <v>835</v>
      </c>
      <c r="P17" s="708" t="s">
        <v>835</v>
      </c>
      <c r="Q17" s="708" t="s">
        <v>835</v>
      </c>
      <c r="R17" s="709" t="s">
        <v>834</v>
      </c>
      <c r="S17" s="709" t="s">
        <v>835</v>
      </c>
      <c r="T17" s="799" t="s">
        <v>835</v>
      </c>
      <c r="U17" s="1028" t="s">
        <v>835</v>
      </c>
      <c r="V17" s="973" t="s">
        <v>835</v>
      </c>
      <c r="W17" s="973" t="s">
        <v>835</v>
      </c>
      <c r="X17" s="973" t="s">
        <v>835</v>
      </c>
      <c r="Y17" s="709" t="s">
        <v>835</v>
      </c>
      <c r="Z17" s="709" t="s">
        <v>835</v>
      </c>
      <c r="AA17" s="973" t="s">
        <v>835</v>
      </c>
      <c r="AB17" s="973" t="s">
        <v>835</v>
      </c>
      <c r="AC17" s="973" t="s">
        <v>835</v>
      </c>
      <c r="AD17" s="709" t="s">
        <v>834</v>
      </c>
      <c r="AE17" s="1018" t="s">
        <v>835</v>
      </c>
      <c r="AF17" s="799" t="s">
        <v>835</v>
      </c>
      <c r="AG17" s="707" t="s">
        <v>834</v>
      </c>
      <c r="AH17" s="709" t="s">
        <v>834</v>
      </c>
      <c r="AI17" s="973" t="s">
        <v>834</v>
      </c>
      <c r="AJ17" s="973" t="s">
        <v>834</v>
      </c>
      <c r="AK17" s="973" t="s">
        <v>834</v>
      </c>
      <c r="AL17" s="973" t="s">
        <v>834</v>
      </c>
      <c r="AM17" s="973" t="s">
        <v>835</v>
      </c>
      <c r="AN17" s="973" t="s">
        <v>835</v>
      </c>
      <c r="AO17" s="973" t="s">
        <v>835</v>
      </c>
      <c r="AP17" s="973" t="s">
        <v>835</v>
      </c>
      <c r="AQ17" s="973" t="s">
        <v>834</v>
      </c>
      <c r="AR17" s="770" t="s">
        <v>835</v>
      </c>
      <c r="AS17" s="1324"/>
      <c r="AU17" s="1337"/>
    </row>
    <row r="18" spans="1:47" ht="45" customHeight="1">
      <c r="A18" s="1533"/>
      <c r="B18" s="1578" t="s">
        <v>224</v>
      </c>
      <c r="C18" s="832" t="s">
        <v>564</v>
      </c>
      <c r="D18" s="1529" t="s">
        <v>506</v>
      </c>
      <c r="E18" s="1530"/>
      <c r="F18" s="1530"/>
      <c r="G18" s="1531"/>
      <c r="H18" s="728" t="s">
        <v>225</v>
      </c>
      <c r="I18" s="704" t="s">
        <v>834</v>
      </c>
      <c r="J18" s="705" t="s">
        <v>834</v>
      </c>
      <c r="K18" s="705" t="s">
        <v>834</v>
      </c>
      <c r="L18" s="706" t="s">
        <v>834</v>
      </c>
      <c r="M18" s="706" t="s">
        <v>835</v>
      </c>
      <c r="N18" s="706" t="s">
        <v>834</v>
      </c>
      <c r="O18" s="706" t="s">
        <v>835</v>
      </c>
      <c r="P18" s="706" t="s">
        <v>835</v>
      </c>
      <c r="Q18" s="706" t="s">
        <v>835</v>
      </c>
      <c r="R18" s="706" t="s">
        <v>834</v>
      </c>
      <c r="S18" s="706" t="s">
        <v>834</v>
      </c>
      <c r="T18" s="798" t="s">
        <v>834</v>
      </c>
      <c r="U18" s="1027" t="s">
        <v>834</v>
      </c>
      <c r="V18" s="972" t="s">
        <v>834</v>
      </c>
      <c r="W18" s="972" t="s">
        <v>834</v>
      </c>
      <c r="X18" s="972" t="s">
        <v>834</v>
      </c>
      <c r="Y18" s="706" t="s">
        <v>835</v>
      </c>
      <c r="Z18" s="706" t="s">
        <v>834</v>
      </c>
      <c r="AA18" s="972" t="s">
        <v>835</v>
      </c>
      <c r="AB18" s="972" t="s">
        <v>835</v>
      </c>
      <c r="AC18" s="972" t="s">
        <v>835</v>
      </c>
      <c r="AD18" s="706" t="s">
        <v>834</v>
      </c>
      <c r="AE18" s="1017" t="s">
        <v>834</v>
      </c>
      <c r="AF18" s="798" t="s">
        <v>834</v>
      </c>
      <c r="AG18" s="704" t="s">
        <v>834</v>
      </c>
      <c r="AH18" s="706" t="s">
        <v>835</v>
      </c>
      <c r="AI18" s="972" t="s">
        <v>834</v>
      </c>
      <c r="AJ18" s="972" t="s">
        <v>835</v>
      </c>
      <c r="AK18" s="972" t="s">
        <v>835</v>
      </c>
      <c r="AL18" s="972" t="s">
        <v>835</v>
      </c>
      <c r="AM18" s="972" t="s">
        <v>835</v>
      </c>
      <c r="AN18" s="972" t="s">
        <v>835</v>
      </c>
      <c r="AO18" s="972" t="s">
        <v>834</v>
      </c>
      <c r="AP18" s="972" t="s">
        <v>834</v>
      </c>
      <c r="AQ18" s="972" t="s">
        <v>834</v>
      </c>
      <c r="AR18" s="780" t="s">
        <v>835</v>
      </c>
      <c r="AS18" s="1324"/>
      <c r="AU18" s="1337"/>
    </row>
    <row r="19" spans="1:47" ht="45" customHeight="1">
      <c r="A19" s="1533"/>
      <c r="B19" s="1573"/>
      <c r="C19" s="746" t="s">
        <v>569</v>
      </c>
      <c r="D19" s="1512" t="s">
        <v>512</v>
      </c>
      <c r="E19" s="1555"/>
      <c r="F19" s="1555"/>
      <c r="G19" s="1556"/>
      <c r="H19" s="880" t="s">
        <v>225</v>
      </c>
      <c r="I19" s="716" t="s">
        <v>835</v>
      </c>
      <c r="J19" s="717" t="s">
        <v>834</v>
      </c>
      <c r="K19" s="717" t="s">
        <v>834</v>
      </c>
      <c r="L19" s="718" t="s">
        <v>834</v>
      </c>
      <c r="M19" s="718" t="s">
        <v>834</v>
      </c>
      <c r="N19" s="718" t="s">
        <v>834</v>
      </c>
      <c r="O19" s="718" t="s">
        <v>834</v>
      </c>
      <c r="P19" s="718" t="s">
        <v>835</v>
      </c>
      <c r="Q19" s="718" t="s">
        <v>835</v>
      </c>
      <c r="R19" s="718" t="s">
        <v>834</v>
      </c>
      <c r="S19" s="718" t="s">
        <v>834</v>
      </c>
      <c r="T19" s="823" t="s">
        <v>834</v>
      </c>
      <c r="U19" s="1032" t="s">
        <v>835</v>
      </c>
      <c r="V19" s="977" t="s">
        <v>834</v>
      </c>
      <c r="W19" s="977" t="s">
        <v>834</v>
      </c>
      <c r="X19" s="977" t="s">
        <v>834</v>
      </c>
      <c r="Y19" s="718" t="s">
        <v>834</v>
      </c>
      <c r="Z19" s="718" t="s">
        <v>834</v>
      </c>
      <c r="AA19" s="977" t="s">
        <v>834</v>
      </c>
      <c r="AB19" s="977" t="s">
        <v>835</v>
      </c>
      <c r="AC19" s="977" t="s">
        <v>835</v>
      </c>
      <c r="AD19" s="718" t="s">
        <v>834</v>
      </c>
      <c r="AE19" s="1022" t="s">
        <v>834</v>
      </c>
      <c r="AF19" s="823" t="s">
        <v>834</v>
      </c>
      <c r="AG19" s="716" t="s">
        <v>834</v>
      </c>
      <c r="AH19" s="718" t="s">
        <v>834</v>
      </c>
      <c r="AI19" s="977" t="s">
        <v>834</v>
      </c>
      <c r="AJ19" s="977" t="s">
        <v>835</v>
      </c>
      <c r="AK19" s="977" t="s">
        <v>834</v>
      </c>
      <c r="AL19" s="977" t="s">
        <v>835</v>
      </c>
      <c r="AM19" s="977" t="s">
        <v>835</v>
      </c>
      <c r="AN19" s="977" t="s">
        <v>835</v>
      </c>
      <c r="AO19" s="977" t="s">
        <v>834</v>
      </c>
      <c r="AP19" s="977" t="s">
        <v>834</v>
      </c>
      <c r="AQ19" s="977" t="s">
        <v>834</v>
      </c>
      <c r="AR19" s="795" t="s">
        <v>835</v>
      </c>
      <c r="AS19" s="1324"/>
      <c r="AU19" s="1337"/>
    </row>
    <row r="20" spans="1:47" ht="45" customHeight="1">
      <c r="A20" s="1533"/>
      <c r="B20" s="1579"/>
      <c r="C20" s="746" t="s">
        <v>570</v>
      </c>
      <c r="D20" s="1512" t="s">
        <v>6</v>
      </c>
      <c r="E20" s="1555"/>
      <c r="F20" s="1555"/>
      <c r="G20" s="1556"/>
      <c r="H20" s="880" t="s">
        <v>225</v>
      </c>
      <c r="I20" s="716" t="s">
        <v>835</v>
      </c>
      <c r="J20" s="717" t="s">
        <v>834</v>
      </c>
      <c r="K20" s="717" t="s">
        <v>834</v>
      </c>
      <c r="L20" s="718" t="s">
        <v>834</v>
      </c>
      <c r="M20" s="718" t="s">
        <v>834</v>
      </c>
      <c r="N20" s="718" t="s">
        <v>834</v>
      </c>
      <c r="O20" s="718" t="s">
        <v>834</v>
      </c>
      <c r="P20" s="718" t="s">
        <v>835</v>
      </c>
      <c r="Q20" s="718" t="s">
        <v>834</v>
      </c>
      <c r="R20" s="718" t="s">
        <v>834</v>
      </c>
      <c r="S20" s="718" t="s">
        <v>834</v>
      </c>
      <c r="T20" s="823" t="s">
        <v>834</v>
      </c>
      <c r="U20" s="1032" t="s">
        <v>835</v>
      </c>
      <c r="V20" s="977" t="s">
        <v>834</v>
      </c>
      <c r="W20" s="977" t="s">
        <v>834</v>
      </c>
      <c r="X20" s="977" t="s">
        <v>834</v>
      </c>
      <c r="Y20" s="718" t="s">
        <v>834</v>
      </c>
      <c r="Z20" s="718" t="s">
        <v>834</v>
      </c>
      <c r="AA20" s="977" t="s">
        <v>834</v>
      </c>
      <c r="AB20" s="977" t="s">
        <v>835</v>
      </c>
      <c r="AC20" s="977" t="s">
        <v>834</v>
      </c>
      <c r="AD20" s="709" t="s">
        <v>834</v>
      </c>
      <c r="AE20" s="1022" t="s">
        <v>834</v>
      </c>
      <c r="AF20" s="823" t="s">
        <v>834</v>
      </c>
      <c r="AG20" s="716" t="s">
        <v>834</v>
      </c>
      <c r="AH20" s="718" t="s">
        <v>834</v>
      </c>
      <c r="AI20" s="977" t="s">
        <v>835</v>
      </c>
      <c r="AJ20" s="977" t="s">
        <v>835</v>
      </c>
      <c r="AK20" s="977" t="s">
        <v>835</v>
      </c>
      <c r="AL20" s="977" t="s">
        <v>835</v>
      </c>
      <c r="AM20" s="977" t="s">
        <v>835</v>
      </c>
      <c r="AN20" s="977" t="s">
        <v>834</v>
      </c>
      <c r="AO20" s="977" t="s">
        <v>834</v>
      </c>
      <c r="AP20" s="973" t="s">
        <v>834</v>
      </c>
      <c r="AQ20" s="977" t="s">
        <v>834</v>
      </c>
      <c r="AR20" s="795" t="s">
        <v>835</v>
      </c>
      <c r="AS20" s="1324"/>
      <c r="AU20" s="1337"/>
    </row>
    <row r="21" spans="1:47" ht="45" customHeight="1">
      <c r="A21" s="1533"/>
      <c r="B21" s="745" t="s">
        <v>240</v>
      </c>
      <c r="C21" s="744" t="s">
        <v>82</v>
      </c>
      <c r="D21" s="1547" t="s">
        <v>515</v>
      </c>
      <c r="E21" s="1576"/>
      <c r="F21" s="1576"/>
      <c r="G21" s="1577"/>
      <c r="H21" s="750" t="s">
        <v>241</v>
      </c>
      <c r="I21" s="710" t="s">
        <v>835</v>
      </c>
      <c r="J21" s="711" t="s">
        <v>834</v>
      </c>
      <c r="K21" s="711" t="s">
        <v>834</v>
      </c>
      <c r="L21" s="711" t="s">
        <v>834</v>
      </c>
      <c r="M21" s="712" t="s">
        <v>834</v>
      </c>
      <c r="N21" s="712" t="s">
        <v>834</v>
      </c>
      <c r="O21" s="765" t="s">
        <v>834</v>
      </c>
      <c r="P21" s="712" t="s">
        <v>834</v>
      </c>
      <c r="Q21" s="712" t="s">
        <v>835</v>
      </c>
      <c r="R21" s="712" t="s">
        <v>834</v>
      </c>
      <c r="S21" s="712" t="s">
        <v>834</v>
      </c>
      <c r="T21" s="800" t="s">
        <v>834</v>
      </c>
      <c r="U21" s="1026" t="s">
        <v>835</v>
      </c>
      <c r="V21" s="971" t="s">
        <v>834</v>
      </c>
      <c r="W21" s="971" t="s">
        <v>834</v>
      </c>
      <c r="X21" s="971" t="s">
        <v>834</v>
      </c>
      <c r="Y21" s="712" t="s">
        <v>834</v>
      </c>
      <c r="Z21" s="712" t="s">
        <v>834</v>
      </c>
      <c r="AA21" s="971" t="s">
        <v>834</v>
      </c>
      <c r="AB21" s="971" t="s">
        <v>834</v>
      </c>
      <c r="AC21" s="971" t="s">
        <v>835</v>
      </c>
      <c r="AD21" s="712" t="s">
        <v>834</v>
      </c>
      <c r="AE21" s="1016" t="s">
        <v>834</v>
      </c>
      <c r="AF21" s="800" t="s">
        <v>834</v>
      </c>
      <c r="AG21" s="710" t="s">
        <v>834</v>
      </c>
      <c r="AH21" s="712" t="s">
        <v>834</v>
      </c>
      <c r="AI21" s="971" t="s">
        <v>835</v>
      </c>
      <c r="AJ21" s="971" t="s">
        <v>835</v>
      </c>
      <c r="AK21" s="971" t="s">
        <v>835</v>
      </c>
      <c r="AL21" s="971" t="s">
        <v>835</v>
      </c>
      <c r="AM21" s="971" t="s">
        <v>835</v>
      </c>
      <c r="AN21" s="971" t="s">
        <v>835</v>
      </c>
      <c r="AO21" s="971" t="s">
        <v>834</v>
      </c>
      <c r="AP21" s="971" t="s">
        <v>834</v>
      </c>
      <c r="AQ21" s="971" t="s">
        <v>834</v>
      </c>
      <c r="AR21" s="771" t="s">
        <v>835</v>
      </c>
      <c r="AS21" s="1324"/>
      <c r="AU21" s="1337"/>
    </row>
    <row r="22" spans="1:47" ht="45" customHeight="1">
      <c r="A22" s="1533"/>
      <c r="B22" s="742" t="s">
        <v>507</v>
      </c>
      <c r="C22" s="744" t="s">
        <v>647</v>
      </c>
      <c r="D22" s="1546" t="s">
        <v>482</v>
      </c>
      <c r="E22" s="1547"/>
      <c r="F22" s="1547"/>
      <c r="G22" s="1548"/>
      <c r="H22" s="732" t="s">
        <v>225</v>
      </c>
      <c r="I22" s="710" t="s">
        <v>835</v>
      </c>
      <c r="J22" s="711" t="s">
        <v>834</v>
      </c>
      <c r="K22" s="711" t="s">
        <v>835</v>
      </c>
      <c r="L22" s="712" t="s">
        <v>834</v>
      </c>
      <c r="M22" s="712" t="s">
        <v>834</v>
      </c>
      <c r="N22" s="712" t="s">
        <v>834</v>
      </c>
      <c r="O22" s="712" t="s">
        <v>835</v>
      </c>
      <c r="P22" s="712" t="s">
        <v>835</v>
      </c>
      <c r="Q22" s="712" t="s">
        <v>834</v>
      </c>
      <c r="R22" s="712" t="s">
        <v>835</v>
      </c>
      <c r="S22" s="712" t="s">
        <v>835</v>
      </c>
      <c r="T22" s="800" t="s">
        <v>834</v>
      </c>
      <c r="U22" s="1026" t="s">
        <v>835</v>
      </c>
      <c r="V22" s="971" t="s">
        <v>834</v>
      </c>
      <c r="W22" s="971" t="s">
        <v>835</v>
      </c>
      <c r="X22" s="971" t="s">
        <v>834</v>
      </c>
      <c r="Y22" s="712" t="s">
        <v>834</v>
      </c>
      <c r="Z22" s="1100" t="s">
        <v>834</v>
      </c>
      <c r="AA22" s="971" t="s">
        <v>835</v>
      </c>
      <c r="AB22" s="971" t="s">
        <v>835</v>
      </c>
      <c r="AC22" s="971" t="s">
        <v>834</v>
      </c>
      <c r="AD22" s="712" t="s">
        <v>835</v>
      </c>
      <c r="AE22" s="1016" t="s">
        <v>835</v>
      </c>
      <c r="AF22" s="800" t="s">
        <v>834</v>
      </c>
      <c r="AG22" s="710" t="s">
        <v>834</v>
      </c>
      <c r="AH22" s="712" t="s">
        <v>835</v>
      </c>
      <c r="AI22" s="971" t="s">
        <v>834</v>
      </c>
      <c r="AJ22" s="971" t="s">
        <v>835</v>
      </c>
      <c r="AK22" s="971" t="s">
        <v>835</v>
      </c>
      <c r="AL22" s="971" t="s">
        <v>835</v>
      </c>
      <c r="AM22" s="971" t="s">
        <v>835</v>
      </c>
      <c r="AN22" s="971" t="s">
        <v>835</v>
      </c>
      <c r="AO22" s="971" t="s">
        <v>835</v>
      </c>
      <c r="AP22" s="971" t="s">
        <v>834</v>
      </c>
      <c r="AQ22" s="971" t="s">
        <v>834</v>
      </c>
      <c r="AR22" s="771" t="s">
        <v>835</v>
      </c>
      <c r="AS22" s="1324"/>
      <c r="AU22" s="1337"/>
    </row>
    <row r="23" spans="1:47" ht="33.950000000000003" customHeight="1">
      <c r="A23" s="1533"/>
      <c r="B23" s="1564" t="s">
        <v>231</v>
      </c>
      <c r="C23" s="1565"/>
      <c r="D23" s="1565"/>
      <c r="E23" s="1565"/>
      <c r="F23" s="1565"/>
      <c r="G23" s="1565"/>
      <c r="H23" s="1565"/>
      <c r="I23" s="1067">
        <f t="shared" ref="I23:AD23" si="8">COUNTIF(I15:I22,"＋")+COUNTIF(I15:I22,0)/2</f>
        <v>1</v>
      </c>
      <c r="J23" s="826">
        <f t="shared" si="8"/>
        <v>5</v>
      </c>
      <c r="K23" s="826">
        <f t="shared" si="8"/>
        <v>5</v>
      </c>
      <c r="L23" s="825">
        <f t="shared" si="8"/>
        <v>5</v>
      </c>
      <c r="M23" s="825">
        <f t="shared" si="8"/>
        <v>5</v>
      </c>
      <c r="N23" s="825">
        <f t="shared" si="8"/>
        <v>6</v>
      </c>
      <c r="O23" s="825">
        <f t="shared" si="8"/>
        <v>4</v>
      </c>
      <c r="P23" s="825">
        <f t="shared" si="8"/>
        <v>2</v>
      </c>
      <c r="Q23" s="825">
        <f t="shared" si="8"/>
        <v>3.5</v>
      </c>
      <c r="R23" s="825">
        <f t="shared" si="8"/>
        <v>6</v>
      </c>
      <c r="S23" s="825">
        <f t="shared" si="8"/>
        <v>5.5</v>
      </c>
      <c r="T23" s="827">
        <f t="shared" si="8"/>
        <v>6</v>
      </c>
      <c r="U23" s="1029">
        <f t="shared" si="8"/>
        <v>1</v>
      </c>
      <c r="V23" s="974">
        <f t="shared" si="8"/>
        <v>5</v>
      </c>
      <c r="W23" s="974">
        <f t="shared" si="8"/>
        <v>5</v>
      </c>
      <c r="X23" s="974">
        <f t="shared" si="8"/>
        <v>5</v>
      </c>
      <c r="Y23" s="825">
        <f t="shared" si="8"/>
        <v>5</v>
      </c>
      <c r="Z23" s="1019">
        <f t="shared" si="8"/>
        <v>6</v>
      </c>
      <c r="AA23" s="974">
        <f t="shared" si="8"/>
        <v>4</v>
      </c>
      <c r="AB23" s="974">
        <f>COUNTIF(AB15:AB22,"＋")+COUNTIF(AB15:AB22,0)/2</f>
        <v>2</v>
      </c>
      <c r="AC23" s="974">
        <f t="shared" si="8"/>
        <v>3.5</v>
      </c>
      <c r="AD23" s="825">
        <f t="shared" si="8"/>
        <v>6</v>
      </c>
      <c r="AE23" s="1019">
        <f>COUNTIF(AE15:AE22,"＋")+COUNTIF(AE15:AE22,0)/2</f>
        <v>5.5</v>
      </c>
      <c r="AF23" s="827">
        <f>COUNTIF(AF15:AF22,"＋")+COUNTIF(AF15:AF22,0)/2</f>
        <v>6</v>
      </c>
      <c r="AG23" s="833">
        <f t="shared" ref="AG23:AM23" si="9">COUNTIF(AG15:AG22,"＋")+COUNTIF(AG15:AG22,0)/2</f>
        <v>7</v>
      </c>
      <c r="AH23" s="825">
        <f t="shared" si="9"/>
        <v>5</v>
      </c>
      <c r="AI23" s="974">
        <f t="shared" si="9"/>
        <v>6</v>
      </c>
      <c r="AJ23" s="974">
        <f t="shared" si="9"/>
        <v>2</v>
      </c>
      <c r="AK23" s="974">
        <f t="shared" si="9"/>
        <v>4</v>
      </c>
      <c r="AL23" s="974">
        <f t="shared" si="9"/>
        <v>2</v>
      </c>
      <c r="AM23" s="974">
        <f t="shared" si="9"/>
        <v>0</v>
      </c>
      <c r="AN23" s="974">
        <f>COUNTIF(AN15:AN22,"＋")+COUNTIF(AN15:AN22,0)/2</f>
        <v>1</v>
      </c>
      <c r="AO23" s="974">
        <f>COUNTIF(AO15:AO22,"＋")+COUNTIF(AO15:AO22,0)/2</f>
        <v>4</v>
      </c>
      <c r="AP23" s="974">
        <f>COUNTIF(AP15:AP22,"＋")+COUNTIF(AP15:AP22,0)/2</f>
        <v>5</v>
      </c>
      <c r="AQ23" s="974">
        <f>COUNTIF(AQ15:AQ22,"＋")+COUNTIF(AQ15:AQ22,0)/2</f>
        <v>6</v>
      </c>
      <c r="AR23" s="772">
        <f>COUNTIF(AR15:AR22,"＋")+COUNTIF(AR15:AR22,0)/2</f>
        <v>0</v>
      </c>
      <c r="AS23" s="1325"/>
      <c r="AU23" s="1337"/>
    </row>
    <row r="24" spans="1:47" ht="33.950000000000003" customHeight="1">
      <c r="A24" s="1571"/>
      <c r="B24" s="1566" t="s">
        <v>232</v>
      </c>
      <c r="C24" s="1567"/>
      <c r="D24" s="1567"/>
      <c r="E24" s="1567"/>
      <c r="F24" s="1567"/>
      <c r="G24" s="1567"/>
      <c r="H24" s="1567"/>
      <c r="I24" s="1065">
        <f>8-COUNTIF(I15:I22,"")</f>
        <v>8</v>
      </c>
      <c r="J24" s="708">
        <f t="shared" ref="J24:W24" si="10">8-COUNTIF(J15:J22,"")</f>
        <v>8</v>
      </c>
      <c r="K24" s="821">
        <f t="shared" si="10"/>
        <v>8</v>
      </c>
      <c r="L24" s="709">
        <f t="shared" si="10"/>
        <v>8</v>
      </c>
      <c r="M24" s="709">
        <f t="shared" si="10"/>
        <v>8</v>
      </c>
      <c r="N24" s="709">
        <f t="shared" si="10"/>
        <v>8</v>
      </c>
      <c r="O24" s="709">
        <f t="shared" si="10"/>
        <v>8</v>
      </c>
      <c r="P24" s="709">
        <f t="shared" si="10"/>
        <v>8</v>
      </c>
      <c r="Q24" s="709">
        <f t="shared" si="10"/>
        <v>8</v>
      </c>
      <c r="R24" s="709">
        <f t="shared" si="10"/>
        <v>8</v>
      </c>
      <c r="S24" s="709">
        <f t="shared" si="10"/>
        <v>8</v>
      </c>
      <c r="T24" s="799">
        <f t="shared" si="10"/>
        <v>8</v>
      </c>
      <c r="U24" s="1028">
        <f t="shared" si="10"/>
        <v>8</v>
      </c>
      <c r="V24" s="709">
        <f t="shared" si="10"/>
        <v>8</v>
      </c>
      <c r="W24" s="973">
        <f t="shared" si="10"/>
        <v>8</v>
      </c>
      <c r="X24" s="973">
        <f t="shared" ref="X24:AD24" si="11">8-COUNTIF(X15:X22,"")</f>
        <v>8</v>
      </c>
      <c r="Y24" s="709">
        <f t="shared" si="11"/>
        <v>8</v>
      </c>
      <c r="Z24" s="1018">
        <f t="shared" si="11"/>
        <v>8</v>
      </c>
      <c r="AA24" s="973">
        <f t="shared" si="11"/>
        <v>8</v>
      </c>
      <c r="AB24" s="973">
        <f t="shared" si="11"/>
        <v>8</v>
      </c>
      <c r="AC24" s="973">
        <f t="shared" si="11"/>
        <v>8</v>
      </c>
      <c r="AD24" s="709">
        <f t="shared" si="11"/>
        <v>8</v>
      </c>
      <c r="AE24" s="1018">
        <f>8-COUNTIF(AE15:AE22,"")</f>
        <v>8</v>
      </c>
      <c r="AF24" s="799">
        <f>8-COUNTIF(AF15:AF22,"")</f>
        <v>8</v>
      </c>
      <c r="AG24" s="707">
        <f t="shared" ref="AG24:AP24" si="12">8-COUNTIF(AG15:AG22,"")</f>
        <v>8</v>
      </c>
      <c r="AH24" s="709">
        <f t="shared" si="12"/>
        <v>8</v>
      </c>
      <c r="AI24" s="973">
        <f t="shared" si="12"/>
        <v>8</v>
      </c>
      <c r="AJ24" s="973">
        <f t="shared" si="12"/>
        <v>8</v>
      </c>
      <c r="AK24" s="973">
        <f t="shared" si="12"/>
        <v>8</v>
      </c>
      <c r="AL24" s="973">
        <f t="shared" si="12"/>
        <v>8</v>
      </c>
      <c r="AM24" s="973">
        <f t="shared" si="12"/>
        <v>8</v>
      </c>
      <c r="AN24" s="973">
        <f t="shared" si="12"/>
        <v>8</v>
      </c>
      <c r="AO24" s="973">
        <f t="shared" si="12"/>
        <v>8</v>
      </c>
      <c r="AP24" s="973">
        <f t="shared" si="12"/>
        <v>8</v>
      </c>
      <c r="AQ24" s="973">
        <f>8-COUNTIF(AQ15:AQ22,"")</f>
        <v>8</v>
      </c>
      <c r="AR24" s="770">
        <f>8-COUNTIF(AR15:AR22,"")</f>
        <v>8</v>
      </c>
      <c r="AS24" s="1324"/>
      <c r="AU24" s="1337"/>
    </row>
    <row r="25" spans="1:47" s="379" customFormat="1" ht="39" customHeight="1" thickBot="1">
      <c r="A25" s="1572"/>
      <c r="B25" s="1544" t="s">
        <v>242</v>
      </c>
      <c r="C25" s="1545"/>
      <c r="D25" s="1545"/>
      <c r="E25" s="1545"/>
      <c r="F25" s="1545"/>
      <c r="G25" s="1545"/>
      <c r="H25" s="1545"/>
      <c r="I25" s="981">
        <f t="shared" ref="I25:U25" si="13">ROUND(I23/I24*100,1)</f>
        <v>12.5</v>
      </c>
      <c r="J25" s="952">
        <f t="shared" si="13"/>
        <v>62.5</v>
      </c>
      <c r="K25" s="952">
        <f t="shared" si="13"/>
        <v>62.5</v>
      </c>
      <c r="L25" s="748">
        <f t="shared" si="13"/>
        <v>62.5</v>
      </c>
      <c r="M25" s="748">
        <f t="shared" si="13"/>
        <v>62.5</v>
      </c>
      <c r="N25" s="748">
        <f t="shared" si="13"/>
        <v>75</v>
      </c>
      <c r="O25" s="748">
        <f t="shared" si="13"/>
        <v>50</v>
      </c>
      <c r="P25" s="748">
        <f t="shared" si="13"/>
        <v>25</v>
      </c>
      <c r="Q25" s="748">
        <f t="shared" si="13"/>
        <v>43.8</v>
      </c>
      <c r="R25" s="748">
        <f t="shared" si="13"/>
        <v>75</v>
      </c>
      <c r="S25" s="748">
        <f t="shared" si="13"/>
        <v>68.8</v>
      </c>
      <c r="T25" s="824">
        <f t="shared" si="13"/>
        <v>75</v>
      </c>
      <c r="U25" s="1033">
        <f t="shared" si="13"/>
        <v>12.5</v>
      </c>
      <c r="V25" s="1012">
        <f t="shared" ref="V25:AD25" si="14">ROUND(V23/V24*100,1)</f>
        <v>62.5</v>
      </c>
      <c r="W25" s="985">
        <f t="shared" si="14"/>
        <v>62.5</v>
      </c>
      <c r="X25" s="1012">
        <f t="shared" si="14"/>
        <v>62.5</v>
      </c>
      <c r="Y25" s="747">
        <f t="shared" si="14"/>
        <v>62.5</v>
      </c>
      <c r="Z25" s="952">
        <f t="shared" si="14"/>
        <v>75</v>
      </c>
      <c r="AA25" s="985">
        <f t="shared" si="14"/>
        <v>50</v>
      </c>
      <c r="AB25" s="985">
        <f>ROUND(AB23/AB24*100,1)</f>
        <v>25</v>
      </c>
      <c r="AC25" s="985">
        <f t="shared" si="14"/>
        <v>43.8</v>
      </c>
      <c r="AD25" s="952">
        <f t="shared" si="14"/>
        <v>75</v>
      </c>
      <c r="AE25" s="1047">
        <f>ROUND(AE23/AE24*100,1)</f>
        <v>68.8</v>
      </c>
      <c r="AF25" s="1096">
        <f>ROUND(AF23/AF24*100,1)</f>
        <v>75</v>
      </c>
      <c r="AG25" s="1063">
        <f t="shared" ref="AG25:AM25" si="15">ROUND(AG23/AG24*100,1)</f>
        <v>87.5</v>
      </c>
      <c r="AH25" s="952">
        <f t="shared" si="15"/>
        <v>62.5</v>
      </c>
      <c r="AI25" s="985">
        <f t="shared" si="15"/>
        <v>75</v>
      </c>
      <c r="AJ25" s="1012">
        <f t="shared" si="15"/>
        <v>25</v>
      </c>
      <c r="AK25" s="1012">
        <f t="shared" si="15"/>
        <v>50</v>
      </c>
      <c r="AL25" s="985">
        <f t="shared" si="15"/>
        <v>25</v>
      </c>
      <c r="AM25" s="985">
        <f t="shared" si="15"/>
        <v>0</v>
      </c>
      <c r="AN25" s="985">
        <f>ROUND(AN23/AN24*100,1)</f>
        <v>12.5</v>
      </c>
      <c r="AO25" s="985">
        <f>ROUND(AO23/AO24*100,1)</f>
        <v>50</v>
      </c>
      <c r="AP25" s="985">
        <f>ROUND(AP23/AP24*100,1)</f>
        <v>62.5</v>
      </c>
      <c r="AQ25" s="985">
        <f>ROUND(AQ23/AQ24*100,1)</f>
        <v>75</v>
      </c>
      <c r="AR25" s="786">
        <f>ROUND(AR23/AR24*100,1)</f>
        <v>0</v>
      </c>
      <c r="AS25" s="1327"/>
      <c r="AT25"/>
      <c r="AU25" s="1337"/>
    </row>
    <row r="26" spans="1:47" ht="45" customHeight="1">
      <c r="A26" s="1563" t="s">
        <v>243</v>
      </c>
      <c r="B26" s="1553" t="s">
        <v>222</v>
      </c>
      <c r="C26" s="741" t="s">
        <v>16</v>
      </c>
      <c r="D26" s="1568" t="s">
        <v>244</v>
      </c>
      <c r="E26" s="1569"/>
      <c r="F26" s="1569"/>
      <c r="G26" s="1570"/>
      <c r="H26" s="738" t="s">
        <v>225</v>
      </c>
      <c r="I26" s="802" t="s">
        <v>834</v>
      </c>
      <c r="J26" s="828" t="s">
        <v>834</v>
      </c>
      <c r="K26" s="828" t="s">
        <v>835</v>
      </c>
      <c r="L26" s="828" t="s">
        <v>835</v>
      </c>
      <c r="M26" s="829" t="s">
        <v>835</v>
      </c>
      <c r="N26" s="829" t="s">
        <v>834</v>
      </c>
      <c r="O26" s="829" t="s">
        <v>834</v>
      </c>
      <c r="P26" s="829" t="s">
        <v>834</v>
      </c>
      <c r="Q26" s="829" t="s">
        <v>834</v>
      </c>
      <c r="R26" s="829" t="s">
        <v>834</v>
      </c>
      <c r="S26" s="829" t="s">
        <v>834</v>
      </c>
      <c r="T26" s="830" t="s">
        <v>834</v>
      </c>
      <c r="U26" s="1034" t="s">
        <v>834</v>
      </c>
      <c r="V26" s="978" t="s">
        <v>834</v>
      </c>
      <c r="W26" s="978" t="s">
        <v>835</v>
      </c>
      <c r="X26" s="978" t="s">
        <v>835</v>
      </c>
      <c r="Y26" s="829" t="s">
        <v>835</v>
      </c>
      <c r="Z26" s="829" t="s">
        <v>834</v>
      </c>
      <c r="AA26" s="978" t="s">
        <v>834</v>
      </c>
      <c r="AB26" s="978" t="s">
        <v>834</v>
      </c>
      <c r="AC26" s="976" t="s">
        <v>834</v>
      </c>
      <c r="AD26" s="829" t="s">
        <v>834</v>
      </c>
      <c r="AE26" s="1023" t="s">
        <v>834</v>
      </c>
      <c r="AF26" s="830" t="s">
        <v>834</v>
      </c>
      <c r="AG26" s="802" t="s">
        <v>834</v>
      </c>
      <c r="AH26" s="829" t="s">
        <v>834</v>
      </c>
      <c r="AI26" s="978" t="s">
        <v>835</v>
      </c>
      <c r="AJ26" s="978" t="s">
        <v>835</v>
      </c>
      <c r="AK26" s="978" t="s">
        <v>835</v>
      </c>
      <c r="AL26" s="978" t="s">
        <v>835</v>
      </c>
      <c r="AM26" s="978" t="s">
        <v>835</v>
      </c>
      <c r="AN26" s="978" t="s">
        <v>835</v>
      </c>
      <c r="AO26" s="976" t="s">
        <v>835</v>
      </c>
      <c r="AP26" s="978" t="s">
        <v>835</v>
      </c>
      <c r="AQ26" s="978" t="s">
        <v>834</v>
      </c>
      <c r="AR26" s="955" t="s">
        <v>835</v>
      </c>
      <c r="AS26" s="1324"/>
      <c r="AU26" s="1337"/>
    </row>
    <row r="27" spans="1:47" ht="45" customHeight="1">
      <c r="A27" s="1533"/>
      <c r="B27" s="1554"/>
      <c r="C27" s="743" t="s">
        <v>17</v>
      </c>
      <c r="D27" s="1559" t="s">
        <v>630</v>
      </c>
      <c r="E27" s="1537"/>
      <c r="F27" s="1537"/>
      <c r="G27" s="1560"/>
      <c r="H27" s="956" t="s">
        <v>241</v>
      </c>
      <c r="I27" s="707" t="s">
        <v>834</v>
      </c>
      <c r="J27" s="708" t="s">
        <v>835</v>
      </c>
      <c r="K27" s="708" t="s">
        <v>835</v>
      </c>
      <c r="L27" s="709" t="s">
        <v>835</v>
      </c>
      <c r="M27" s="709" t="s">
        <v>835</v>
      </c>
      <c r="N27" s="709" t="s">
        <v>835</v>
      </c>
      <c r="O27" s="709" t="s">
        <v>835</v>
      </c>
      <c r="P27" s="709" t="s">
        <v>834</v>
      </c>
      <c r="Q27" s="709" t="s">
        <v>834</v>
      </c>
      <c r="R27" s="709" t="s">
        <v>834</v>
      </c>
      <c r="S27" s="709" t="s">
        <v>834</v>
      </c>
      <c r="T27" s="799" t="s">
        <v>834</v>
      </c>
      <c r="U27" s="1028" t="s">
        <v>834</v>
      </c>
      <c r="V27" s="973" t="s">
        <v>835</v>
      </c>
      <c r="W27" s="973" t="s">
        <v>835</v>
      </c>
      <c r="X27" s="973" t="s">
        <v>835</v>
      </c>
      <c r="Y27" s="709" t="s">
        <v>835</v>
      </c>
      <c r="Z27" s="709" t="s">
        <v>835</v>
      </c>
      <c r="AA27" s="973" t="s">
        <v>835</v>
      </c>
      <c r="AB27" s="973" t="s">
        <v>834</v>
      </c>
      <c r="AC27" s="973" t="s">
        <v>834</v>
      </c>
      <c r="AD27" s="709" t="s">
        <v>834</v>
      </c>
      <c r="AE27" s="1018" t="s">
        <v>834</v>
      </c>
      <c r="AF27" s="799" t="s">
        <v>834</v>
      </c>
      <c r="AG27" s="707" t="s">
        <v>835</v>
      </c>
      <c r="AH27" s="709" t="s">
        <v>834</v>
      </c>
      <c r="AI27" s="973" t="s">
        <v>835</v>
      </c>
      <c r="AJ27" s="973" t="s">
        <v>835</v>
      </c>
      <c r="AK27" s="973" t="s">
        <v>834</v>
      </c>
      <c r="AL27" s="973" t="s">
        <v>834</v>
      </c>
      <c r="AM27" s="973" t="s">
        <v>834</v>
      </c>
      <c r="AN27" s="973" t="s">
        <v>835</v>
      </c>
      <c r="AO27" s="973" t="s">
        <v>835</v>
      </c>
      <c r="AP27" s="973" t="s">
        <v>835</v>
      </c>
      <c r="AQ27" s="973" t="s">
        <v>835</v>
      </c>
      <c r="AR27" s="770" t="s">
        <v>835</v>
      </c>
      <c r="AS27" s="1324"/>
      <c r="AU27" s="1337"/>
    </row>
    <row r="28" spans="1:47" ht="45" customHeight="1">
      <c r="A28" s="1533"/>
      <c r="B28" s="954" t="s">
        <v>224</v>
      </c>
      <c r="C28" s="832" t="s">
        <v>78</v>
      </c>
      <c r="D28" s="1529" t="s">
        <v>245</v>
      </c>
      <c r="E28" s="1530"/>
      <c r="F28" s="1530"/>
      <c r="G28" s="1531"/>
      <c r="H28" s="728" t="s">
        <v>225</v>
      </c>
      <c r="I28" s="704" t="s">
        <v>835</v>
      </c>
      <c r="J28" s="705" t="s">
        <v>834</v>
      </c>
      <c r="K28" s="705" t="s">
        <v>834</v>
      </c>
      <c r="L28" s="706" t="s">
        <v>834</v>
      </c>
      <c r="M28" s="706" t="s">
        <v>835</v>
      </c>
      <c r="N28" s="706" t="s">
        <v>834</v>
      </c>
      <c r="O28" s="706" t="s">
        <v>835</v>
      </c>
      <c r="P28" s="706" t="s">
        <v>835</v>
      </c>
      <c r="Q28" s="706" t="s">
        <v>835</v>
      </c>
      <c r="R28" s="706" t="s">
        <v>834</v>
      </c>
      <c r="S28" s="706" t="s">
        <v>834</v>
      </c>
      <c r="T28" s="798" t="s">
        <v>834</v>
      </c>
      <c r="U28" s="1027" t="s">
        <v>835</v>
      </c>
      <c r="V28" s="972" t="s">
        <v>834</v>
      </c>
      <c r="W28" s="979" t="s">
        <v>834</v>
      </c>
      <c r="X28" s="979" t="s">
        <v>834</v>
      </c>
      <c r="Y28" s="1049" t="s">
        <v>835</v>
      </c>
      <c r="Z28" s="1049" t="s">
        <v>834</v>
      </c>
      <c r="AA28" s="979" t="s">
        <v>835</v>
      </c>
      <c r="AB28" s="971" t="s">
        <v>835</v>
      </c>
      <c r="AC28" s="979" t="s">
        <v>835</v>
      </c>
      <c r="AD28" s="1049" t="s">
        <v>834</v>
      </c>
      <c r="AE28" s="793" t="s">
        <v>834</v>
      </c>
      <c r="AF28" s="1097" t="s">
        <v>834</v>
      </c>
      <c r="AG28" s="704" t="s">
        <v>834</v>
      </c>
      <c r="AH28" s="1049" t="s">
        <v>834</v>
      </c>
      <c r="AI28" s="979" t="s">
        <v>834</v>
      </c>
      <c r="AJ28" s="979" t="s">
        <v>835</v>
      </c>
      <c r="AK28" s="979" t="s">
        <v>835</v>
      </c>
      <c r="AL28" s="979" t="s">
        <v>835</v>
      </c>
      <c r="AM28" s="979" t="s">
        <v>835</v>
      </c>
      <c r="AN28" s="971" t="s">
        <v>835</v>
      </c>
      <c r="AO28" s="979" t="s">
        <v>834</v>
      </c>
      <c r="AP28" s="979" t="s">
        <v>834</v>
      </c>
      <c r="AQ28" s="979" t="s">
        <v>834</v>
      </c>
      <c r="AR28" s="774" t="s">
        <v>835</v>
      </c>
      <c r="AS28" s="1324"/>
      <c r="AU28" s="1337"/>
    </row>
    <row r="29" spans="1:47" ht="45" customHeight="1">
      <c r="A29" s="1533"/>
      <c r="B29" s="1557" t="s">
        <v>239</v>
      </c>
      <c r="C29" s="832" t="s">
        <v>564</v>
      </c>
      <c r="D29" s="1529" t="s">
        <v>640</v>
      </c>
      <c r="E29" s="1530"/>
      <c r="F29" s="1530"/>
      <c r="G29" s="1531"/>
      <c r="H29" s="728" t="s">
        <v>471</v>
      </c>
      <c r="I29" s="704" t="s">
        <v>835</v>
      </c>
      <c r="J29" s="705" t="s">
        <v>835</v>
      </c>
      <c r="K29" s="705" t="s">
        <v>834</v>
      </c>
      <c r="L29" s="706" t="s">
        <v>835</v>
      </c>
      <c r="M29" s="706" t="s">
        <v>835</v>
      </c>
      <c r="N29" s="706" t="s">
        <v>834</v>
      </c>
      <c r="O29" s="706" t="s">
        <v>835</v>
      </c>
      <c r="P29" s="706" t="s">
        <v>835</v>
      </c>
      <c r="Q29" s="706" t="s">
        <v>834</v>
      </c>
      <c r="R29" s="706" t="s">
        <v>835</v>
      </c>
      <c r="S29" s="706" t="s">
        <v>835</v>
      </c>
      <c r="T29" s="798" t="s">
        <v>834</v>
      </c>
      <c r="U29" s="1027" t="s">
        <v>835</v>
      </c>
      <c r="V29" s="972" t="s">
        <v>835</v>
      </c>
      <c r="W29" s="972" t="s">
        <v>834</v>
      </c>
      <c r="X29" s="972" t="s">
        <v>835</v>
      </c>
      <c r="Y29" s="706" t="s">
        <v>835</v>
      </c>
      <c r="Z29" s="706" t="s">
        <v>834</v>
      </c>
      <c r="AA29" s="972" t="s">
        <v>835</v>
      </c>
      <c r="AB29" s="972" t="s">
        <v>835</v>
      </c>
      <c r="AC29" s="972" t="s">
        <v>834</v>
      </c>
      <c r="AD29" s="706" t="s">
        <v>835</v>
      </c>
      <c r="AE29" s="1017" t="s">
        <v>835</v>
      </c>
      <c r="AF29" s="798" t="s">
        <v>834</v>
      </c>
      <c r="AG29" s="704" t="s">
        <v>835</v>
      </c>
      <c r="AH29" s="706" t="s">
        <v>834</v>
      </c>
      <c r="AI29" s="972" t="s">
        <v>834</v>
      </c>
      <c r="AJ29" s="972" t="s">
        <v>835</v>
      </c>
      <c r="AK29" s="972" t="s">
        <v>835</v>
      </c>
      <c r="AL29" s="972" t="s">
        <v>835</v>
      </c>
      <c r="AM29" s="972" t="s">
        <v>834</v>
      </c>
      <c r="AN29" s="972" t="s">
        <v>835</v>
      </c>
      <c r="AO29" s="972" t="s">
        <v>835</v>
      </c>
      <c r="AP29" s="972" t="s">
        <v>834</v>
      </c>
      <c r="AQ29" s="972" t="s">
        <v>835</v>
      </c>
      <c r="AR29" s="780" t="s">
        <v>835</v>
      </c>
      <c r="AS29" s="1324"/>
      <c r="AU29" s="1337"/>
    </row>
    <row r="30" spans="1:47" ht="45" customHeight="1">
      <c r="A30" s="1533"/>
      <c r="B30" s="1558"/>
      <c r="C30" s="743" t="s">
        <v>565</v>
      </c>
      <c r="D30" s="1559" t="s">
        <v>505</v>
      </c>
      <c r="E30" s="1538"/>
      <c r="F30" s="1538"/>
      <c r="G30" s="1539"/>
      <c r="H30" s="729" t="s">
        <v>225</v>
      </c>
      <c r="I30" s="707" t="s">
        <v>835</v>
      </c>
      <c r="J30" s="708" t="s">
        <v>835</v>
      </c>
      <c r="K30" s="708" t="s">
        <v>835</v>
      </c>
      <c r="L30" s="709" t="s">
        <v>835</v>
      </c>
      <c r="M30" s="709" t="s">
        <v>835</v>
      </c>
      <c r="N30" s="709" t="s">
        <v>834</v>
      </c>
      <c r="O30" s="709" t="s">
        <v>835</v>
      </c>
      <c r="P30" s="709" t="s">
        <v>834</v>
      </c>
      <c r="Q30" s="709" t="s">
        <v>834</v>
      </c>
      <c r="R30" s="709" t="s">
        <v>834</v>
      </c>
      <c r="S30" s="709" t="s">
        <v>834</v>
      </c>
      <c r="T30" s="799" t="s">
        <v>834</v>
      </c>
      <c r="U30" s="1028" t="s">
        <v>835</v>
      </c>
      <c r="V30" s="973" t="s">
        <v>835</v>
      </c>
      <c r="W30" s="973" t="s">
        <v>835</v>
      </c>
      <c r="X30" s="973" t="s">
        <v>835</v>
      </c>
      <c r="Y30" s="709" t="s">
        <v>835</v>
      </c>
      <c r="Z30" s="709" t="s">
        <v>834</v>
      </c>
      <c r="AA30" s="973" t="s">
        <v>835</v>
      </c>
      <c r="AB30" s="973" t="s">
        <v>834</v>
      </c>
      <c r="AC30" s="973" t="s">
        <v>834</v>
      </c>
      <c r="AD30" s="709" t="s">
        <v>834</v>
      </c>
      <c r="AE30" s="1018" t="s">
        <v>834</v>
      </c>
      <c r="AF30" s="799" t="s">
        <v>834</v>
      </c>
      <c r="AG30" s="707" t="s">
        <v>835</v>
      </c>
      <c r="AH30" s="709" t="s">
        <v>835</v>
      </c>
      <c r="AI30" s="973" t="s">
        <v>835</v>
      </c>
      <c r="AJ30" s="973" t="s">
        <v>835</v>
      </c>
      <c r="AK30" s="973" t="s">
        <v>835</v>
      </c>
      <c r="AL30" s="973" t="s">
        <v>835</v>
      </c>
      <c r="AM30" s="973" t="s">
        <v>834</v>
      </c>
      <c r="AN30" s="973" t="s">
        <v>835</v>
      </c>
      <c r="AO30" s="973" t="s">
        <v>834</v>
      </c>
      <c r="AP30" s="973" t="s">
        <v>834</v>
      </c>
      <c r="AQ30" s="973" t="s">
        <v>834</v>
      </c>
      <c r="AR30" s="770" t="s">
        <v>835</v>
      </c>
      <c r="AS30" s="1324"/>
      <c r="AU30" s="1337"/>
    </row>
    <row r="31" spans="1:47" ht="45" customHeight="1">
      <c r="A31" s="1533"/>
      <c r="B31" s="726" t="s">
        <v>246</v>
      </c>
      <c r="C31" s="744" t="s">
        <v>566</v>
      </c>
      <c r="D31" s="1546" t="s">
        <v>247</v>
      </c>
      <c r="E31" s="1547"/>
      <c r="F31" s="1547"/>
      <c r="G31" s="1548"/>
      <c r="H31" s="732" t="s">
        <v>471</v>
      </c>
      <c r="I31" s="710" t="s">
        <v>835</v>
      </c>
      <c r="J31" s="711" t="s">
        <v>835</v>
      </c>
      <c r="K31" s="711" t="s">
        <v>835</v>
      </c>
      <c r="L31" s="712" t="s">
        <v>835</v>
      </c>
      <c r="M31" s="712" t="s">
        <v>834</v>
      </c>
      <c r="N31" s="712" t="s">
        <v>834</v>
      </c>
      <c r="O31" s="712" t="s">
        <v>835</v>
      </c>
      <c r="P31" s="712" t="s">
        <v>835</v>
      </c>
      <c r="Q31" s="712" t="s">
        <v>835</v>
      </c>
      <c r="R31" s="712" t="s">
        <v>835</v>
      </c>
      <c r="S31" s="712" t="s">
        <v>835</v>
      </c>
      <c r="T31" s="800" t="s">
        <v>834</v>
      </c>
      <c r="U31" s="1026" t="s">
        <v>835</v>
      </c>
      <c r="V31" s="971" t="s">
        <v>835</v>
      </c>
      <c r="W31" s="971" t="s">
        <v>835</v>
      </c>
      <c r="X31" s="971" t="s">
        <v>835</v>
      </c>
      <c r="Y31" s="712" t="s">
        <v>834</v>
      </c>
      <c r="Z31" s="712" t="s">
        <v>834</v>
      </c>
      <c r="AA31" s="971" t="s">
        <v>835</v>
      </c>
      <c r="AB31" s="971" t="s">
        <v>835</v>
      </c>
      <c r="AC31" s="971" t="s">
        <v>835</v>
      </c>
      <c r="AD31" s="712" t="s">
        <v>835</v>
      </c>
      <c r="AE31" s="1016" t="s">
        <v>835</v>
      </c>
      <c r="AF31" s="800" t="s">
        <v>834</v>
      </c>
      <c r="AG31" s="710" t="s">
        <v>834</v>
      </c>
      <c r="AH31" s="712" t="s">
        <v>834</v>
      </c>
      <c r="AI31" s="971" t="s">
        <v>834</v>
      </c>
      <c r="AJ31" s="971" t="s">
        <v>834</v>
      </c>
      <c r="AK31" s="971" t="s">
        <v>835</v>
      </c>
      <c r="AL31" s="971" t="s">
        <v>835</v>
      </c>
      <c r="AM31" s="971" t="s">
        <v>835</v>
      </c>
      <c r="AN31" s="971" t="s">
        <v>835</v>
      </c>
      <c r="AO31" s="971" t="s">
        <v>834</v>
      </c>
      <c r="AP31" s="971" t="s">
        <v>834</v>
      </c>
      <c r="AQ31" s="971" t="s">
        <v>834</v>
      </c>
      <c r="AR31" s="771" t="s">
        <v>835</v>
      </c>
      <c r="AS31" s="1324"/>
      <c r="AU31" s="1337"/>
    </row>
    <row r="32" spans="1:47" ht="45" customHeight="1">
      <c r="A32" s="1533"/>
      <c r="B32" s="881" t="s">
        <v>240</v>
      </c>
      <c r="C32" s="744" t="s">
        <v>567</v>
      </c>
      <c r="D32" s="1546" t="s">
        <v>409</v>
      </c>
      <c r="E32" s="1580"/>
      <c r="F32" s="1580"/>
      <c r="G32" s="1581"/>
      <c r="H32" s="732" t="s">
        <v>225</v>
      </c>
      <c r="I32" s="710" t="s">
        <v>835</v>
      </c>
      <c r="J32" s="711" t="s">
        <v>834</v>
      </c>
      <c r="K32" s="711" t="s">
        <v>835</v>
      </c>
      <c r="L32" s="712" t="s">
        <v>834</v>
      </c>
      <c r="M32" s="712" t="s">
        <v>834</v>
      </c>
      <c r="N32" s="712" t="s">
        <v>834</v>
      </c>
      <c r="O32" s="712" t="s">
        <v>834</v>
      </c>
      <c r="P32" s="712" t="s">
        <v>834</v>
      </c>
      <c r="Q32" s="712" t="s">
        <v>835</v>
      </c>
      <c r="R32" s="712" t="s">
        <v>835</v>
      </c>
      <c r="S32" s="712" t="s">
        <v>834</v>
      </c>
      <c r="T32" s="800" t="s">
        <v>835</v>
      </c>
      <c r="U32" s="1026" t="s">
        <v>835</v>
      </c>
      <c r="V32" s="971" t="s">
        <v>834</v>
      </c>
      <c r="W32" s="971" t="s">
        <v>835</v>
      </c>
      <c r="X32" s="971" t="s">
        <v>834</v>
      </c>
      <c r="Y32" s="712" t="s">
        <v>834</v>
      </c>
      <c r="Z32" s="712" t="s">
        <v>834</v>
      </c>
      <c r="AA32" s="971" t="s">
        <v>834</v>
      </c>
      <c r="AB32" s="971" t="s">
        <v>834</v>
      </c>
      <c r="AC32" s="971" t="s">
        <v>835</v>
      </c>
      <c r="AD32" s="712" t="s">
        <v>835</v>
      </c>
      <c r="AE32" s="1016" t="s">
        <v>834</v>
      </c>
      <c r="AF32" s="800" t="s">
        <v>835</v>
      </c>
      <c r="AG32" s="710" t="s">
        <v>835</v>
      </c>
      <c r="AH32" s="712" t="s">
        <v>834</v>
      </c>
      <c r="AI32" s="971" t="s">
        <v>835</v>
      </c>
      <c r="AJ32" s="971" t="s">
        <v>834</v>
      </c>
      <c r="AK32" s="971" t="s">
        <v>834</v>
      </c>
      <c r="AL32" s="971" t="s">
        <v>835</v>
      </c>
      <c r="AM32" s="971" t="s">
        <v>835</v>
      </c>
      <c r="AN32" s="971" t="s">
        <v>834</v>
      </c>
      <c r="AO32" s="971" t="s">
        <v>835</v>
      </c>
      <c r="AP32" s="971" t="s">
        <v>834</v>
      </c>
      <c r="AQ32" s="971" t="s">
        <v>834</v>
      </c>
      <c r="AR32" s="771" t="s">
        <v>835</v>
      </c>
      <c r="AS32" s="1324"/>
      <c r="AU32" s="1337"/>
    </row>
    <row r="33" spans="1:47" ht="33.950000000000003" customHeight="1">
      <c r="A33" s="1533"/>
      <c r="B33" s="1525" t="s">
        <v>231</v>
      </c>
      <c r="C33" s="1526"/>
      <c r="D33" s="1526"/>
      <c r="E33" s="1526"/>
      <c r="F33" s="1526"/>
      <c r="G33" s="1526"/>
      <c r="H33" s="1526"/>
      <c r="I33" s="833">
        <f t="shared" ref="I33:W33" si="16">COUNTIF(I26:I32,"＋")+COUNTIF(I26:I32,0)/2</f>
        <v>2</v>
      </c>
      <c r="J33" s="826">
        <f t="shared" si="16"/>
        <v>3</v>
      </c>
      <c r="K33" s="826">
        <f t="shared" si="16"/>
        <v>2</v>
      </c>
      <c r="L33" s="825">
        <f t="shared" si="16"/>
        <v>2</v>
      </c>
      <c r="M33" s="825">
        <f t="shared" si="16"/>
        <v>2</v>
      </c>
      <c r="N33" s="825">
        <f t="shared" si="16"/>
        <v>6</v>
      </c>
      <c r="O33" s="825">
        <f t="shared" si="16"/>
        <v>2</v>
      </c>
      <c r="P33" s="825">
        <f t="shared" si="16"/>
        <v>4</v>
      </c>
      <c r="Q33" s="825">
        <f t="shared" si="16"/>
        <v>4</v>
      </c>
      <c r="R33" s="825">
        <f t="shared" si="16"/>
        <v>4</v>
      </c>
      <c r="S33" s="825">
        <f t="shared" si="16"/>
        <v>5</v>
      </c>
      <c r="T33" s="827">
        <f t="shared" si="16"/>
        <v>6</v>
      </c>
      <c r="U33" s="1029">
        <f t="shared" si="16"/>
        <v>2</v>
      </c>
      <c r="V33" s="974">
        <f t="shared" si="16"/>
        <v>3</v>
      </c>
      <c r="W33" s="974">
        <f t="shared" si="16"/>
        <v>2</v>
      </c>
      <c r="X33" s="974">
        <f t="shared" ref="X33:AD33" si="17">COUNTIF(X26:X32,"＋")+COUNTIF(X26:X32,0)/2</f>
        <v>2</v>
      </c>
      <c r="Y33" s="825">
        <f t="shared" si="17"/>
        <v>2</v>
      </c>
      <c r="Z33" s="825">
        <f t="shared" si="17"/>
        <v>6</v>
      </c>
      <c r="AA33" s="974">
        <f t="shared" si="17"/>
        <v>2</v>
      </c>
      <c r="AB33" s="974">
        <f t="shared" si="17"/>
        <v>4</v>
      </c>
      <c r="AC33" s="974">
        <f t="shared" si="17"/>
        <v>4</v>
      </c>
      <c r="AD33" s="825">
        <f t="shared" si="17"/>
        <v>4</v>
      </c>
      <c r="AE33" s="1019">
        <f>COUNTIF(AE26:AE32,"＋")+COUNTIF(AE26:AE32,0)/2</f>
        <v>5</v>
      </c>
      <c r="AF33" s="827">
        <f>COUNTIF(AF26:AF32,"＋")+COUNTIF(AF26:AF32,0)/2</f>
        <v>6</v>
      </c>
      <c r="AG33" s="833">
        <f t="shared" ref="AG33:AP33" si="18">COUNTIF(AG26:AG32,"＋")+COUNTIF(AG26:AG32,0)/2</f>
        <v>3</v>
      </c>
      <c r="AH33" s="825">
        <f t="shared" si="18"/>
        <v>6</v>
      </c>
      <c r="AI33" s="974">
        <f t="shared" si="18"/>
        <v>3</v>
      </c>
      <c r="AJ33" s="974">
        <f t="shared" si="18"/>
        <v>2</v>
      </c>
      <c r="AK33" s="974">
        <f t="shared" si="18"/>
        <v>2</v>
      </c>
      <c r="AL33" s="974">
        <f t="shared" si="18"/>
        <v>1</v>
      </c>
      <c r="AM33" s="974">
        <f t="shared" si="18"/>
        <v>3</v>
      </c>
      <c r="AN33" s="974">
        <f t="shared" si="18"/>
        <v>1</v>
      </c>
      <c r="AO33" s="974">
        <f t="shared" si="18"/>
        <v>3</v>
      </c>
      <c r="AP33" s="974">
        <f t="shared" si="18"/>
        <v>5</v>
      </c>
      <c r="AQ33" s="974">
        <f>COUNTIF(AQ26:AQ32,"＋")+COUNTIF(AQ26:AQ32,0)/2</f>
        <v>5</v>
      </c>
      <c r="AR33" s="772">
        <f>COUNTIF(AR26:AR32,"＋")+COUNTIF(AR26:AR32,0)/2</f>
        <v>0</v>
      </c>
      <c r="AS33" s="1325"/>
      <c r="AU33" s="1337"/>
    </row>
    <row r="34" spans="1:47" ht="33.950000000000003" customHeight="1">
      <c r="A34" s="1533"/>
      <c r="B34" s="1523" t="s">
        <v>232</v>
      </c>
      <c r="C34" s="1524"/>
      <c r="D34" s="1524"/>
      <c r="E34" s="1524"/>
      <c r="F34" s="1524"/>
      <c r="G34" s="1524"/>
      <c r="H34" s="1524"/>
      <c r="I34" s="719">
        <f t="shared" ref="I34:AD34" si="19">7-COUNTIF(I26:I33,"")</f>
        <v>7</v>
      </c>
      <c r="J34" s="720">
        <f t="shared" si="19"/>
        <v>7</v>
      </c>
      <c r="K34" s="720">
        <f t="shared" si="19"/>
        <v>7</v>
      </c>
      <c r="L34" s="721">
        <f t="shared" si="19"/>
        <v>7</v>
      </c>
      <c r="M34" s="721">
        <f t="shared" si="19"/>
        <v>7</v>
      </c>
      <c r="N34" s="721">
        <f t="shared" si="19"/>
        <v>7</v>
      </c>
      <c r="O34" s="721">
        <f t="shared" si="19"/>
        <v>7</v>
      </c>
      <c r="P34" s="721">
        <f t="shared" si="19"/>
        <v>7</v>
      </c>
      <c r="Q34" s="721">
        <f t="shared" si="19"/>
        <v>7</v>
      </c>
      <c r="R34" s="721">
        <f t="shared" si="19"/>
        <v>7</v>
      </c>
      <c r="S34" s="721">
        <f t="shared" si="19"/>
        <v>7</v>
      </c>
      <c r="T34" s="831">
        <f t="shared" si="19"/>
        <v>7</v>
      </c>
      <c r="U34" s="1035">
        <f t="shared" si="19"/>
        <v>7</v>
      </c>
      <c r="V34" s="980">
        <f t="shared" si="19"/>
        <v>7</v>
      </c>
      <c r="W34" s="980">
        <f t="shared" si="19"/>
        <v>7</v>
      </c>
      <c r="X34" s="980">
        <f t="shared" si="19"/>
        <v>7</v>
      </c>
      <c r="Y34" s="721">
        <f t="shared" si="19"/>
        <v>7</v>
      </c>
      <c r="Z34" s="721">
        <f t="shared" si="19"/>
        <v>7</v>
      </c>
      <c r="AA34" s="980">
        <f t="shared" si="19"/>
        <v>7</v>
      </c>
      <c r="AB34" s="980">
        <f t="shared" si="19"/>
        <v>7</v>
      </c>
      <c r="AC34" s="980">
        <f t="shared" si="19"/>
        <v>7</v>
      </c>
      <c r="AD34" s="721">
        <f t="shared" si="19"/>
        <v>7</v>
      </c>
      <c r="AE34" s="1024">
        <f>7-COUNTIF(AE26:AE33,"")</f>
        <v>7</v>
      </c>
      <c r="AF34" s="831">
        <f>7-COUNTIF(AF26:AF33,"")</f>
        <v>7</v>
      </c>
      <c r="AG34" s="719">
        <f t="shared" ref="AG34:AP34" si="20">7-COUNTIF(AG26:AG33,"")</f>
        <v>7</v>
      </c>
      <c r="AH34" s="721">
        <f t="shared" si="20"/>
        <v>7</v>
      </c>
      <c r="AI34" s="980">
        <f t="shared" si="20"/>
        <v>7</v>
      </c>
      <c r="AJ34" s="980">
        <f t="shared" si="20"/>
        <v>7</v>
      </c>
      <c r="AK34" s="980">
        <f t="shared" si="20"/>
        <v>7</v>
      </c>
      <c r="AL34" s="980">
        <f t="shared" si="20"/>
        <v>7</v>
      </c>
      <c r="AM34" s="980">
        <f t="shared" si="20"/>
        <v>7</v>
      </c>
      <c r="AN34" s="980">
        <f t="shared" si="20"/>
        <v>7</v>
      </c>
      <c r="AO34" s="980">
        <f t="shared" si="20"/>
        <v>7</v>
      </c>
      <c r="AP34" s="980">
        <f t="shared" si="20"/>
        <v>7</v>
      </c>
      <c r="AQ34" s="980">
        <f>7-COUNTIF(AQ26:AQ33,"")</f>
        <v>7</v>
      </c>
      <c r="AR34" s="1050">
        <f>7-COUNTIF(AR26:AR33,"")</f>
        <v>7</v>
      </c>
      <c r="AS34" s="1328"/>
      <c r="AU34" s="1337"/>
    </row>
    <row r="35" spans="1:47" s="379" customFormat="1" ht="39" customHeight="1" thickBot="1">
      <c r="A35" s="1534"/>
      <c r="B35" s="1544" t="s">
        <v>248</v>
      </c>
      <c r="C35" s="1545"/>
      <c r="D35" s="1545"/>
      <c r="E35" s="1545"/>
      <c r="F35" s="1545"/>
      <c r="G35" s="1545"/>
      <c r="H35" s="1545"/>
      <c r="I35" s="782">
        <f t="shared" ref="I35:U35" si="21">ROUND(I33/I34*100,1)</f>
        <v>28.6</v>
      </c>
      <c r="J35" s="747">
        <f t="shared" si="21"/>
        <v>42.9</v>
      </c>
      <c r="K35" s="747">
        <f t="shared" si="21"/>
        <v>28.6</v>
      </c>
      <c r="L35" s="747">
        <f t="shared" si="21"/>
        <v>28.6</v>
      </c>
      <c r="M35" s="747">
        <f t="shared" si="21"/>
        <v>28.6</v>
      </c>
      <c r="N35" s="747">
        <f t="shared" si="21"/>
        <v>85.7</v>
      </c>
      <c r="O35" s="747">
        <f t="shared" si="21"/>
        <v>28.6</v>
      </c>
      <c r="P35" s="747">
        <f t="shared" si="21"/>
        <v>57.1</v>
      </c>
      <c r="Q35" s="747">
        <f t="shared" si="21"/>
        <v>57.1</v>
      </c>
      <c r="R35" s="747">
        <f t="shared" si="21"/>
        <v>57.1</v>
      </c>
      <c r="S35" s="747">
        <f t="shared" si="21"/>
        <v>71.400000000000006</v>
      </c>
      <c r="T35" s="801">
        <f t="shared" si="21"/>
        <v>85.7</v>
      </c>
      <c r="U35" s="1030">
        <f t="shared" si="21"/>
        <v>28.6</v>
      </c>
      <c r="V35" s="975">
        <f t="shared" ref="V35:AD35" si="22">ROUND(V33/V34*100,1)</f>
        <v>42.9</v>
      </c>
      <c r="W35" s="975">
        <f t="shared" si="22"/>
        <v>28.6</v>
      </c>
      <c r="X35" s="975">
        <f t="shared" si="22"/>
        <v>28.6</v>
      </c>
      <c r="Y35" s="747">
        <f t="shared" si="22"/>
        <v>28.6</v>
      </c>
      <c r="Z35" s="1055">
        <f t="shared" si="22"/>
        <v>85.7</v>
      </c>
      <c r="AA35" s="986">
        <f>ROUND(AA33/AA34*100,1)</f>
        <v>28.6</v>
      </c>
      <c r="AB35" s="986">
        <f>ROUND(AB33/AB34*100,1)</f>
        <v>57.1</v>
      </c>
      <c r="AC35" s="975">
        <f t="shared" si="22"/>
        <v>57.1</v>
      </c>
      <c r="AD35" s="1055">
        <f t="shared" si="22"/>
        <v>57.1</v>
      </c>
      <c r="AE35" s="1048">
        <f>ROUND(AE33/AE34*100,1)</f>
        <v>71.400000000000006</v>
      </c>
      <c r="AF35" s="1098">
        <f>ROUND(AF33/AF34*100,1)</f>
        <v>85.7</v>
      </c>
      <c r="AG35" s="782">
        <f t="shared" ref="AG35:AL35" si="23">ROUND(AG33/AG34*100,1)</f>
        <v>42.9</v>
      </c>
      <c r="AH35" s="1055">
        <f t="shared" si="23"/>
        <v>85.7</v>
      </c>
      <c r="AI35" s="975">
        <f t="shared" si="23"/>
        <v>42.9</v>
      </c>
      <c r="AJ35" s="975">
        <f t="shared" si="23"/>
        <v>28.6</v>
      </c>
      <c r="AK35" s="975">
        <f t="shared" si="23"/>
        <v>28.6</v>
      </c>
      <c r="AL35" s="986">
        <f t="shared" si="23"/>
        <v>14.3</v>
      </c>
      <c r="AM35" s="986">
        <f t="shared" ref="AM35:AR35" si="24">ROUND(AM33/AM34*100,1)</f>
        <v>42.9</v>
      </c>
      <c r="AN35" s="986">
        <f t="shared" si="24"/>
        <v>14.3</v>
      </c>
      <c r="AO35" s="975">
        <f t="shared" si="24"/>
        <v>42.9</v>
      </c>
      <c r="AP35" s="986">
        <f t="shared" si="24"/>
        <v>71.400000000000006</v>
      </c>
      <c r="AQ35" s="986">
        <f t="shared" si="24"/>
        <v>71.400000000000006</v>
      </c>
      <c r="AR35" s="787">
        <f t="shared" si="24"/>
        <v>0</v>
      </c>
      <c r="AS35" s="1329"/>
      <c r="AT35"/>
      <c r="AU35" s="1337"/>
    </row>
    <row r="36" spans="1:47"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T36"/>
      <c r="AU36"/>
    </row>
    <row r="37" spans="1:47" s="436" customFormat="1" ht="20.100000000000001" customHeight="1">
      <c r="A37" s="722" t="s">
        <v>381</v>
      </c>
      <c r="B37" s="722" t="s">
        <v>562</v>
      </c>
      <c r="C37" s="1562" t="s">
        <v>470</v>
      </c>
      <c r="D37" s="1562"/>
      <c r="E37" s="1562"/>
      <c r="F37" s="1562"/>
      <c r="G37" s="1562"/>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T37"/>
      <c r="AU37"/>
    </row>
    <row r="38" spans="1:47" s="436" customFormat="1" ht="20.100000000000001" customHeight="1">
      <c r="A38" s="722"/>
      <c r="B38" s="722"/>
      <c r="C38" s="1562" t="s">
        <v>74</v>
      </c>
      <c r="D38" s="1562"/>
      <c r="E38" s="1562"/>
      <c r="F38" s="1562"/>
      <c r="G38" s="1562"/>
      <c r="H38" s="1562"/>
      <c r="I38" s="624"/>
      <c r="J38" s="624"/>
      <c r="K38" s="624"/>
      <c r="L38" s="624"/>
      <c r="M38" s="624"/>
      <c r="N38" s="624"/>
      <c r="O38" s="624"/>
      <c r="P38" s="624"/>
      <c r="Q38" s="624"/>
      <c r="R38" s="624"/>
      <c r="S38" s="624"/>
      <c r="T38" s="624"/>
      <c r="U38" s="623"/>
      <c r="V38" s="623"/>
      <c r="W38" s="623"/>
      <c r="X38" s="623"/>
      <c r="Y38" s="623"/>
      <c r="Z38" s="623"/>
      <c r="AA38" s="623"/>
      <c r="AB38" s="623"/>
      <c r="AC38" s="623"/>
      <c r="AD38" s="623"/>
      <c r="AT38"/>
      <c r="AU38"/>
    </row>
    <row r="39" spans="1:47" s="436" customFormat="1" ht="20.100000000000001" customHeight="1">
      <c r="A39" s="723"/>
      <c r="B39" s="724"/>
      <c r="C39" s="1562" t="s">
        <v>75</v>
      </c>
      <c r="D39" s="1562"/>
      <c r="E39" s="1562"/>
      <c r="F39" s="1562"/>
      <c r="G39" s="1562"/>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T39"/>
      <c r="AU39"/>
    </row>
    <row r="40" spans="1:47"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T40"/>
      <c r="AU40"/>
    </row>
    <row r="41" spans="1:47"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T41"/>
      <c r="AU41"/>
    </row>
    <row r="42" spans="1:47" s="436" customFormat="1" ht="20.100000000000001" customHeight="1">
      <c r="A42" s="723"/>
      <c r="B42" s="724"/>
      <c r="C42" s="1561" t="s">
        <v>597</v>
      </c>
      <c r="D42" s="1561"/>
      <c r="E42" s="1561"/>
      <c r="F42" s="1561"/>
      <c r="G42" s="1561"/>
      <c r="H42" s="1561"/>
      <c r="I42" s="1561"/>
      <c r="J42" s="1561"/>
      <c r="K42" s="1561"/>
      <c r="L42" s="1561"/>
      <c r="M42" s="1561"/>
      <c r="N42" s="1561"/>
      <c r="O42" s="1561"/>
      <c r="P42" s="1561"/>
      <c r="Q42" s="1561"/>
      <c r="R42" s="1561"/>
      <c r="S42" s="1561"/>
      <c r="T42" s="1561"/>
      <c r="U42" s="1561"/>
      <c r="V42" s="1561"/>
      <c r="W42" s="1561"/>
      <c r="X42" s="1561"/>
      <c r="Y42" s="1561"/>
      <c r="Z42" s="1561"/>
      <c r="AA42" s="1561"/>
      <c r="AB42" s="1561"/>
      <c r="AC42" s="1561"/>
      <c r="AD42" s="1561"/>
      <c r="AE42" s="1561"/>
      <c r="AF42" s="1561"/>
      <c r="AG42" s="1561"/>
      <c r="AT42"/>
      <c r="AU42"/>
    </row>
    <row r="43" spans="1:47"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T43"/>
      <c r="AU43"/>
    </row>
    <row r="44" spans="1:47"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T44"/>
      <c r="AU44"/>
    </row>
    <row r="45" spans="1:47"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T45"/>
      <c r="AU45"/>
    </row>
    <row r="46" spans="1:47"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T46"/>
      <c r="AU46"/>
    </row>
    <row r="47" spans="1:47"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T47"/>
      <c r="AU47"/>
    </row>
    <row r="48" spans="1:47" s="436" customFormat="1" ht="20.100000000000001" hidden="1" customHeight="1">
      <c r="A48" s="435"/>
      <c r="H48" s="437"/>
      <c r="AT48"/>
      <c r="AU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I3:T3"/>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topLeftCell="A11" zoomScale="90" zoomScaleNormal="100" zoomScaleSheetLayoutView="90" workbookViewId="0">
      <selection activeCell="Q9" sqref="Q9"/>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80" zoomScaleNormal="100" zoomScaleSheetLayoutView="80" workbookViewId="0">
      <pane xSplit="2" ySplit="5" topLeftCell="C6" activePane="bottomRight" state="frozen"/>
      <selection activeCell="Q9" sqref="Q9"/>
      <selection pane="topRight" activeCell="Q9" sqref="Q9"/>
      <selection pane="bottomLeft" activeCell="Q9" sqref="Q9"/>
      <selection pane="bottomRight" activeCell="Q9" sqref="Q9"/>
    </sheetView>
  </sheetViews>
  <sheetFormatPr defaultColWidth="8" defaultRowHeight="13.5"/>
  <cols>
    <col min="1" max="2" width="3.375" style="270" customWidth="1"/>
    <col min="3" max="14" width="9.625" style="271" customWidth="1"/>
    <col min="15" max="15" width="2.125" customWidth="1"/>
    <col min="45" max="16384" width="8" style="219"/>
  </cols>
  <sheetData>
    <row r="1" spans="1:14" s="270" customFormat="1" ht="24.95" customHeight="1">
      <c r="A1" s="570" t="s">
        <v>202</v>
      </c>
      <c r="B1" s="268"/>
      <c r="C1" s="269"/>
      <c r="D1" s="269"/>
      <c r="E1" s="269"/>
      <c r="F1" s="269"/>
      <c r="G1" s="269"/>
      <c r="H1" s="269"/>
      <c r="I1" s="269"/>
      <c r="J1" s="269"/>
      <c r="K1" s="269"/>
      <c r="L1" s="269"/>
      <c r="M1" s="269"/>
      <c r="N1" s="269"/>
    </row>
    <row r="3" spans="1:14" s="270" customFormat="1" ht="17.25">
      <c r="A3" s="1595" t="s">
        <v>551</v>
      </c>
      <c r="B3" s="1595"/>
      <c r="C3" s="1595"/>
      <c r="D3" s="1595"/>
      <c r="E3" s="269"/>
      <c r="F3" s="269"/>
      <c r="G3" s="269"/>
      <c r="H3" s="269"/>
      <c r="I3" s="269"/>
      <c r="J3" s="269"/>
      <c r="K3" s="269"/>
      <c r="L3" s="269"/>
      <c r="M3" s="269"/>
      <c r="N3" s="269"/>
    </row>
    <row r="4" spans="1:14" s="270" customFormat="1" ht="20.100000000000001" customHeight="1">
      <c r="A4" s="619"/>
      <c r="B4" s="620" t="s">
        <v>189</v>
      </c>
      <c r="C4" s="1596" t="s">
        <v>259</v>
      </c>
      <c r="D4" s="1589" t="s">
        <v>260</v>
      </c>
      <c r="E4" s="1589" t="s">
        <v>261</v>
      </c>
      <c r="F4" s="1589" t="s">
        <v>283</v>
      </c>
      <c r="G4" s="1589" t="s">
        <v>296</v>
      </c>
      <c r="H4" s="1589" t="s">
        <v>297</v>
      </c>
      <c r="I4" s="1589" t="s">
        <v>298</v>
      </c>
      <c r="J4" s="1589" t="s">
        <v>299</v>
      </c>
      <c r="K4" s="1589" t="s">
        <v>300</v>
      </c>
      <c r="L4" s="1589" t="s">
        <v>301</v>
      </c>
      <c r="M4" s="1589" t="s">
        <v>137</v>
      </c>
      <c r="N4" s="1600" t="s">
        <v>138</v>
      </c>
    </row>
    <row r="5" spans="1:14" s="270" customFormat="1" ht="20.100000000000001" customHeight="1">
      <c r="A5" s="621" t="s">
        <v>190</v>
      </c>
      <c r="B5" s="622"/>
      <c r="C5" s="1597"/>
      <c r="D5" s="1590"/>
      <c r="E5" s="1590"/>
      <c r="F5" s="1590"/>
      <c r="G5" s="1590"/>
      <c r="H5" s="1590"/>
      <c r="I5" s="1590"/>
      <c r="J5" s="1590"/>
      <c r="K5" s="1590"/>
      <c r="L5" s="1590"/>
      <c r="M5" s="1590"/>
      <c r="N5" s="1601"/>
    </row>
    <row r="6" spans="1:14" ht="20.100000000000001" customHeight="1">
      <c r="A6" s="1587" t="s">
        <v>677</v>
      </c>
      <c r="B6" s="1588"/>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87" t="s">
        <v>678</v>
      </c>
      <c r="B7" s="1588"/>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87" t="s">
        <v>679</v>
      </c>
      <c r="B8" s="1588"/>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87" t="s">
        <v>680</v>
      </c>
      <c r="B9" s="1588"/>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87" t="s">
        <v>681</v>
      </c>
      <c r="B10" s="1588"/>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87" t="s">
        <v>682</v>
      </c>
      <c r="B11" s="1588"/>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87" t="s">
        <v>683</v>
      </c>
      <c r="B12" s="1588"/>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87" t="s">
        <v>684</v>
      </c>
      <c r="B13" s="1588"/>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87" t="s">
        <v>686</v>
      </c>
      <c r="B14" s="1588"/>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598" t="s">
        <v>685</v>
      </c>
      <c r="B15" s="1599"/>
      <c r="C15" s="963">
        <v>28.571428571428573</v>
      </c>
      <c r="D15" s="1004">
        <v>14.285714285714286</v>
      </c>
      <c r="E15" s="1004">
        <v>28.571428571428573</v>
      </c>
      <c r="F15" s="1004">
        <v>14.285714285714286</v>
      </c>
      <c r="G15" s="967">
        <v>14.285714285714286</v>
      </c>
      <c r="H15" s="1004">
        <v>14.285714285714286</v>
      </c>
      <c r="I15" s="1004">
        <v>14.285714285714286</v>
      </c>
      <c r="J15" s="1004">
        <v>42.857142857142854</v>
      </c>
      <c r="K15" s="1004">
        <v>71.428571428571431</v>
      </c>
      <c r="L15" s="1004">
        <v>71.428571428571431</v>
      </c>
      <c r="M15" s="1004">
        <v>85.714285714285708</v>
      </c>
      <c r="N15" s="968">
        <v>71.428571428571431</v>
      </c>
    </row>
    <row r="16" spans="1:14" ht="20.100000000000001" customHeight="1">
      <c r="A16" s="1587" t="s">
        <v>693</v>
      </c>
      <c r="B16" s="1588"/>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91" t="s">
        <v>696</v>
      </c>
      <c r="B17" s="1592"/>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91" t="s">
        <v>707</v>
      </c>
      <c r="B18" s="1592"/>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3" t="s">
        <v>711</v>
      </c>
      <c r="B19" s="1084"/>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80" t="s">
        <v>815</v>
      </c>
      <c r="B20" s="1081"/>
      <c r="C20" s="1064">
        <v>57.142857142857146</v>
      </c>
      <c r="D20" s="969">
        <v>71.428571428571431</v>
      </c>
      <c r="E20" s="969">
        <v>50</v>
      </c>
      <c r="F20" s="969">
        <v>85.714285714285708</v>
      </c>
      <c r="G20" s="969">
        <v>57.142857142857146</v>
      </c>
      <c r="H20" s="969">
        <v>57.142857142857146</v>
      </c>
      <c r="I20" s="969">
        <v>64.285714285714292</v>
      </c>
      <c r="J20" s="969">
        <v>42.857142857142854</v>
      </c>
      <c r="K20" s="969">
        <v>42.857142857142854</v>
      </c>
      <c r="L20" s="969">
        <v>71.428571428571431</v>
      </c>
      <c r="M20" s="969">
        <v>42.857142857142854</v>
      </c>
      <c r="N20" s="1082"/>
    </row>
    <row r="21" spans="1:16" s="270" customFormat="1">
      <c r="C21" s="1091"/>
      <c r="D21" s="1091"/>
      <c r="E21" s="1091"/>
      <c r="F21" s="1091"/>
      <c r="G21" s="1091"/>
      <c r="H21" s="1091"/>
      <c r="I21" s="1091"/>
      <c r="J21" s="1091"/>
      <c r="K21" s="1091"/>
      <c r="L21" s="1091"/>
      <c r="M21" s="1091"/>
      <c r="N21" s="1091"/>
      <c r="P21"/>
    </row>
    <row r="22" spans="1:16" s="270" customFormat="1" ht="17.25">
      <c r="A22" s="1586" t="s">
        <v>552</v>
      </c>
      <c r="B22" s="1586"/>
      <c r="C22" s="1586"/>
      <c r="D22" s="1586"/>
      <c r="E22" s="269"/>
      <c r="F22" s="269"/>
      <c r="G22" s="269"/>
      <c r="H22" s="269"/>
      <c r="I22" s="269"/>
      <c r="J22" s="269"/>
      <c r="K22" s="269"/>
      <c r="L22" s="269"/>
      <c r="M22" s="269"/>
      <c r="N22" s="269"/>
      <c r="P22"/>
    </row>
    <row r="23" spans="1:16" s="270" customFormat="1" ht="20.100000000000001" customHeight="1">
      <c r="A23" s="619"/>
      <c r="B23" s="620" t="s">
        <v>189</v>
      </c>
      <c r="C23" s="1593" t="s">
        <v>259</v>
      </c>
      <c r="D23" s="1584" t="s">
        <v>260</v>
      </c>
      <c r="E23" s="1584" t="s">
        <v>261</v>
      </c>
      <c r="F23" s="1584" t="s">
        <v>283</v>
      </c>
      <c r="G23" s="1584" t="s">
        <v>296</v>
      </c>
      <c r="H23" s="1584" t="s">
        <v>297</v>
      </c>
      <c r="I23" s="1584" t="s">
        <v>298</v>
      </c>
      <c r="J23" s="1584" t="s">
        <v>299</v>
      </c>
      <c r="K23" s="1584" t="s">
        <v>300</v>
      </c>
      <c r="L23" s="1584" t="s">
        <v>301</v>
      </c>
      <c r="M23" s="1584" t="s">
        <v>137</v>
      </c>
      <c r="N23" s="1602" t="s">
        <v>138</v>
      </c>
      <c r="P23"/>
    </row>
    <row r="24" spans="1:16" ht="20.100000000000001" customHeight="1">
      <c r="A24" s="621" t="s">
        <v>190</v>
      </c>
      <c r="B24" s="622"/>
      <c r="C24" s="1594"/>
      <c r="D24" s="1585"/>
      <c r="E24" s="1585"/>
      <c r="F24" s="1585"/>
      <c r="G24" s="1585"/>
      <c r="H24" s="1585"/>
      <c r="I24" s="1585"/>
      <c r="J24" s="1585"/>
      <c r="K24" s="1585"/>
      <c r="L24" s="1585"/>
      <c r="M24" s="1585"/>
      <c r="N24" s="1603"/>
    </row>
    <row r="25" spans="1:16" ht="20.100000000000001" customHeight="1">
      <c r="A25" s="1259" t="s">
        <v>677</v>
      </c>
      <c r="B25" s="1260"/>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59" t="s">
        <v>678</v>
      </c>
      <c r="B26" s="1260"/>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59" t="s">
        <v>679</v>
      </c>
      <c r="B27" s="1260"/>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59" t="s">
        <v>680</v>
      </c>
      <c r="B28" s="1260"/>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59" t="s">
        <v>681</v>
      </c>
      <c r="B29" s="1260"/>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59" t="s">
        <v>682</v>
      </c>
      <c r="B30" s="1260"/>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59" t="s">
        <v>683</v>
      </c>
      <c r="B31" s="1260"/>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59" t="s">
        <v>684</v>
      </c>
      <c r="B32" s="1260"/>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59" t="s">
        <v>686</v>
      </c>
      <c r="B33" s="1260"/>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61" t="s">
        <v>685</v>
      </c>
      <c r="B34" s="1262"/>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59" t="s">
        <v>693</v>
      </c>
      <c r="B35" s="1260"/>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3" t="s">
        <v>696</v>
      </c>
      <c r="B36" s="1084"/>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3" t="s">
        <v>707</v>
      </c>
      <c r="B37" s="1084"/>
      <c r="C37" s="1056">
        <v>18.75</v>
      </c>
      <c r="D37" s="964">
        <v>25</v>
      </c>
      <c r="E37" s="964">
        <v>50</v>
      </c>
      <c r="F37" s="964">
        <v>37.5</v>
      </c>
      <c r="G37" s="964">
        <v>50</v>
      </c>
      <c r="H37" s="964">
        <v>25</v>
      </c>
      <c r="I37" s="964">
        <v>25</v>
      </c>
      <c r="J37" s="964">
        <v>25</v>
      </c>
      <c r="K37" s="964">
        <v>25</v>
      </c>
      <c r="L37" s="964">
        <v>37.5</v>
      </c>
      <c r="M37" s="964">
        <v>12.5</v>
      </c>
      <c r="N37" s="965">
        <v>37.5</v>
      </c>
    </row>
    <row r="38" spans="1:16" ht="20.100000000000001" customHeight="1">
      <c r="A38" s="1083" t="s">
        <v>711</v>
      </c>
      <c r="B38" s="1084"/>
      <c r="C38" s="966">
        <v>12.5</v>
      </c>
      <c r="D38" s="967">
        <v>62.5</v>
      </c>
      <c r="E38" s="967">
        <v>62.5</v>
      </c>
      <c r="F38" s="967">
        <v>62.5</v>
      </c>
      <c r="G38" s="967">
        <v>62.5</v>
      </c>
      <c r="H38" s="967">
        <v>75</v>
      </c>
      <c r="I38" s="967">
        <v>50</v>
      </c>
      <c r="J38" s="967">
        <v>25</v>
      </c>
      <c r="K38" s="967">
        <v>43.75</v>
      </c>
      <c r="L38" s="967">
        <v>75</v>
      </c>
      <c r="M38" s="967">
        <v>68.75</v>
      </c>
      <c r="N38" s="968">
        <v>75</v>
      </c>
      <c r="P38" s="1078"/>
    </row>
    <row r="39" spans="1:16" ht="20.100000000000001" customHeight="1">
      <c r="A39" s="1080" t="s">
        <v>815</v>
      </c>
      <c r="B39" s="1081"/>
      <c r="C39" s="1064">
        <v>87.5</v>
      </c>
      <c r="D39" s="969">
        <v>62.5</v>
      </c>
      <c r="E39" s="969">
        <v>75</v>
      </c>
      <c r="F39" s="969">
        <v>25</v>
      </c>
      <c r="G39" s="969">
        <v>50</v>
      </c>
      <c r="H39" s="969">
        <v>25</v>
      </c>
      <c r="I39" s="969">
        <v>0</v>
      </c>
      <c r="J39" s="969">
        <v>12.5</v>
      </c>
      <c r="K39" s="969">
        <v>50</v>
      </c>
      <c r="L39" s="969">
        <v>62.5</v>
      </c>
      <c r="M39" s="969">
        <v>75</v>
      </c>
      <c r="N39" s="1082"/>
      <c r="P39" s="1078"/>
    </row>
    <row r="40" spans="1:16" s="270" customFormat="1">
      <c r="C40" s="1091"/>
      <c r="D40" s="1091"/>
      <c r="E40" s="1091"/>
      <c r="K40" s="1091"/>
      <c r="L40" s="1091"/>
      <c r="M40" s="1091"/>
      <c r="N40" s="1091"/>
    </row>
    <row r="41" spans="1:16" s="270" customFormat="1" ht="17.25">
      <c r="A41" s="1586" t="s">
        <v>553</v>
      </c>
      <c r="B41" s="1586"/>
      <c r="C41" s="1586"/>
      <c r="D41" s="1586"/>
      <c r="E41" s="269"/>
      <c r="F41" s="269"/>
      <c r="G41" s="269"/>
      <c r="H41" s="269"/>
      <c r="I41" s="269"/>
      <c r="J41" s="269"/>
      <c r="K41" s="269"/>
      <c r="L41" s="269"/>
      <c r="M41" s="269"/>
      <c r="N41" s="269"/>
    </row>
    <row r="42" spans="1:16" s="270" customFormat="1" ht="20.100000000000001" customHeight="1">
      <c r="A42" s="619"/>
      <c r="B42" s="620" t="s">
        <v>189</v>
      </c>
      <c r="C42" s="1582" t="s">
        <v>259</v>
      </c>
      <c r="D42" s="1589" t="s">
        <v>260</v>
      </c>
      <c r="E42" s="1589" t="s">
        <v>261</v>
      </c>
      <c r="F42" s="1589" t="s">
        <v>283</v>
      </c>
      <c r="G42" s="1589" t="s">
        <v>296</v>
      </c>
      <c r="H42" s="1589" t="s">
        <v>297</v>
      </c>
      <c r="I42" s="1589" t="s">
        <v>298</v>
      </c>
      <c r="J42" s="1589" t="s">
        <v>299</v>
      </c>
      <c r="K42" s="1589" t="s">
        <v>300</v>
      </c>
      <c r="L42" s="1589" t="s">
        <v>301</v>
      </c>
      <c r="M42" s="1589" t="s">
        <v>137</v>
      </c>
      <c r="N42" s="1600" t="s">
        <v>138</v>
      </c>
    </row>
    <row r="43" spans="1:16" ht="20.100000000000001" customHeight="1">
      <c r="A43" s="621" t="s">
        <v>190</v>
      </c>
      <c r="B43" s="622"/>
      <c r="C43" s="1583"/>
      <c r="D43" s="1590"/>
      <c r="E43" s="1590"/>
      <c r="F43" s="1590"/>
      <c r="G43" s="1590"/>
      <c r="H43" s="1590"/>
      <c r="I43" s="1590"/>
      <c r="J43" s="1590"/>
      <c r="K43" s="1590"/>
      <c r="L43" s="1590"/>
      <c r="M43" s="1590"/>
      <c r="N43" s="1601"/>
    </row>
    <row r="44" spans="1:16" ht="20.100000000000001" customHeight="1">
      <c r="A44" s="1259" t="s">
        <v>677</v>
      </c>
      <c r="B44" s="1260"/>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59" t="s">
        <v>678</v>
      </c>
      <c r="B45" s="1260"/>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59" t="s">
        <v>679</v>
      </c>
      <c r="B46" s="1260"/>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59" t="s">
        <v>680</v>
      </c>
      <c r="B47" s="1260"/>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59" t="s">
        <v>681</v>
      </c>
      <c r="B48" s="1260"/>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59" t="s">
        <v>682</v>
      </c>
      <c r="B49" s="1260"/>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59" t="s">
        <v>683</v>
      </c>
      <c r="B50" s="1260"/>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59" t="s">
        <v>684</v>
      </c>
      <c r="B51" s="1260"/>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59" t="s">
        <v>686</v>
      </c>
      <c r="B52" s="1260"/>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c r="L52" s="964">
        <v>35.714285714285715</v>
      </c>
      <c r="M52" s="964">
        <v>42.857142857142854</v>
      </c>
      <c r="N52" s="965">
        <v>71.428571428571431</v>
      </c>
    </row>
    <row r="53" spans="1:44" ht="19.5" customHeight="1">
      <c r="A53" s="1261" t="s">
        <v>685</v>
      </c>
      <c r="B53" s="1262"/>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59" t="s">
        <v>693</v>
      </c>
      <c r="B54" s="1260"/>
      <c r="C54" s="970">
        <v>50</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3" t="s">
        <v>696</v>
      </c>
      <c r="B55" s="1084"/>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3" t="s">
        <v>707</v>
      </c>
      <c r="B56" s="1084"/>
      <c r="C56" s="1056">
        <v>85.714285714285708</v>
      </c>
      <c r="D56" s="964">
        <v>57.142857142857146</v>
      </c>
      <c r="E56" s="964">
        <v>57.142857142857146</v>
      </c>
      <c r="F56" s="964">
        <v>57.142857142857146</v>
      </c>
      <c r="G56" s="964">
        <v>14.285714285714286</v>
      </c>
      <c r="H56" s="964">
        <v>14.285714285714286</v>
      </c>
      <c r="I56" s="964">
        <v>42.857142857142854</v>
      </c>
      <c r="J56" s="964">
        <v>71.428571428571431</v>
      </c>
      <c r="K56" s="964">
        <v>78.571428571428569</v>
      </c>
      <c r="L56" s="964">
        <v>85.714285714285708</v>
      </c>
      <c r="M56" s="964">
        <v>71.428571428571431</v>
      </c>
      <c r="N56" s="965">
        <v>85.714285714285708</v>
      </c>
    </row>
    <row r="57" spans="1:44" ht="19.5" customHeight="1">
      <c r="A57" s="1083" t="s">
        <v>711</v>
      </c>
      <c r="B57" s="1084"/>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80" t="s">
        <v>815</v>
      </c>
      <c r="B58" s="1081"/>
      <c r="C58" s="1064">
        <v>42.857142857142854</v>
      </c>
      <c r="D58" s="969">
        <v>85.714285714285708</v>
      </c>
      <c r="E58" s="969">
        <v>42.857142857142854</v>
      </c>
      <c r="F58" s="969">
        <v>28.571428571428573</v>
      </c>
      <c r="G58" s="969">
        <v>28.571428571428573</v>
      </c>
      <c r="H58" s="969">
        <v>14.285714285714286</v>
      </c>
      <c r="I58" s="969">
        <v>42.857142857142854</v>
      </c>
      <c r="J58" s="969">
        <v>14.285714285714286</v>
      </c>
      <c r="K58" s="969">
        <v>42.857142857142854</v>
      </c>
      <c r="L58" s="969">
        <v>71.428571428571431</v>
      </c>
      <c r="M58" s="969">
        <v>71.428571428571431</v>
      </c>
      <c r="N58" s="1082"/>
    </row>
    <row r="59" spans="1:44" ht="5.25" customHeight="1">
      <c r="B59" s="623"/>
      <c r="C59" s="1091"/>
      <c r="D59" s="1091"/>
      <c r="E59" s="1091"/>
      <c r="F59" s="219"/>
      <c r="G59" s="219"/>
      <c r="H59" s="219"/>
      <c r="I59" s="219"/>
      <c r="J59" s="219"/>
      <c r="K59" s="1091"/>
      <c r="L59" s="1091"/>
      <c r="M59" s="1091"/>
      <c r="N59" s="1091"/>
    </row>
    <row r="60" spans="1:44" s="1252" customFormat="1">
      <c r="A60" s="1248"/>
      <c r="B60" s="1249" t="s">
        <v>381</v>
      </c>
      <c r="C60" s="1250" t="s">
        <v>554</v>
      </c>
      <c r="D60" s="1250"/>
      <c r="E60" s="1251"/>
      <c r="F60" s="1251"/>
      <c r="G60" s="1251"/>
      <c r="H60" s="1251"/>
      <c r="I60" s="1251"/>
      <c r="J60" s="1251"/>
      <c r="K60" s="1251"/>
      <c r="L60" s="1251"/>
      <c r="M60" s="1251"/>
      <c r="N60" s="1251"/>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E4:E5"/>
    <mergeCell ref="F4:F5"/>
    <mergeCell ref="E42:E43"/>
    <mergeCell ref="F42:F43"/>
    <mergeCell ref="K42:K43"/>
    <mergeCell ref="G4:G5"/>
    <mergeCell ref="H4:H5"/>
    <mergeCell ref="I4:I5"/>
    <mergeCell ref="H42:H43"/>
    <mergeCell ref="H23:H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C42:C43"/>
    <mergeCell ref="G23:G24"/>
    <mergeCell ref="A41:D41"/>
    <mergeCell ref="A14:B14"/>
    <mergeCell ref="G42:G43"/>
    <mergeCell ref="A16:B16"/>
    <mergeCell ref="A18:B18"/>
    <mergeCell ref="E23:E24"/>
    <mergeCell ref="D42:D43"/>
    <mergeCell ref="C23:C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C1:G40"/>
  <sheetViews>
    <sheetView view="pageBreakPreview" topLeftCell="A13" zoomScale="80" zoomScaleNormal="100" zoomScaleSheetLayoutView="80" workbookViewId="0">
      <selection activeCell="Q9" sqref="Q9"/>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topLeftCell="A30" zoomScale="80" zoomScaleNormal="100" zoomScaleSheetLayoutView="80" workbookViewId="0">
      <selection activeCell="Q9" sqref="Q9"/>
    </sheetView>
  </sheetViews>
  <sheetFormatPr defaultColWidth="9" defaultRowHeight="13.5"/>
  <cols>
    <col min="1" max="9" width="9" style="1150"/>
    <col min="10" max="10" width="20.25" style="1150" customWidth="1"/>
    <col min="11" max="16384" width="9" style="1150"/>
  </cols>
  <sheetData>
    <row r="1" spans="1:11">
      <c r="A1" s="278"/>
      <c r="B1" s="278"/>
      <c r="C1" s="278"/>
      <c r="D1" s="278"/>
      <c r="E1" s="278"/>
      <c r="F1" s="278"/>
      <c r="G1" s="278"/>
      <c r="H1" s="278"/>
      <c r="I1" s="278"/>
      <c r="J1" s="278"/>
      <c r="K1" s="278"/>
    </row>
    <row r="2" spans="1:11" ht="17.25">
      <c r="A2" s="988" t="s">
        <v>254</v>
      </c>
      <c r="B2" s="989"/>
      <c r="C2" s="989"/>
      <c r="D2" s="989"/>
      <c r="E2" s="296"/>
      <c r="F2" s="296"/>
      <c r="G2" s="296"/>
      <c r="H2" s="296"/>
      <c r="I2" s="296"/>
      <c r="J2" s="296"/>
      <c r="K2" s="263"/>
    </row>
    <row r="3" spans="1:11">
      <c r="A3" s="296"/>
      <c r="B3" s="296"/>
      <c r="C3" s="296"/>
      <c r="D3" s="296"/>
      <c r="E3" s="296"/>
      <c r="F3" s="296"/>
      <c r="G3" s="296"/>
      <c r="H3" s="296"/>
      <c r="I3" s="296"/>
      <c r="J3" s="296"/>
      <c r="K3" s="263"/>
    </row>
    <row r="4" spans="1:11" ht="15" customHeight="1">
      <c r="A4" s="990" t="s">
        <v>250</v>
      </c>
      <c r="B4" s="267"/>
      <c r="C4" s="267"/>
      <c r="D4" s="267"/>
      <c r="E4" s="267"/>
      <c r="F4" s="267"/>
      <c r="G4" s="267"/>
      <c r="H4" s="267"/>
      <c r="I4" s="267"/>
      <c r="J4" s="267"/>
      <c r="K4" s="278"/>
    </row>
    <row r="5" spans="1:11">
      <c r="A5" s="267" t="s">
        <v>461</v>
      </c>
      <c r="B5" s="1151"/>
      <c r="C5" s="1151"/>
      <c r="D5" s="1151"/>
      <c r="E5" s="1151"/>
      <c r="F5" s="1151"/>
      <c r="G5" s="1151"/>
      <c r="H5" s="1151"/>
      <c r="I5" s="1151"/>
      <c r="J5" s="1151"/>
      <c r="K5" s="278"/>
    </row>
    <row r="6" spans="1:11">
      <c r="A6" s="1151" t="s">
        <v>460</v>
      </c>
      <c r="B6" s="1151"/>
      <c r="C6" s="1151"/>
      <c r="D6" s="1151"/>
      <c r="E6" s="1151"/>
      <c r="F6" s="1151"/>
      <c r="G6" s="1151"/>
      <c r="H6" s="1151"/>
      <c r="I6" s="1151"/>
      <c r="J6" s="1151"/>
      <c r="K6" s="278"/>
    </row>
    <row r="7" spans="1:11">
      <c r="A7" s="1151" t="s">
        <v>61</v>
      </c>
      <c r="B7" s="1151"/>
      <c r="C7" s="1151"/>
      <c r="D7" s="1151"/>
      <c r="E7" s="1151"/>
      <c r="F7" s="1151"/>
      <c r="G7" s="1151"/>
      <c r="H7" s="1151"/>
      <c r="I7" s="1151"/>
      <c r="J7" s="1151"/>
      <c r="K7" s="278"/>
    </row>
    <row r="8" spans="1:11">
      <c r="A8" s="1151" t="s">
        <v>404</v>
      </c>
      <c r="B8" s="1151"/>
      <c r="C8" s="1151"/>
      <c r="D8" s="1151"/>
      <c r="E8" s="1151"/>
      <c r="F8" s="1151"/>
      <c r="G8" s="1151"/>
      <c r="H8" s="1151"/>
      <c r="I8" s="1151"/>
      <c r="J8" s="1151"/>
      <c r="K8" s="278"/>
    </row>
    <row r="9" spans="1:11">
      <c r="A9" s="1151" t="s">
        <v>405</v>
      </c>
      <c r="B9" s="1151"/>
      <c r="C9" s="1151"/>
      <c r="D9" s="1151"/>
      <c r="E9" s="1151"/>
      <c r="F9" s="1151"/>
      <c r="G9" s="1151"/>
      <c r="H9" s="1151"/>
      <c r="I9" s="1151"/>
      <c r="J9" s="1151"/>
      <c r="K9" s="278"/>
    </row>
    <row r="10" spans="1:11">
      <c r="A10" s="276"/>
      <c r="B10" s="276"/>
      <c r="C10" s="276"/>
      <c r="D10" s="276"/>
      <c r="E10" s="276"/>
      <c r="F10" s="276"/>
      <c r="G10" s="276"/>
      <c r="H10" s="276"/>
      <c r="I10" s="276"/>
      <c r="J10" s="276"/>
      <c r="K10" s="278"/>
    </row>
    <row r="11" spans="1:11">
      <c r="A11" s="990" t="s">
        <v>59</v>
      </c>
      <c r="B11" s="267"/>
      <c r="C11" s="267"/>
      <c r="D11" s="267"/>
      <c r="E11" s="267"/>
      <c r="F11" s="267"/>
      <c r="G11" s="267"/>
      <c r="H11" s="267"/>
      <c r="I11" s="267"/>
      <c r="J11" s="267"/>
      <c r="K11" s="278"/>
    </row>
    <row r="12" spans="1:11">
      <c r="A12" s="1604" t="s">
        <v>20</v>
      </c>
      <c r="B12" s="1604"/>
      <c r="C12" s="276"/>
      <c r="D12" s="276"/>
      <c r="E12" s="276"/>
      <c r="F12" s="276"/>
      <c r="G12" s="276"/>
      <c r="H12" s="276"/>
      <c r="I12" s="276"/>
      <c r="J12" s="276"/>
      <c r="K12" s="274"/>
    </row>
    <row r="13" spans="1:11">
      <c r="A13" s="1151" t="s">
        <v>24</v>
      </c>
      <c r="B13" s="276"/>
      <c r="C13" s="276"/>
      <c r="D13" s="276"/>
      <c r="E13" s="276"/>
      <c r="F13" s="276"/>
      <c r="G13" s="276"/>
      <c r="H13" s="276"/>
      <c r="I13" s="276"/>
      <c r="J13" s="1152"/>
      <c r="K13" s="278"/>
    </row>
    <row r="14" spans="1:11">
      <c r="A14" s="1151" t="s">
        <v>25</v>
      </c>
      <c r="B14" s="276"/>
      <c r="C14" s="276"/>
      <c r="D14" s="276"/>
      <c r="E14" s="276"/>
      <c r="F14" s="276"/>
      <c r="G14" s="276"/>
      <c r="H14" s="276"/>
      <c r="I14" s="276"/>
      <c r="J14" s="1152"/>
      <c r="K14" s="278"/>
    </row>
    <row r="15" spans="1:11">
      <c r="A15" s="1151"/>
      <c r="B15" s="276"/>
      <c r="C15" s="276"/>
      <c r="D15" s="276"/>
      <c r="E15" s="276"/>
      <c r="F15" s="276"/>
      <c r="G15" s="276"/>
      <c r="H15" s="276"/>
      <c r="I15" s="276"/>
      <c r="J15" s="1152"/>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46" t="s">
        <v>778</v>
      </c>
      <c r="B18" s="276"/>
      <c r="C18" s="276"/>
      <c r="D18" s="276"/>
      <c r="E18" s="276"/>
      <c r="F18" s="276"/>
      <c r="G18" s="276"/>
      <c r="H18" s="276"/>
      <c r="I18" s="276"/>
      <c r="J18" s="276"/>
      <c r="K18" s="273"/>
    </row>
    <row r="19" spans="1:11">
      <c r="A19" s="1146" t="s">
        <v>762</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90"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topLeftCell="A30" zoomScale="80" zoomScaleNormal="100" zoomScaleSheetLayoutView="80" workbookViewId="0">
      <selection activeCell="Q9" sqref="Q9"/>
    </sheetView>
  </sheetViews>
  <sheetFormatPr defaultColWidth="8" defaultRowHeight="14.25" customHeight="1"/>
  <cols>
    <col min="1" max="10" width="8.875" style="211" customWidth="1"/>
    <col min="11" max="16384" width="8" style="211"/>
  </cols>
  <sheetData>
    <row r="1" spans="3:26" ht="15.75" customHeight="1"/>
    <row r="2" spans="3:26" ht="15.75" customHeight="1">
      <c r="E2" s="1611" t="s">
        <v>103</v>
      </c>
      <c r="F2" s="1611"/>
    </row>
    <row r="3" spans="3:26" ht="15.75" customHeight="1">
      <c r="E3" s="1611" t="s">
        <v>416</v>
      </c>
      <c r="F3" s="1611"/>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13" t="s">
        <v>302</v>
      </c>
      <c r="D22" s="1613"/>
      <c r="E22" s="1613"/>
      <c r="F22" s="1612" t="s">
        <v>93</v>
      </c>
      <c r="G22" s="1612"/>
      <c r="H22" s="1612"/>
    </row>
    <row r="23" spans="1:22" ht="15.75" customHeight="1">
      <c r="C23" s="1613" t="s">
        <v>403</v>
      </c>
      <c r="D23" s="1613"/>
      <c r="E23" s="1613"/>
      <c r="F23" s="1612" t="s">
        <v>402</v>
      </c>
      <c r="G23" s="1612"/>
      <c r="H23" s="1612"/>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605" t="s">
        <v>704</v>
      </c>
      <c r="B26" s="1605"/>
      <c r="C26" s="1605"/>
      <c r="D26" s="1605"/>
      <c r="E26" s="1605"/>
      <c r="F26" s="1605"/>
      <c r="G26" s="1605"/>
      <c r="H26" s="1605"/>
      <c r="I26" s="1605"/>
      <c r="J26" s="1605"/>
    </row>
    <row r="27" spans="1:22" ht="15.75" customHeight="1">
      <c r="A27" s="1605"/>
      <c r="B27" s="1605"/>
      <c r="C27" s="1605"/>
      <c r="D27" s="1605"/>
      <c r="E27" s="1605"/>
      <c r="F27" s="1605"/>
      <c r="G27" s="1605"/>
      <c r="H27" s="1605"/>
      <c r="I27" s="1605"/>
      <c r="J27" s="1605"/>
    </row>
    <row r="28" spans="1:22" ht="15.75" customHeight="1">
      <c r="A28" s="1605"/>
      <c r="B28" s="1605"/>
      <c r="C28" s="1605"/>
      <c r="D28" s="1605"/>
      <c r="E28" s="1605"/>
      <c r="F28" s="1605"/>
      <c r="G28" s="1605"/>
      <c r="H28" s="1605"/>
      <c r="I28" s="1605"/>
      <c r="J28" s="1605"/>
    </row>
    <row r="29" spans="1:22" ht="15.75" customHeight="1">
      <c r="A29" s="1605"/>
      <c r="B29" s="1605"/>
      <c r="C29" s="1605"/>
      <c r="D29" s="1605"/>
      <c r="E29" s="1605"/>
      <c r="F29" s="1605"/>
      <c r="G29" s="1605"/>
      <c r="H29" s="1605"/>
      <c r="I29" s="1605"/>
      <c r="J29" s="1605"/>
    </row>
    <row r="30" spans="1:22" ht="15.75" customHeight="1">
      <c r="A30" s="1605"/>
      <c r="B30" s="1605"/>
      <c r="C30" s="1605"/>
      <c r="D30" s="1605"/>
      <c r="E30" s="1605"/>
      <c r="F30" s="1605"/>
      <c r="G30" s="1605"/>
      <c r="H30" s="1605"/>
      <c r="I30" s="1605"/>
      <c r="J30" s="1605"/>
    </row>
    <row r="31" spans="1:22" ht="15.75" customHeight="1">
      <c r="A31" s="630"/>
      <c r="B31" s="276"/>
      <c r="C31" s="276"/>
      <c r="D31" s="276"/>
      <c r="E31" s="276"/>
      <c r="F31" s="276"/>
      <c r="G31" s="276"/>
      <c r="H31" s="276"/>
      <c r="I31" s="276"/>
      <c r="J31" s="223"/>
    </row>
    <row r="32" spans="1:22" s="213" customFormat="1" ht="15.75" customHeight="1" thickBot="1">
      <c r="B32" s="1610" t="s">
        <v>407</v>
      </c>
      <c r="C32" s="1610"/>
      <c r="D32" s="1610"/>
      <c r="E32" s="1610"/>
      <c r="F32" s="1610"/>
      <c r="G32" s="1610"/>
      <c r="H32" s="1610"/>
    </row>
    <row r="33" spans="2:8" s="219" customFormat="1" ht="15.75" customHeight="1">
      <c r="B33" s="282" t="s">
        <v>108</v>
      </c>
      <c r="C33" s="1606" t="s">
        <v>109</v>
      </c>
      <c r="D33" s="1607"/>
      <c r="E33" s="1608"/>
      <c r="F33" s="1606" t="s">
        <v>110</v>
      </c>
      <c r="G33" s="1607"/>
      <c r="H33" s="1609"/>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6" t="s">
        <v>610</v>
      </c>
      <c r="C49" s="1007" t="s">
        <v>616</v>
      </c>
      <c r="D49" s="1013" t="s">
        <v>621</v>
      </c>
      <c r="E49" s="1008" t="s">
        <v>620</v>
      </c>
      <c r="F49" s="1008" t="s">
        <v>616</v>
      </c>
      <c r="G49" s="1009" t="s">
        <v>621</v>
      </c>
      <c r="H49" s="1010" t="s">
        <v>620</v>
      </c>
    </row>
    <row r="50" spans="2:8" ht="15.75" customHeight="1" thickBot="1">
      <c r="B50" s="574" t="s">
        <v>688</v>
      </c>
      <c r="C50" s="953" t="s">
        <v>620</v>
      </c>
      <c r="D50" s="1014" t="s">
        <v>701</v>
      </c>
      <c r="E50" s="612" t="s">
        <v>702</v>
      </c>
      <c r="F50" s="612" t="s">
        <v>620</v>
      </c>
      <c r="G50" s="1186" t="s">
        <v>783</v>
      </c>
      <c r="H50" s="1185" t="s">
        <v>702</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topLeftCell="A13" zoomScale="80" zoomScaleNormal="100" zoomScaleSheetLayoutView="80" workbookViewId="0">
      <selection activeCell="Q9" sqref="Q9"/>
    </sheetView>
  </sheetViews>
  <sheetFormatPr defaultColWidth="8.875" defaultRowHeight="13.5"/>
  <cols>
    <col min="1" max="1" width="4.625" style="1149" customWidth="1"/>
    <col min="2" max="2" width="6.25" style="1149" customWidth="1"/>
    <col min="3" max="3" width="9.625" style="1149" customWidth="1"/>
    <col min="4" max="7" width="12.625" style="1149" customWidth="1"/>
    <col min="8" max="8" width="15.5" style="1149" customWidth="1"/>
    <col min="9" max="9" width="4.625" style="1149" customWidth="1"/>
    <col min="10" max="10" width="3.625" style="1149" customWidth="1"/>
    <col min="11" max="11" width="8.875" style="1149"/>
    <col min="12" max="19" width="11.75" style="1149" customWidth="1"/>
    <col min="20" max="16384" width="8.875" style="1149"/>
  </cols>
  <sheetData>
    <row r="1" spans="1:8" s="1147" customFormat="1" ht="18" customHeight="1">
      <c r="A1" s="1639" t="s">
        <v>57</v>
      </c>
      <c r="B1" s="1639"/>
      <c r="C1" s="1639"/>
      <c r="D1" s="1639"/>
      <c r="E1" s="1639"/>
      <c r="F1" s="1639"/>
      <c r="G1" s="1639"/>
    </row>
    <row r="2" spans="1:8" s="1147" customFormat="1" ht="18" customHeight="1"/>
    <row r="3" spans="1:8" s="1147" customFormat="1" ht="18" customHeight="1">
      <c r="A3" s="1629" t="s">
        <v>784</v>
      </c>
      <c r="B3" s="1629"/>
      <c r="C3" s="1629"/>
      <c r="D3" s="1629"/>
      <c r="E3" s="1629"/>
      <c r="F3" s="1629"/>
      <c r="G3" s="1629"/>
      <c r="H3" s="1629"/>
    </row>
    <row r="4" spans="1:8" s="1147" customFormat="1" ht="18" customHeight="1">
      <c r="A4" s="1629"/>
      <c r="B4" s="1629"/>
      <c r="C4" s="1629"/>
      <c r="D4" s="1629"/>
      <c r="E4" s="1629"/>
      <c r="F4" s="1629"/>
      <c r="G4" s="1629"/>
      <c r="H4" s="1629"/>
    </row>
    <row r="5" spans="1:8" s="1147" customFormat="1" ht="18" customHeight="1">
      <c r="A5" s="1629"/>
      <c r="B5" s="1629"/>
      <c r="C5" s="1629"/>
      <c r="D5" s="1629"/>
      <c r="E5" s="1629"/>
      <c r="F5" s="1629"/>
      <c r="G5" s="1629"/>
      <c r="H5" s="1629"/>
    </row>
    <row r="6" spans="1:8" s="1147" customFormat="1" ht="18" customHeight="1">
      <c r="A6" s="1629"/>
      <c r="B6" s="1629"/>
      <c r="C6" s="1629"/>
      <c r="D6" s="1629"/>
      <c r="E6" s="1629"/>
      <c r="F6" s="1629"/>
      <c r="G6" s="1629"/>
      <c r="H6" s="1629"/>
    </row>
    <row r="7" spans="1:8" s="1147" customFormat="1"/>
    <row r="8" spans="1:8" s="1147" customFormat="1" ht="18.95" customHeight="1" thickBot="1">
      <c r="A8" s="1147" t="s">
        <v>203</v>
      </c>
    </row>
    <row r="9" spans="1:8" s="1147" customFormat="1" ht="20.100000000000001" customHeight="1" thickBot="1">
      <c r="A9" s="1640" t="s">
        <v>204</v>
      </c>
      <c r="B9" s="1641"/>
      <c r="C9" s="1641"/>
      <c r="D9" s="1641" t="s">
        <v>205</v>
      </c>
      <c r="E9" s="1641"/>
      <c r="F9" s="1641" t="s">
        <v>206</v>
      </c>
      <c r="G9" s="1641"/>
      <c r="H9" s="1642"/>
    </row>
    <row r="10" spans="1:8" s="1147" customFormat="1" ht="60" customHeight="1">
      <c r="A10" s="1634" t="s">
        <v>207</v>
      </c>
      <c r="B10" s="1635"/>
      <c r="C10" s="1635"/>
      <c r="D10" s="1636" t="s">
        <v>321</v>
      </c>
      <c r="E10" s="1636"/>
      <c r="F10" s="1637" t="s">
        <v>785</v>
      </c>
      <c r="G10" s="1637"/>
      <c r="H10" s="1638"/>
    </row>
    <row r="11" spans="1:8" s="1147" customFormat="1" ht="60" customHeight="1">
      <c r="A11" s="1630" t="s">
        <v>317</v>
      </c>
      <c r="B11" s="1621"/>
      <c r="C11" s="1621"/>
      <c r="D11" s="1621" t="s">
        <v>624</v>
      </c>
      <c r="E11" s="1621"/>
      <c r="F11" s="1622" t="s">
        <v>786</v>
      </c>
      <c r="G11" s="1622"/>
      <c r="H11" s="1623"/>
    </row>
    <row r="12" spans="1:8" s="1147" customFormat="1" ht="60" customHeight="1">
      <c r="A12" s="1631" t="s">
        <v>787</v>
      </c>
      <c r="B12" s="1632"/>
      <c r="C12" s="1184" t="s">
        <v>622</v>
      </c>
      <c r="D12" s="1621" t="s">
        <v>788</v>
      </c>
      <c r="E12" s="1621"/>
      <c r="F12" s="1622" t="s">
        <v>789</v>
      </c>
      <c r="G12" s="1622"/>
      <c r="H12" s="1623"/>
    </row>
    <row r="13" spans="1:8" s="1147" customFormat="1" ht="60" customHeight="1">
      <c r="A13" s="1633"/>
      <c r="B13" s="1632"/>
      <c r="C13" s="1184" t="s">
        <v>623</v>
      </c>
      <c r="D13" s="1621" t="s">
        <v>790</v>
      </c>
      <c r="E13" s="1621"/>
      <c r="F13" s="1622" t="s">
        <v>791</v>
      </c>
      <c r="G13" s="1622"/>
      <c r="H13" s="1623"/>
    </row>
    <row r="14" spans="1:8" s="1147" customFormat="1" ht="60" customHeight="1">
      <c r="A14" s="1619" t="s">
        <v>318</v>
      </c>
      <c r="B14" s="1620"/>
      <c r="C14" s="1620"/>
      <c r="D14" s="1621" t="s">
        <v>319</v>
      </c>
      <c r="E14" s="1621"/>
      <c r="F14" s="1622" t="s">
        <v>792</v>
      </c>
      <c r="G14" s="1622"/>
      <c r="H14" s="1623"/>
    </row>
    <row r="15" spans="1:8" s="1147" customFormat="1" ht="60" customHeight="1" thickBot="1">
      <c r="A15" s="1624" t="s">
        <v>320</v>
      </c>
      <c r="B15" s="1625"/>
      <c r="C15" s="1625"/>
      <c r="D15" s="1625" t="s">
        <v>625</v>
      </c>
      <c r="E15" s="1625"/>
      <c r="F15" s="1626" t="s">
        <v>793</v>
      </c>
      <c r="G15" s="1626"/>
      <c r="H15" s="1627"/>
    </row>
    <row r="16" spans="1:8" s="1147" customFormat="1" ht="22.5" customHeight="1" thickBot="1">
      <c r="A16" s="1148" t="s">
        <v>626</v>
      </c>
      <c r="B16" s="1148"/>
      <c r="C16" s="1148"/>
      <c r="D16" s="1148"/>
      <c r="E16" s="1148"/>
      <c r="F16" s="1148"/>
      <c r="G16" s="1148"/>
      <c r="H16" s="1148"/>
    </row>
    <row r="17" spans="1:20" s="1147" customFormat="1" ht="6.75" customHeight="1">
      <c r="B17" s="1195"/>
      <c r="C17" s="1195"/>
      <c r="D17" s="1195"/>
      <c r="E17" s="1195"/>
      <c r="F17" s="1195"/>
      <c r="G17" s="1195"/>
      <c r="H17" s="1195"/>
    </row>
    <row r="18" spans="1:20" s="1147" customFormat="1" ht="18" customHeight="1">
      <c r="A18" s="1196" t="s">
        <v>805</v>
      </c>
      <c r="B18" s="1628" t="s">
        <v>824</v>
      </c>
      <c r="C18" s="1628"/>
      <c r="D18" s="1628"/>
      <c r="E18" s="1628"/>
      <c r="F18" s="1628"/>
      <c r="G18" s="1628"/>
      <c r="H18" s="1628"/>
      <c r="I18" s="1628"/>
      <c r="K18"/>
      <c r="L18"/>
      <c r="M18"/>
      <c r="N18"/>
      <c r="O18"/>
      <c r="P18"/>
      <c r="Q18"/>
      <c r="R18"/>
      <c r="S18"/>
      <c r="T18"/>
    </row>
    <row r="19" spans="1:20" s="1147" customFormat="1" ht="18" customHeight="1">
      <c r="B19" s="1628"/>
      <c r="C19" s="1628"/>
      <c r="D19" s="1628"/>
      <c r="E19" s="1628"/>
      <c r="F19" s="1628"/>
      <c r="G19" s="1628"/>
      <c r="H19" s="1628"/>
      <c r="I19" s="1628"/>
      <c r="K19"/>
      <c r="L19"/>
      <c r="M19"/>
      <c r="N19"/>
      <c r="O19"/>
      <c r="P19"/>
      <c r="Q19"/>
      <c r="R19"/>
      <c r="S19"/>
      <c r="T19"/>
    </row>
    <row r="20" spans="1:20" s="1147" customFormat="1" ht="18" customHeight="1">
      <c r="B20" s="1628"/>
      <c r="C20" s="1628"/>
      <c r="D20" s="1628"/>
      <c r="E20" s="1628"/>
      <c r="F20" s="1628"/>
      <c r="G20" s="1628"/>
      <c r="H20" s="1628"/>
      <c r="I20" s="1628"/>
      <c r="K20"/>
      <c r="L20"/>
      <c r="M20"/>
      <c r="N20"/>
      <c r="O20"/>
      <c r="P20"/>
      <c r="Q20"/>
      <c r="R20"/>
      <c r="S20"/>
      <c r="T20"/>
    </row>
    <row r="21" spans="1:20" s="1147" customFormat="1" ht="18" customHeight="1">
      <c r="B21" s="1628"/>
      <c r="C21" s="1628"/>
      <c r="D21" s="1628"/>
      <c r="E21" s="1628"/>
      <c r="F21" s="1628"/>
      <c r="G21" s="1628"/>
      <c r="H21" s="1628"/>
      <c r="I21" s="1628"/>
      <c r="K21"/>
      <c r="L21"/>
      <c r="M21"/>
      <c r="N21"/>
      <c r="O21"/>
      <c r="P21"/>
      <c r="Q21"/>
      <c r="R21"/>
      <c r="S21"/>
      <c r="T21"/>
    </row>
    <row r="22" spans="1:20" s="1147" customFormat="1" ht="18" customHeight="1">
      <c r="B22" s="1628"/>
      <c r="C22" s="1628"/>
      <c r="D22" s="1628"/>
      <c r="E22" s="1628"/>
      <c r="F22" s="1628"/>
      <c r="G22" s="1628"/>
      <c r="H22" s="1628"/>
      <c r="I22" s="1628"/>
      <c r="K22"/>
      <c r="L22"/>
      <c r="M22"/>
      <c r="N22"/>
      <c r="O22"/>
      <c r="P22"/>
      <c r="Q22"/>
      <c r="R22"/>
      <c r="S22"/>
      <c r="T22"/>
    </row>
    <row r="23" spans="1:20" s="1147" customFormat="1" ht="18" customHeight="1">
      <c r="B23" s="1628"/>
      <c r="C23" s="1628"/>
      <c r="D23" s="1628"/>
      <c r="E23" s="1628"/>
      <c r="F23" s="1628"/>
      <c r="G23" s="1628"/>
      <c r="H23" s="1628"/>
      <c r="I23" s="1628"/>
      <c r="K23"/>
      <c r="L23"/>
      <c r="M23"/>
      <c r="N23"/>
      <c r="O23"/>
      <c r="P23"/>
      <c r="Q23"/>
      <c r="R23"/>
      <c r="S23"/>
      <c r="T23"/>
    </row>
    <row r="24" spans="1:20" s="1147" customFormat="1" ht="18" customHeight="1">
      <c r="B24" s="1628"/>
      <c r="C24" s="1628"/>
      <c r="D24" s="1628"/>
      <c r="E24" s="1628"/>
      <c r="F24" s="1628"/>
      <c r="G24" s="1628"/>
      <c r="H24" s="1628"/>
      <c r="I24" s="1628"/>
      <c r="K24"/>
      <c r="L24"/>
      <c r="M24"/>
      <c r="N24"/>
      <c r="O24"/>
      <c r="P24"/>
      <c r="Q24"/>
      <c r="R24"/>
      <c r="S24"/>
      <c r="T24"/>
    </row>
    <row r="25" spans="1:20" s="1147" customFormat="1" ht="18" customHeight="1">
      <c r="A25" s="1197" t="s">
        <v>806</v>
      </c>
      <c r="B25" s="1628" t="s">
        <v>810</v>
      </c>
      <c r="C25" s="1628"/>
      <c r="D25" s="1628"/>
      <c r="E25" s="1628"/>
      <c r="F25" s="1628"/>
      <c r="G25" s="1628"/>
      <c r="H25" s="1628"/>
      <c r="I25" s="1628"/>
      <c r="K25"/>
      <c r="L25"/>
      <c r="M25"/>
      <c r="N25"/>
      <c r="O25"/>
      <c r="P25"/>
      <c r="Q25"/>
      <c r="R25"/>
      <c r="S25"/>
      <c r="T25"/>
    </row>
    <row r="26" spans="1:20" s="1147" customFormat="1" ht="18" customHeight="1">
      <c r="B26" s="1628"/>
      <c r="C26" s="1628"/>
      <c r="D26" s="1628"/>
      <c r="E26" s="1628"/>
      <c r="F26" s="1628"/>
      <c r="G26" s="1628"/>
      <c r="H26" s="1628"/>
      <c r="I26" s="1628"/>
      <c r="K26"/>
      <c r="L26"/>
      <c r="M26"/>
      <c r="N26"/>
      <c r="O26"/>
      <c r="P26"/>
      <c r="Q26"/>
      <c r="R26"/>
      <c r="S26"/>
      <c r="T26"/>
    </row>
    <row r="27" spans="1:20" s="1147" customFormat="1" ht="7.5" customHeight="1">
      <c r="B27" s="1628"/>
      <c r="C27" s="1628"/>
      <c r="D27" s="1628"/>
      <c r="E27" s="1628"/>
      <c r="F27" s="1628"/>
      <c r="G27" s="1628"/>
      <c r="H27" s="1628"/>
      <c r="I27" s="1628"/>
      <c r="K27"/>
      <c r="L27"/>
      <c r="M27"/>
      <c r="N27"/>
      <c r="O27"/>
      <c r="P27"/>
      <c r="Q27"/>
      <c r="R27"/>
      <c r="S27"/>
      <c r="T27"/>
    </row>
    <row r="28" spans="1:20" s="1147" customFormat="1" ht="18" customHeight="1">
      <c r="A28" s="1147" t="s">
        <v>802</v>
      </c>
      <c r="B28" s="1147" t="s">
        <v>807</v>
      </c>
      <c r="C28" s="1194"/>
      <c r="D28" s="1194"/>
      <c r="E28" s="1194"/>
      <c r="F28" s="1194"/>
      <c r="G28" s="1194"/>
      <c r="H28" s="1194"/>
      <c r="I28" s="1194"/>
      <c r="K28"/>
      <c r="L28"/>
      <c r="M28"/>
      <c r="N28"/>
      <c r="O28"/>
      <c r="P28"/>
      <c r="Q28"/>
      <c r="R28"/>
      <c r="S28"/>
      <c r="T28"/>
    </row>
    <row r="29" spans="1:20" s="1147" customFormat="1" ht="18" customHeight="1">
      <c r="A29" s="1147" t="s">
        <v>803</v>
      </c>
      <c r="B29" s="1147" t="s">
        <v>808</v>
      </c>
      <c r="C29" s="1194"/>
      <c r="D29" s="1194"/>
      <c r="E29" s="1194"/>
      <c r="F29" s="1194"/>
      <c r="G29" s="1194"/>
      <c r="H29" s="1194"/>
      <c r="I29" s="1194"/>
      <c r="K29"/>
      <c r="L29"/>
      <c r="M29"/>
      <c r="N29"/>
      <c r="O29"/>
      <c r="P29"/>
      <c r="Q29"/>
      <c r="R29"/>
      <c r="S29"/>
      <c r="T29"/>
    </row>
    <row r="30" spans="1:20" s="1147" customFormat="1" ht="18" customHeight="1">
      <c r="A30" s="1147" t="s">
        <v>804</v>
      </c>
      <c r="B30" s="1629" t="s">
        <v>809</v>
      </c>
      <c r="C30" s="1629"/>
      <c r="D30" s="1629"/>
      <c r="E30" s="1629"/>
      <c r="F30" s="1629"/>
      <c r="G30" s="1629"/>
      <c r="H30" s="1629"/>
      <c r="I30" s="1629"/>
      <c r="J30" s="1629"/>
      <c r="K30"/>
      <c r="L30"/>
      <c r="M30"/>
      <c r="N30"/>
      <c r="O30"/>
      <c r="P30"/>
      <c r="Q30"/>
      <c r="R30"/>
      <c r="S30"/>
      <c r="T30"/>
    </row>
    <row r="31" spans="1:20" s="1147" customFormat="1" ht="18" customHeight="1">
      <c r="B31" s="1629"/>
      <c r="C31" s="1629"/>
      <c r="D31" s="1629"/>
      <c r="E31" s="1629"/>
      <c r="F31" s="1629"/>
      <c r="G31" s="1629"/>
      <c r="H31" s="1629"/>
      <c r="I31" s="1629"/>
      <c r="J31" s="1629"/>
      <c r="K31"/>
      <c r="L31"/>
      <c r="M31"/>
      <c r="N31"/>
      <c r="O31"/>
      <c r="P31"/>
      <c r="Q31"/>
      <c r="R31"/>
      <c r="S31"/>
      <c r="T31"/>
    </row>
    <row r="32" spans="1:20" s="1147" customFormat="1">
      <c r="C32" s="1194"/>
      <c r="D32" s="1194"/>
      <c r="E32" s="1194"/>
      <c r="F32" s="1194"/>
      <c r="G32" s="1194"/>
      <c r="H32" s="1194"/>
      <c r="I32" s="1194"/>
      <c r="K32"/>
      <c r="L32"/>
      <c r="M32"/>
      <c r="N32"/>
      <c r="O32"/>
      <c r="P32"/>
      <c r="Q32"/>
      <c r="R32"/>
      <c r="S32"/>
      <c r="T32"/>
    </row>
    <row r="33" spans="3:20" s="1147" customFormat="1">
      <c r="D33" s="1614" t="s">
        <v>673</v>
      </c>
      <c r="E33" s="1614"/>
      <c r="F33" s="1614"/>
      <c r="K33"/>
      <c r="L33"/>
      <c r="M33"/>
      <c r="N33"/>
      <c r="O33"/>
      <c r="P33"/>
      <c r="Q33"/>
      <c r="R33"/>
      <c r="S33"/>
      <c r="T33"/>
    </row>
    <row r="34" spans="3:20" s="1147" customFormat="1" ht="18" customHeight="1">
      <c r="D34" s="1615" t="s">
        <v>142</v>
      </c>
      <c r="E34" s="1616"/>
      <c r="F34" s="1183">
        <v>3.49</v>
      </c>
      <c r="K34"/>
      <c r="L34"/>
      <c r="M34"/>
      <c r="N34"/>
      <c r="O34"/>
      <c r="P34"/>
      <c r="Q34"/>
      <c r="R34"/>
      <c r="S34"/>
      <c r="T34"/>
    </row>
    <row r="35" spans="3:20" s="1147" customFormat="1" ht="18" customHeight="1">
      <c r="D35" s="1615" t="s">
        <v>143</v>
      </c>
      <c r="E35" s="1616"/>
      <c r="F35" s="1183">
        <v>2.56</v>
      </c>
      <c r="K35"/>
      <c r="L35"/>
      <c r="M35"/>
      <c r="N35"/>
      <c r="O35"/>
      <c r="P35"/>
      <c r="Q35"/>
      <c r="R35"/>
      <c r="S35"/>
      <c r="T35"/>
    </row>
    <row r="36" spans="3:20" s="1147" customFormat="1" ht="18" customHeight="1">
      <c r="D36" s="1617" t="s">
        <v>819</v>
      </c>
      <c r="E36" s="1618"/>
      <c r="F36" s="1618"/>
      <c r="K36"/>
      <c r="L36"/>
      <c r="M36"/>
      <c r="N36"/>
      <c r="O36"/>
      <c r="P36"/>
      <c r="Q36"/>
      <c r="R36"/>
      <c r="S36"/>
      <c r="T36"/>
    </row>
    <row r="37" spans="3:20" s="1147" customFormat="1">
      <c r="C37" s="1182"/>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49" t="s">
        <v>602</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3"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topLeftCell="A8" zoomScaleNormal="100" zoomScaleSheetLayoutView="100" workbookViewId="0">
      <selection activeCell="F17" sqref="F17"/>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344" t="s">
        <v>196</v>
      </c>
      <c r="B1" s="1344"/>
      <c r="C1" s="1344"/>
      <c r="D1" s="1344"/>
      <c r="E1" s="1344"/>
      <c r="F1" s="1344"/>
      <c r="G1" s="1344"/>
      <c r="H1" s="1344"/>
      <c r="I1" s="1344"/>
      <c r="J1" s="1344"/>
      <c r="K1" s="1344"/>
      <c r="L1" s="1344"/>
      <c r="M1" s="1344"/>
    </row>
    <row r="2" spans="1:27" ht="24.95" customHeight="1">
      <c r="A2" s="1345"/>
      <c r="B2" s="1345"/>
      <c r="C2" s="1345"/>
      <c r="D2" s="1345"/>
      <c r="E2" s="1345"/>
      <c r="F2" s="1345"/>
      <c r="G2" s="1345"/>
      <c r="H2" s="1345"/>
      <c r="I2" s="1345"/>
      <c r="J2" s="1345"/>
      <c r="K2" s="1345"/>
      <c r="L2" s="1345"/>
      <c r="M2" s="1345"/>
    </row>
    <row r="3" spans="1:27" ht="24.95" customHeight="1" thickBot="1">
      <c r="A3" s="1346" t="str">
        <f>"令和"&amp;IF(初期登録!B10&lt;10,DBCS(初期登録!B10),ASC(初期登録!B10))&amp;"年"&amp;IF(初期登録!D10&lt;10,DBCS(初期登録!D10),ASC(初期登録!D10))&amp;"月分"</f>
        <v>令和７年11月分</v>
      </c>
      <c r="B3" s="1346"/>
      <c r="C3" s="1346"/>
      <c r="D3" s="1346"/>
      <c r="E3" s="1346"/>
      <c r="F3" s="1346"/>
      <c r="G3" s="1346"/>
      <c r="H3" s="1346"/>
      <c r="I3" s="1346"/>
      <c r="J3" s="1346"/>
      <c r="K3" s="1346"/>
      <c r="L3" s="1346"/>
      <c r="M3" s="1346"/>
      <c r="P3" s="1104"/>
      <c r="Q3" s="1104"/>
    </row>
    <row r="4" spans="1:27" ht="15" customHeight="1">
      <c r="A4" s="200"/>
      <c r="B4" s="200"/>
      <c r="C4" s="200"/>
      <c r="D4" s="200"/>
      <c r="E4" s="200"/>
      <c r="F4" s="200"/>
      <c r="G4" s="200"/>
      <c r="H4" s="200"/>
      <c r="I4" s="200"/>
      <c r="J4" s="200"/>
      <c r="K4" s="200"/>
      <c r="L4" s="200"/>
      <c r="M4" s="200"/>
      <c r="P4" s="1104"/>
      <c r="Q4" s="1104"/>
    </row>
    <row r="5" spans="1:27" ht="15" customHeight="1">
      <c r="B5" s="200"/>
      <c r="C5" s="200"/>
      <c r="D5" s="200"/>
      <c r="E5" s="200"/>
      <c r="F5" s="200"/>
      <c r="G5" s="200"/>
      <c r="H5" s="200"/>
      <c r="I5" s="200"/>
      <c r="J5" s="200"/>
      <c r="K5" s="200"/>
      <c r="L5" s="200"/>
      <c r="P5" s="1104"/>
      <c r="Q5" s="1104"/>
    </row>
    <row r="6" spans="1:27" ht="15" customHeight="1">
      <c r="P6" s="1104"/>
      <c r="Q6" s="1104"/>
    </row>
    <row r="7" spans="1:27" ht="20.100000000000001" customHeight="1">
      <c r="A7" s="378" t="s">
        <v>325</v>
      </c>
      <c r="B7" s="378" t="str">
        <f>"令和"&amp;IF(初期登録!B10&lt;10,DBCS(初期登録!B10),ASC(初期登録!B10))&amp;"年"&amp;IF(初期登録!D10&lt;10,DBCS(初期登録!D10),ASC(初期登録!D10))&amp;"月のＣＩ(令和２年＝100)は、"</f>
        <v>令和７年11月のＣＩ(令和２年＝100)は、</v>
      </c>
      <c r="C7" s="378"/>
      <c r="D7" s="378"/>
      <c r="E7" s="378"/>
      <c r="F7" s="378"/>
      <c r="G7" s="378"/>
      <c r="H7" s="378"/>
      <c r="I7" s="378"/>
      <c r="J7" s="378"/>
      <c r="K7" s="378"/>
      <c r="L7" s="210"/>
      <c r="M7" s="211"/>
      <c r="P7" s="1104"/>
      <c r="Q7" s="1104"/>
    </row>
    <row r="8" spans="1:27" ht="20.100000000000001" customHeight="1">
      <c r="A8" s="379"/>
      <c r="B8" s="575" t="str">
        <f ca="1">"先行指数： " &amp;TEXT(表紙!D15,"0.0")&amp;"、一致指数： "&amp;TEXT(表紙!D16,"0.0")&amp;"、遅行指数： "&amp;TEXT(表紙!D17,"0.0")&amp;"となった。"</f>
        <v>先行指数： 153.9、一致指数： 138.2、遅行指数： 125.6となった。</v>
      </c>
      <c r="D8" s="380"/>
      <c r="E8" s="380"/>
      <c r="F8" s="380"/>
      <c r="G8" s="380"/>
      <c r="H8" s="380"/>
      <c r="I8" s="380"/>
      <c r="J8" s="380"/>
      <c r="K8" s="380"/>
      <c r="L8" s="212"/>
      <c r="M8" s="212"/>
      <c r="P8" s="1104"/>
      <c r="Q8" s="1104"/>
    </row>
    <row r="9" spans="1:27" s="6" customFormat="1" ht="20.100000000000001" customHeight="1">
      <c r="A9" s="381" t="s">
        <v>325</v>
      </c>
      <c r="B9" s="1101" t="s">
        <v>825</v>
      </c>
      <c r="C9" s="380"/>
      <c r="D9" s="380"/>
      <c r="E9" s="380"/>
      <c r="F9" s="380"/>
      <c r="G9" s="380"/>
      <c r="H9" s="380"/>
      <c r="I9" s="1101"/>
      <c r="J9" s="380"/>
      <c r="K9" s="380"/>
      <c r="L9" s="212"/>
      <c r="M9" s="214"/>
      <c r="P9" s="1108"/>
      <c r="Q9" s="1104"/>
      <c r="S9" s="1104"/>
      <c r="T9" s="1108"/>
      <c r="U9" s="1104"/>
      <c r="X9" s="1105"/>
      <c r="Z9" s="1103"/>
      <c r="AA9" s="1103"/>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5" t="str">
        <f>初期登録!F15</f>
        <v>(令和２年=100)</v>
      </c>
      <c r="M11" s="211"/>
      <c r="Q11" s="1107"/>
      <c r="R11" s="1107"/>
      <c r="S11" s="1107"/>
      <c r="T11" s="1107"/>
      <c r="U11" s="1106"/>
    </row>
    <row r="12" spans="1:27" ht="15" customHeight="1">
      <c r="A12" s="211"/>
      <c r="B12" s="1352"/>
      <c r="C12" s="1353"/>
      <c r="D12" s="1349" t="str">
        <f>"令和"&amp;IF(初期登録!B10&lt;10,DBCS(初期登録!B10),ASC(初期登録!B10))&amp;"年"&amp;IF(初期登録!D10&lt;10,DBCS(初期登録!D10),ASC(初期登録!D10))&amp;"月"</f>
        <v>令和７年11月</v>
      </c>
      <c r="E12" s="1350"/>
      <c r="F12" s="1351"/>
      <c r="G12" s="1348" t="s">
        <v>284</v>
      </c>
      <c r="H12" s="1348"/>
      <c r="I12" s="1348"/>
      <c r="J12" s="1347" t="s">
        <v>285</v>
      </c>
      <c r="K12" s="1348"/>
      <c r="L12" s="1348"/>
      <c r="M12" s="211"/>
    </row>
    <row r="13" spans="1:27" ht="15" customHeight="1">
      <c r="A13" s="211"/>
      <c r="B13" s="1354"/>
      <c r="C13" s="1355"/>
      <c r="D13" s="1360"/>
      <c r="E13" s="753" t="s">
        <v>322</v>
      </c>
      <c r="F13" s="1367" t="s">
        <v>290</v>
      </c>
      <c r="G13" s="1362"/>
      <c r="H13" s="753" t="s">
        <v>323</v>
      </c>
      <c r="I13" s="1366" t="s">
        <v>290</v>
      </c>
      <c r="J13" s="1362"/>
      <c r="K13" s="753" t="s">
        <v>323</v>
      </c>
      <c r="L13" s="1358" t="s">
        <v>290</v>
      </c>
      <c r="M13" s="211"/>
    </row>
    <row r="14" spans="1:27" s="6" customFormat="1" ht="15" customHeight="1">
      <c r="A14" s="213"/>
      <c r="B14" s="1356"/>
      <c r="C14" s="1357"/>
      <c r="D14" s="1361"/>
      <c r="E14" s="217" t="s">
        <v>326</v>
      </c>
      <c r="F14" s="1368"/>
      <c r="G14" s="1363"/>
      <c r="H14" s="217" t="s">
        <v>326</v>
      </c>
      <c r="I14" s="1365"/>
      <c r="J14" s="1363"/>
      <c r="K14" s="217" t="s">
        <v>326</v>
      </c>
      <c r="L14" s="1359"/>
      <c r="M14" s="213"/>
    </row>
    <row r="15" spans="1:27" ht="24.95" customHeight="1">
      <c r="A15" s="211"/>
      <c r="B15" s="1364" t="s">
        <v>286</v>
      </c>
      <c r="C15" s="1365"/>
      <c r="D15" s="803">
        <f ca="1">グラフデータ!D409</f>
        <v>153.9</v>
      </c>
      <c r="E15" s="400">
        <f ca="1">グラフデータ!I409</f>
        <v>3.3000000000000114</v>
      </c>
      <c r="F15" s="1126" t="s">
        <v>826</v>
      </c>
      <c r="G15" s="803">
        <f ca="1">グラフデータ!M409</f>
        <v>151.79999999999998</v>
      </c>
      <c r="H15" s="434">
        <f ca="1">グラフデータ!Q409</f>
        <v>2.4333333333333087</v>
      </c>
      <c r="I15" s="1127" t="s">
        <v>827</v>
      </c>
      <c r="J15" s="803">
        <f ca="1">グラフデータ!U409</f>
        <v>149.68571428571428</v>
      </c>
      <c r="K15" s="434">
        <f ca="1">グラフデータ!Y409</f>
        <v>0.5</v>
      </c>
      <c r="L15" s="1128" t="s">
        <v>831</v>
      </c>
      <c r="M15" s="211"/>
    </row>
    <row r="16" spans="1:27" s="6" customFormat="1" ht="24.95" customHeight="1">
      <c r="A16" s="213"/>
      <c r="B16" s="1342" t="s">
        <v>287</v>
      </c>
      <c r="C16" s="1343"/>
      <c r="D16" s="803">
        <f ca="1">グラフデータ!E409</f>
        <v>138.19999999999999</v>
      </c>
      <c r="E16" s="400">
        <f ca="1">グラフデータ!J409</f>
        <v>5.5</v>
      </c>
      <c r="F16" s="1126" t="s">
        <v>829</v>
      </c>
      <c r="G16" s="803">
        <f ca="1">グラフデータ!N409</f>
        <v>134.33333333333331</v>
      </c>
      <c r="H16" s="434">
        <f ca="1">グラフデータ!R409</f>
        <v>2.2333333333333201</v>
      </c>
      <c r="I16" s="1127" t="s">
        <v>830</v>
      </c>
      <c r="J16" s="803">
        <f ca="1">グラフデータ!V409</f>
        <v>135.75714285714284</v>
      </c>
      <c r="K16" s="434">
        <f ca="1">グラフデータ!Z409</f>
        <v>-8.5714285714317384E-2</v>
      </c>
      <c r="L16" s="1128" t="s">
        <v>832</v>
      </c>
      <c r="M16" s="213"/>
    </row>
    <row r="17" spans="1:13" ht="24.95" customHeight="1">
      <c r="A17" s="211"/>
      <c r="B17" s="1342" t="s">
        <v>288</v>
      </c>
      <c r="C17" s="1343"/>
      <c r="D17" s="803">
        <f ca="1">グラフデータ!F409</f>
        <v>125.6</v>
      </c>
      <c r="E17" s="400">
        <f ca="1">グラフデータ!K409</f>
        <v>3.5</v>
      </c>
      <c r="F17" s="1126" t="s">
        <v>829</v>
      </c>
      <c r="G17" s="803">
        <f ca="1">グラフデータ!O409</f>
        <v>122.5</v>
      </c>
      <c r="H17" s="434">
        <f ca="1">グラフデータ!S409</f>
        <v>2.3333333333333286</v>
      </c>
      <c r="I17" s="1127" t="s">
        <v>830</v>
      </c>
      <c r="J17" s="803">
        <f ca="1">グラフデータ!W409</f>
        <v>122.71428571428571</v>
      </c>
      <c r="K17" s="434">
        <f ca="1">グラフデータ!AA409</f>
        <v>4.285714285713027E-2</v>
      </c>
      <c r="L17" s="1128" t="s">
        <v>833</v>
      </c>
      <c r="M17" s="211"/>
    </row>
    <row r="18" spans="1:13" ht="15" customHeight="1">
      <c r="A18" s="684"/>
      <c r="B18" s="1373" t="s">
        <v>415</v>
      </c>
      <c r="C18" s="1374"/>
      <c r="D18" s="1374"/>
      <c r="E18" s="1374"/>
      <c r="F18" s="1374"/>
      <c r="G18" s="1374"/>
      <c r="H18" s="1374"/>
      <c r="I18" s="1374"/>
      <c r="J18" s="1374"/>
      <c r="K18" s="1374"/>
      <c r="L18" s="1374"/>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69">
        <v>46084</v>
      </c>
      <c r="B25" s="1370"/>
      <c r="C25" s="1370"/>
      <c r="D25" s="1370"/>
      <c r="E25" s="1370"/>
      <c r="F25" s="1370"/>
      <c r="G25" s="1370"/>
      <c r="H25" s="1370"/>
      <c r="I25" s="1370"/>
      <c r="J25" s="1370"/>
      <c r="K25" s="1370"/>
      <c r="L25" s="1370"/>
      <c r="M25" s="1370"/>
    </row>
    <row r="26" spans="1:13" ht="20.100000000000001" customHeight="1">
      <c r="A26" s="1371" t="s">
        <v>687</v>
      </c>
      <c r="B26" s="1372"/>
      <c r="C26" s="1372"/>
      <c r="D26" s="1372"/>
      <c r="E26" s="1372"/>
      <c r="F26" s="1372"/>
      <c r="G26" s="1372"/>
      <c r="H26" s="1372"/>
      <c r="I26" s="1372"/>
      <c r="J26" s="1372"/>
      <c r="K26" s="1372"/>
      <c r="L26" s="1372"/>
      <c r="M26" s="1372"/>
    </row>
    <row r="27" spans="1:13" ht="15" customHeight="1">
      <c r="B27" s="7"/>
      <c r="C27" s="7"/>
      <c r="D27" s="7"/>
    </row>
    <row r="28" spans="1:13" ht="15" customHeight="1">
      <c r="B28" s="1396" t="s">
        <v>197</v>
      </c>
      <c r="C28" s="1397"/>
      <c r="D28" s="1398"/>
      <c r="E28" s="1399"/>
      <c r="F28" s="1400"/>
      <c r="G28" s="1401"/>
      <c r="H28" s="1402"/>
      <c r="I28" s="1403"/>
      <c r="J28" s="1404"/>
      <c r="K28" s="1405"/>
      <c r="L28" s="1406"/>
      <c r="M28" s="391"/>
    </row>
    <row r="29" spans="1:13" ht="15" customHeight="1">
      <c r="B29" s="1407"/>
      <c r="C29" s="1408"/>
      <c r="D29" s="1409"/>
      <c r="E29" s="1410"/>
      <c r="F29" s="1411"/>
      <c r="G29" s="1412"/>
      <c r="H29" s="1413"/>
      <c r="I29" s="1414"/>
      <c r="J29" s="1415"/>
      <c r="K29" s="1416"/>
      <c r="L29" s="1417"/>
      <c r="M29" s="392"/>
    </row>
    <row r="30" spans="1:13" ht="15" customHeight="1">
      <c r="B30" s="1418" t="s">
        <v>327</v>
      </c>
      <c r="C30" s="1419"/>
      <c r="D30" s="1420"/>
      <c r="E30" s="1421"/>
      <c r="F30" s="1422"/>
      <c r="G30" s="1423"/>
      <c r="H30" s="1424"/>
      <c r="I30" s="1425"/>
      <c r="J30" s="1426"/>
      <c r="K30" s="1427"/>
      <c r="L30" s="1428"/>
      <c r="M30" s="393"/>
    </row>
    <row r="31" spans="1:13" ht="15" customHeight="1">
      <c r="B31" s="1429" t="s">
        <v>703</v>
      </c>
      <c r="C31" s="1430"/>
      <c r="D31" s="1431"/>
      <c r="E31" s="1432"/>
      <c r="F31" s="1433"/>
      <c r="G31" s="1434"/>
      <c r="H31" s="1435"/>
      <c r="I31" s="1436"/>
      <c r="J31" s="1437"/>
      <c r="K31" s="1438"/>
      <c r="L31" s="1439"/>
      <c r="M31" s="394"/>
    </row>
    <row r="32" spans="1:13" ht="15" customHeight="1">
      <c r="B32" s="390"/>
      <c r="C32" s="398"/>
      <c r="D32" s="398"/>
      <c r="E32" s="398"/>
      <c r="F32" s="398"/>
      <c r="G32" s="398"/>
      <c r="H32" s="398"/>
      <c r="I32" s="398"/>
      <c r="J32" s="398"/>
      <c r="K32" s="398"/>
      <c r="L32" s="399"/>
      <c r="M32" s="392"/>
    </row>
    <row r="33" spans="2:13" ht="15" customHeight="1">
      <c r="B33" s="1375" t="s">
        <v>362</v>
      </c>
      <c r="C33" s="1440"/>
      <c r="D33" s="1441"/>
      <c r="E33" s="1442"/>
      <c r="F33" s="1443"/>
      <c r="G33" s="1444"/>
      <c r="H33" s="1445"/>
      <c r="I33" s="1446"/>
      <c r="J33" s="1447"/>
      <c r="K33" s="1448"/>
      <c r="L33" s="1449"/>
      <c r="M33" s="395"/>
    </row>
    <row r="34" spans="2:13" ht="15" customHeight="1">
      <c r="B34" s="1375" t="s">
        <v>699</v>
      </c>
      <c r="C34" s="1376"/>
      <c r="D34" s="1377"/>
      <c r="E34" s="1378"/>
      <c r="F34" s="1379"/>
      <c r="G34" s="1380"/>
      <c r="H34" s="1381"/>
      <c r="I34" s="1382"/>
      <c r="J34" s="1383"/>
      <c r="K34" s="1384"/>
      <c r="L34" s="1385"/>
      <c r="M34" s="396"/>
    </row>
    <row r="35" spans="2:13" ht="15" customHeight="1">
      <c r="B35" s="1375" t="s">
        <v>700</v>
      </c>
      <c r="C35" s="1386"/>
      <c r="D35" s="1387"/>
      <c r="E35" s="1388"/>
      <c r="F35" s="1389"/>
      <c r="G35" s="1390"/>
      <c r="H35" s="1391"/>
      <c r="I35" s="1392"/>
      <c r="J35" s="1393"/>
      <c r="K35" s="1394"/>
      <c r="L35" s="1395"/>
      <c r="M35" s="397"/>
    </row>
    <row r="36" spans="2:13" ht="15" customHeight="1">
      <c r="B36" s="685"/>
      <c r="C36" s="686"/>
      <c r="D36" s="686"/>
      <c r="E36" s="686"/>
      <c r="F36" s="686"/>
      <c r="G36" s="686"/>
      <c r="H36" s="686"/>
      <c r="I36" s="686"/>
      <c r="J36" s="686"/>
      <c r="K36" s="686"/>
      <c r="L36" s="687"/>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topLeftCell="A31" zoomScaleNormal="100" zoomScaleSheetLayoutView="100" workbookViewId="0">
      <selection activeCell="K39" sqref="K39"/>
    </sheetView>
  </sheetViews>
  <sheetFormatPr defaultColWidth="8" defaultRowHeight="15.75" customHeight="1"/>
  <cols>
    <col min="1" max="1" width="3.625" style="219" customWidth="1"/>
    <col min="2" max="3" width="3.625" style="270" customWidth="1"/>
    <col min="4" max="4" width="23.875" style="219" customWidth="1"/>
    <col min="5" max="5" width="4.125" style="271" customWidth="1"/>
    <col min="6" max="6" width="20.875" style="271" customWidth="1"/>
    <col min="7" max="7" width="33.875" style="219" customWidth="1"/>
    <col min="8" max="8" width="20.875" style="219" customWidth="1"/>
    <col min="9" max="9" width="21.5" style="219" customWidth="1"/>
    <col min="10" max="16384" width="8" style="219"/>
  </cols>
  <sheetData>
    <row r="1" spans="2:9" s="270" customFormat="1" ht="24.75" customHeight="1">
      <c r="B1" s="1738" t="s">
        <v>58</v>
      </c>
      <c r="C1" s="1739"/>
      <c r="D1" s="1739"/>
      <c r="E1" s="1739"/>
      <c r="F1" s="1739"/>
      <c r="G1" s="1739"/>
    </row>
    <row r="2" spans="2:9" ht="15" customHeight="1" thickBot="1"/>
    <row r="3" spans="2:9" s="270" customFormat="1" ht="21.95" customHeight="1" thickBot="1">
      <c r="B3" s="287"/>
      <c r="C3" s="1740" t="s">
        <v>220</v>
      </c>
      <c r="D3" s="1741"/>
      <c r="E3" s="288"/>
      <c r="F3" s="288" t="s">
        <v>534</v>
      </c>
      <c r="G3" s="297" t="s">
        <v>117</v>
      </c>
      <c r="H3" s="298" t="s">
        <v>655</v>
      </c>
      <c r="I3" s="299" t="s">
        <v>118</v>
      </c>
    </row>
    <row r="4" spans="2:9" ht="21.95" customHeight="1" thickTop="1">
      <c r="B4" s="1742" t="s">
        <v>336</v>
      </c>
      <c r="C4" s="1743" t="s">
        <v>16</v>
      </c>
      <c r="D4" s="1744" t="s">
        <v>119</v>
      </c>
      <c r="E4" s="1651" t="s">
        <v>249</v>
      </c>
      <c r="F4" s="1731" t="s">
        <v>535</v>
      </c>
      <c r="G4" s="1745" t="s">
        <v>120</v>
      </c>
      <c r="H4" s="1737" t="s">
        <v>411</v>
      </c>
      <c r="I4" s="1730" t="s">
        <v>121</v>
      </c>
    </row>
    <row r="5" spans="2:9" ht="21.95" customHeight="1">
      <c r="B5" s="1690"/>
      <c r="C5" s="1662"/>
      <c r="D5" s="1673"/>
      <c r="E5" s="1657"/>
      <c r="F5" s="1664"/>
      <c r="G5" s="1736"/>
      <c r="H5" s="1657"/>
      <c r="I5" s="1702"/>
    </row>
    <row r="6" spans="2:9" ht="21.95" customHeight="1">
      <c r="B6" s="1690"/>
      <c r="C6" s="1647" t="s">
        <v>17</v>
      </c>
      <c r="D6" s="1672" t="s">
        <v>94</v>
      </c>
      <c r="E6" s="1651" t="s">
        <v>249</v>
      </c>
      <c r="F6" s="1651" t="s">
        <v>737</v>
      </c>
      <c r="G6" s="1733" t="s">
        <v>738</v>
      </c>
      <c r="H6" s="1651" t="s">
        <v>122</v>
      </c>
      <c r="I6" s="1701" t="s">
        <v>123</v>
      </c>
    </row>
    <row r="7" spans="2:9" ht="21.95" customHeight="1">
      <c r="B7" s="1690"/>
      <c r="C7" s="1662"/>
      <c r="D7" s="1673"/>
      <c r="E7" s="1657"/>
      <c r="F7" s="1667"/>
      <c r="G7" s="1734"/>
      <c r="H7" s="1657"/>
      <c r="I7" s="1702"/>
    </row>
    <row r="8" spans="2:9" ht="21.95" customHeight="1">
      <c r="B8" s="1690"/>
      <c r="C8" s="1647" t="s">
        <v>78</v>
      </c>
      <c r="D8" s="1672" t="s">
        <v>479</v>
      </c>
      <c r="E8" s="1706" t="s">
        <v>480</v>
      </c>
      <c r="F8" s="1651" t="s">
        <v>737</v>
      </c>
      <c r="G8" s="1733" t="s">
        <v>739</v>
      </c>
      <c r="H8" s="1706" t="s">
        <v>95</v>
      </c>
      <c r="I8" s="1701" t="s">
        <v>95</v>
      </c>
    </row>
    <row r="9" spans="2:9" ht="21.95" customHeight="1">
      <c r="B9" s="1690"/>
      <c r="C9" s="1662"/>
      <c r="D9" s="1673"/>
      <c r="E9" s="1657"/>
      <c r="F9" s="1667"/>
      <c r="G9" s="1734"/>
      <c r="H9" s="1657"/>
      <c r="I9" s="1702"/>
    </row>
    <row r="10" spans="2:9" ht="21.95" customHeight="1">
      <c r="B10" s="1690"/>
      <c r="C10" s="1647" t="s">
        <v>79</v>
      </c>
      <c r="D10" s="291" t="s">
        <v>96</v>
      </c>
      <c r="E10" s="1651" t="s">
        <v>249</v>
      </c>
      <c r="F10" s="1651" t="s">
        <v>535</v>
      </c>
      <c r="G10" s="1735" t="s">
        <v>262</v>
      </c>
      <c r="H10" s="893" t="s">
        <v>124</v>
      </c>
      <c r="I10" s="894" t="s">
        <v>125</v>
      </c>
    </row>
    <row r="11" spans="2:9" ht="21.95" customHeight="1">
      <c r="B11" s="1690"/>
      <c r="C11" s="1662"/>
      <c r="D11" s="289" t="s">
        <v>126</v>
      </c>
      <c r="E11" s="1657"/>
      <c r="F11" s="1667"/>
      <c r="G11" s="1736"/>
      <c r="H11" s="292" t="s">
        <v>127</v>
      </c>
      <c r="I11" s="895" t="s">
        <v>128</v>
      </c>
    </row>
    <row r="12" spans="2:9" ht="21.95" customHeight="1">
      <c r="B12" s="1690"/>
      <c r="C12" s="1647" t="s">
        <v>80</v>
      </c>
      <c r="D12" s="290" t="s">
        <v>97</v>
      </c>
      <c r="E12" s="1651" t="s">
        <v>249</v>
      </c>
      <c r="F12" s="1651" t="s">
        <v>535</v>
      </c>
      <c r="G12" s="1719" t="s">
        <v>820</v>
      </c>
      <c r="H12" s="1721" t="s">
        <v>821</v>
      </c>
      <c r="I12" s="1732" t="s">
        <v>822</v>
      </c>
    </row>
    <row r="13" spans="2:9" ht="21.95" customHeight="1">
      <c r="B13" s="1690"/>
      <c r="C13" s="1662"/>
      <c r="D13" s="289" t="s">
        <v>129</v>
      </c>
      <c r="E13" s="1657"/>
      <c r="F13" s="1667"/>
      <c r="G13" s="1720"/>
      <c r="H13" s="1722"/>
      <c r="I13" s="1705"/>
    </row>
    <row r="14" spans="2:9" ht="21.95" customHeight="1">
      <c r="B14" s="1690"/>
      <c r="C14" s="1647" t="s">
        <v>81</v>
      </c>
      <c r="D14" s="1672" t="s">
        <v>464</v>
      </c>
      <c r="E14" s="1706" t="s">
        <v>467</v>
      </c>
      <c r="F14" s="1651" t="s">
        <v>536</v>
      </c>
      <c r="G14" s="1711" t="s">
        <v>466</v>
      </c>
      <c r="H14" s="1665" t="s">
        <v>740</v>
      </c>
      <c r="I14" s="1701" t="s">
        <v>465</v>
      </c>
    </row>
    <row r="15" spans="2:9" ht="21.95" customHeight="1">
      <c r="B15" s="1690"/>
      <c r="C15" s="1662"/>
      <c r="D15" s="1673"/>
      <c r="E15" s="1657"/>
      <c r="F15" s="1667"/>
      <c r="G15" s="1746"/>
      <c r="H15" s="1708"/>
      <c r="I15" s="1702"/>
    </row>
    <row r="16" spans="2:9" ht="21.95" customHeight="1">
      <c r="B16" s="1690"/>
      <c r="C16" s="1647" t="s">
        <v>82</v>
      </c>
      <c r="D16" s="1672" t="s">
        <v>130</v>
      </c>
      <c r="E16" s="1724" t="s">
        <v>736</v>
      </c>
      <c r="F16" s="1651" t="s">
        <v>536</v>
      </c>
      <c r="G16" s="1674" t="s">
        <v>779</v>
      </c>
      <c r="H16" s="1727" t="s">
        <v>741</v>
      </c>
      <c r="I16" s="1728" t="s">
        <v>742</v>
      </c>
    </row>
    <row r="17" spans="2:9" ht="21.95" customHeight="1" thickBot="1">
      <c r="B17" s="1691"/>
      <c r="C17" s="1648"/>
      <c r="D17" s="1723"/>
      <c r="E17" s="1725"/>
      <c r="F17" s="1683"/>
      <c r="G17" s="1726"/>
      <c r="H17" s="1686"/>
      <c r="I17" s="1729"/>
    </row>
    <row r="18" spans="2:9" ht="21.95" customHeight="1">
      <c r="B18" s="1689" t="s">
        <v>337</v>
      </c>
      <c r="C18" s="1692" t="s">
        <v>16</v>
      </c>
      <c r="D18" s="293" t="s">
        <v>98</v>
      </c>
      <c r="E18" s="1695" t="s">
        <v>249</v>
      </c>
      <c r="F18" s="1707" t="s">
        <v>743</v>
      </c>
      <c r="G18" s="1709" t="s">
        <v>744</v>
      </c>
      <c r="H18" s="1710" t="s">
        <v>411</v>
      </c>
      <c r="I18" s="1704" t="s">
        <v>745</v>
      </c>
    </row>
    <row r="19" spans="2:9" ht="21.95" customHeight="1">
      <c r="B19" s="1690"/>
      <c r="C19" s="1662"/>
      <c r="D19" s="289" t="s">
        <v>131</v>
      </c>
      <c r="E19" s="1657"/>
      <c r="F19" s="1708"/>
      <c r="G19" s="1669"/>
      <c r="H19" s="1657"/>
      <c r="I19" s="1705"/>
    </row>
    <row r="20" spans="2:9" ht="29.25" customHeight="1">
      <c r="B20" s="1690"/>
      <c r="C20" s="1647" t="s">
        <v>17</v>
      </c>
      <c r="D20" s="1672" t="s">
        <v>463</v>
      </c>
      <c r="E20" s="1706" t="s">
        <v>462</v>
      </c>
      <c r="F20" s="1651" t="s">
        <v>535</v>
      </c>
      <c r="G20" s="1703" t="s">
        <v>468</v>
      </c>
      <c r="H20" s="1706" t="s">
        <v>95</v>
      </c>
      <c r="I20" s="1701" t="s">
        <v>121</v>
      </c>
    </row>
    <row r="21" spans="2:9" ht="29.25" customHeight="1">
      <c r="B21" s="1690"/>
      <c r="C21" s="1662"/>
      <c r="D21" s="1673"/>
      <c r="E21" s="1657"/>
      <c r="F21" s="1667"/>
      <c r="G21" s="1659"/>
      <c r="H21" s="1657"/>
      <c r="I21" s="1702"/>
    </row>
    <row r="22" spans="2:9" ht="21.95" customHeight="1">
      <c r="B22" s="1690"/>
      <c r="C22" s="1647" t="s">
        <v>78</v>
      </c>
      <c r="D22" s="1711" t="s">
        <v>4</v>
      </c>
      <c r="E22" s="1651" t="s">
        <v>249</v>
      </c>
      <c r="F22" s="1651" t="s">
        <v>535</v>
      </c>
      <c r="G22" s="1703" t="s">
        <v>5</v>
      </c>
      <c r="H22" s="1651" t="s">
        <v>122</v>
      </c>
      <c r="I22" s="1645" t="s">
        <v>528</v>
      </c>
    </row>
    <row r="23" spans="2:9" ht="21.95" customHeight="1">
      <c r="B23" s="1690"/>
      <c r="C23" s="1662"/>
      <c r="D23" s="1673"/>
      <c r="E23" s="1657"/>
      <c r="F23" s="1667"/>
      <c r="G23" s="1697"/>
      <c r="H23" s="1657"/>
      <c r="I23" s="1699"/>
    </row>
    <row r="24" spans="2:9" ht="21.95" customHeight="1">
      <c r="B24" s="1690"/>
      <c r="C24" s="1647" t="s">
        <v>79</v>
      </c>
      <c r="D24" s="1672" t="s">
        <v>481</v>
      </c>
      <c r="E24" s="1651" t="s">
        <v>249</v>
      </c>
      <c r="F24" s="1651" t="s">
        <v>737</v>
      </c>
      <c r="G24" s="1665" t="s">
        <v>746</v>
      </c>
      <c r="H24" s="1651" t="s">
        <v>122</v>
      </c>
      <c r="I24" s="1701" t="s">
        <v>123</v>
      </c>
    </row>
    <row r="25" spans="2:9" ht="21.95" customHeight="1">
      <c r="B25" s="1690"/>
      <c r="C25" s="1662"/>
      <c r="D25" s="1673"/>
      <c r="E25" s="1657"/>
      <c r="F25" s="1667"/>
      <c r="G25" s="1666"/>
      <c r="H25" s="1657"/>
      <c r="I25" s="1702"/>
    </row>
    <row r="26" spans="2:9" ht="21.95" customHeight="1">
      <c r="B26" s="1690"/>
      <c r="C26" s="1647" t="s">
        <v>80</v>
      </c>
      <c r="D26" s="1672" t="s">
        <v>513</v>
      </c>
      <c r="E26" s="1651" t="s">
        <v>249</v>
      </c>
      <c r="F26" s="1651" t="s">
        <v>737</v>
      </c>
      <c r="G26" s="1665" t="s">
        <v>747</v>
      </c>
      <c r="H26" s="1651" t="s">
        <v>95</v>
      </c>
      <c r="I26" s="1701" t="s">
        <v>95</v>
      </c>
    </row>
    <row r="27" spans="2:9" ht="21.95" customHeight="1">
      <c r="B27" s="1690"/>
      <c r="C27" s="1662"/>
      <c r="D27" s="1673"/>
      <c r="E27" s="1657"/>
      <c r="F27" s="1667"/>
      <c r="G27" s="1666"/>
      <c r="H27" s="1657"/>
      <c r="I27" s="1702"/>
    </row>
    <row r="28" spans="2:9" ht="21.95" customHeight="1">
      <c r="B28" s="1690"/>
      <c r="C28" s="1647" t="s">
        <v>81</v>
      </c>
      <c r="D28" s="1672" t="s">
        <v>514</v>
      </c>
      <c r="E28" s="1651" t="s">
        <v>249</v>
      </c>
      <c r="F28" s="1651" t="s">
        <v>737</v>
      </c>
      <c r="G28" s="1665" t="s">
        <v>748</v>
      </c>
      <c r="H28" s="1651" t="s">
        <v>95</v>
      </c>
      <c r="I28" s="1701" t="s">
        <v>95</v>
      </c>
    </row>
    <row r="29" spans="2:9" ht="21.95" customHeight="1">
      <c r="B29" s="1690"/>
      <c r="C29" s="1662"/>
      <c r="D29" s="1673"/>
      <c r="E29" s="1657"/>
      <c r="F29" s="1667"/>
      <c r="G29" s="1666"/>
      <c r="H29" s="1657"/>
      <c r="I29" s="1702"/>
    </row>
    <row r="30" spans="2:9" ht="21.95" customHeight="1">
      <c r="B30" s="1690"/>
      <c r="C30" s="1647" t="s">
        <v>82</v>
      </c>
      <c r="D30" s="290"/>
      <c r="E30" s="1651" t="s">
        <v>526</v>
      </c>
      <c r="F30" s="1714" t="s">
        <v>749</v>
      </c>
      <c r="G30" s="1703" t="s">
        <v>527</v>
      </c>
      <c r="H30" s="1717" t="s">
        <v>122</v>
      </c>
      <c r="I30" s="1678" t="s">
        <v>528</v>
      </c>
    </row>
    <row r="31" spans="2:9" ht="21.95" customHeight="1">
      <c r="B31" s="1690"/>
      <c r="C31" s="1712"/>
      <c r="D31" s="291" t="s">
        <v>529</v>
      </c>
      <c r="E31" s="1656"/>
      <c r="F31" s="1715"/>
      <c r="G31" s="1659"/>
      <c r="H31" s="1718"/>
      <c r="I31" s="1679"/>
    </row>
    <row r="32" spans="2:9" ht="21.95" customHeight="1">
      <c r="B32" s="1690"/>
      <c r="C32" s="1712"/>
      <c r="D32" s="291" t="s">
        <v>530</v>
      </c>
      <c r="E32" s="1656"/>
      <c r="F32" s="1715"/>
      <c r="G32" s="1659"/>
      <c r="H32" s="1718"/>
      <c r="I32" s="897" t="s">
        <v>531</v>
      </c>
    </row>
    <row r="33" spans="2:9" ht="21.95" customHeight="1">
      <c r="B33" s="1690"/>
      <c r="C33" s="1713"/>
      <c r="D33" s="289"/>
      <c r="E33" s="1657"/>
      <c r="F33" s="1716"/>
      <c r="G33" s="1697"/>
      <c r="H33" s="682" t="s">
        <v>532</v>
      </c>
      <c r="I33" s="898" t="s">
        <v>533</v>
      </c>
    </row>
    <row r="34" spans="2:9" ht="21.95" customHeight="1">
      <c r="B34" s="1690"/>
      <c r="C34" s="1647" t="s">
        <v>647</v>
      </c>
      <c r="D34" s="1681" t="s">
        <v>482</v>
      </c>
      <c r="E34" s="1651" t="s">
        <v>249</v>
      </c>
      <c r="F34" s="1651" t="s">
        <v>535</v>
      </c>
      <c r="G34" s="1684" t="s">
        <v>750</v>
      </c>
      <c r="H34" s="1668" t="s">
        <v>751</v>
      </c>
      <c r="I34" s="1687" t="s">
        <v>752</v>
      </c>
    </row>
    <row r="35" spans="2:9" ht="21.95" customHeight="1" thickBot="1">
      <c r="B35" s="1691"/>
      <c r="C35" s="1680"/>
      <c r="D35" s="1682"/>
      <c r="E35" s="1652"/>
      <c r="F35" s="1683"/>
      <c r="G35" s="1685"/>
      <c r="H35" s="1686"/>
      <c r="I35" s="1688"/>
    </row>
    <row r="36" spans="2:9" ht="21.95" customHeight="1">
      <c r="B36" s="1689" t="s">
        <v>338</v>
      </c>
      <c r="C36" s="1692" t="s">
        <v>16</v>
      </c>
      <c r="D36" s="1693" t="s">
        <v>753</v>
      </c>
      <c r="E36" s="1695" t="s">
        <v>249</v>
      </c>
      <c r="F36" s="1695" t="s">
        <v>535</v>
      </c>
      <c r="G36" s="1696" t="s">
        <v>698</v>
      </c>
      <c r="H36" s="1695" t="s">
        <v>122</v>
      </c>
      <c r="I36" s="1698" t="s">
        <v>528</v>
      </c>
    </row>
    <row r="37" spans="2:9" ht="21.95" customHeight="1">
      <c r="B37" s="1690"/>
      <c r="C37" s="1654"/>
      <c r="D37" s="1694"/>
      <c r="E37" s="1657"/>
      <c r="F37" s="1667"/>
      <c r="G37" s="1697"/>
      <c r="H37" s="1657"/>
      <c r="I37" s="1699"/>
    </row>
    <row r="38" spans="2:9" ht="21.95" customHeight="1">
      <c r="B38" s="1690"/>
      <c r="C38" s="1700" t="s">
        <v>17</v>
      </c>
      <c r="D38" s="1672" t="s">
        <v>483</v>
      </c>
      <c r="E38" s="1651" t="s">
        <v>249</v>
      </c>
      <c r="F38" s="1651" t="s">
        <v>737</v>
      </c>
      <c r="G38" s="1175" t="s">
        <v>754</v>
      </c>
      <c r="H38" s="1651" t="s">
        <v>122</v>
      </c>
      <c r="I38" s="1701" t="s">
        <v>123</v>
      </c>
    </row>
    <row r="39" spans="2:9" ht="21.95" customHeight="1">
      <c r="B39" s="1690"/>
      <c r="C39" s="1662"/>
      <c r="D39" s="1673"/>
      <c r="E39" s="1657"/>
      <c r="F39" s="1657"/>
      <c r="G39" s="1176" t="s">
        <v>755</v>
      </c>
      <c r="H39" s="1657"/>
      <c r="I39" s="1702"/>
    </row>
    <row r="40" spans="2:9" ht="21.75" customHeight="1">
      <c r="B40" s="1690"/>
      <c r="C40" s="1647" t="s">
        <v>78</v>
      </c>
      <c r="D40" s="1672" t="s">
        <v>631</v>
      </c>
      <c r="E40" s="1651" t="s">
        <v>632</v>
      </c>
      <c r="F40" s="1651" t="s">
        <v>737</v>
      </c>
      <c r="G40" s="1668" t="s">
        <v>756</v>
      </c>
      <c r="H40" s="1668" t="s">
        <v>757</v>
      </c>
      <c r="I40" s="1670" t="s">
        <v>758</v>
      </c>
    </row>
    <row r="41" spans="2:9" ht="21.75" customHeight="1">
      <c r="B41" s="1690"/>
      <c r="C41" s="1662"/>
      <c r="D41" s="1673"/>
      <c r="E41" s="1657"/>
      <c r="F41" s="1667"/>
      <c r="G41" s="1669"/>
      <c r="H41" s="1669"/>
      <c r="I41" s="1671"/>
    </row>
    <row r="42" spans="2:9" ht="21.95" customHeight="1">
      <c r="B42" s="1690"/>
      <c r="C42" s="1647" t="s">
        <v>79</v>
      </c>
      <c r="D42" s="1672" t="s">
        <v>641</v>
      </c>
      <c r="E42" s="1651" t="s">
        <v>212</v>
      </c>
      <c r="F42" s="1651" t="s">
        <v>537</v>
      </c>
      <c r="G42" s="1674" t="s">
        <v>759</v>
      </c>
      <c r="H42" s="1676" t="s">
        <v>412</v>
      </c>
      <c r="I42" s="1645" t="s">
        <v>643</v>
      </c>
    </row>
    <row r="43" spans="2:9" ht="21.95" customHeight="1">
      <c r="B43" s="1690"/>
      <c r="C43" s="1662"/>
      <c r="D43" s="1673"/>
      <c r="E43" s="1657"/>
      <c r="F43" s="1667"/>
      <c r="G43" s="1675"/>
      <c r="H43" s="1669"/>
      <c r="I43" s="1677"/>
    </row>
    <row r="44" spans="2:9" ht="21.95" customHeight="1">
      <c r="B44" s="1690"/>
      <c r="C44" s="1654" t="s">
        <v>80</v>
      </c>
      <c r="D44" s="1655" t="s">
        <v>484</v>
      </c>
      <c r="E44" s="1656" t="s">
        <v>225</v>
      </c>
      <c r="F44" s="1651" t="s">
        <v>535</v>
      </c>
      <c r="G44" s="1658" t="s">
        <v>760</v>
      </c>
      <c r="H44" s="1651" t="s">
        <v>122</v>
      </c>
      <c r="I44" s="896" t="s">
        <v>539</v>
      </c>
    </row>
    <row r="45" spans="2:9" ht="21.95" customHeight="1">
      <c r="B45" s="1690"/>
      <c r="C45" s="1654"/>
      <c r="D45" s="1644"/>
      <c r="E45" s="1656"/>
      <c r="F45" s="1657"/>
      <c r="G45" s="1659"/>
      <c r="H45" s="1657"/>
      <c r="I45" s="683" t="s">
        <v>540</v>
      </c>
    </row>
    <row r="46" spans="2:9" ht="30.75" customHeight="1">
      <c r="B46" s="1690"/>
      <c r="C46" s="1647" t="s">
        <v>81</v>
      </c>
      <c r="D46" s="1649" t="s">
        <v>694</v>
      </c>
      <c r="E46" s="1651" t="s">
        <v>212</v>
      </c>
      <c r="F46" s="1651" t="s">
        <v>537</v>
      </c>
      <c r="G46" s="1665" t="s">
        <v>761</v>
      </c>
      <c r="H46" s="1651" t="s">
        <v>122</v>
      </c>
      <c r="I46" s="1645" t="s">
        <v>541</v>
      </c>
    </row>
    <row r="47" spans="2:9" ht="30.75" customHeight="1">
      <c r="B47" s="1690"/>
      <c r="C47" s="1662"/>
      <c r="D47" s="1663"/>
      <c r="E47" s="1657"/>
      <c r="F47" s="1664"/>
      <c r="G47" s="1666"/>
      <c r="H47" s="1657"/>
      <c r="I47" s="1646"/>
    </row>
    <row r="48" spans="2:9" ht="21.95" customHeight="1">
      <c r="B48" s="1690"/>
      <c r="C48" s="1647" t="s">
        <v>82</v>
      </c>
      <c r="D48" s="1649" t="s">
        <v>410</v>
      </c>
      <c r="E48" s="1651" t="s">
        <v>249</v>
      </c>
      <c r="F48" s="1651" t="s">
        <v>535</v>
      </c>
      <c r="G48" s="1651" t="s">
        <v>674</v>
      </c>
      <c r="H48" s="1651" t="s">
        <v>132</v>
      </c>
      <c r="I48" s="1660" t="s">
        <v>413</v>
      </c>
    </row>
    <row r="49" spans="2:9" ht="21.95" customHeight="1" thickBot="1">
      <c r="B49" s="1691"/>
      <c r="C49" s="1648"/>
      <c r="D49" s="1650"/>
      <c r="E49" s="1652"/>
      <c r="F49" s="1653"/>
      <c r="G49" s="1653"/>
      <c r="H49" s="1652"/>
      <c r="I49" s="1661"/>
    </row>
    <row r="50" spans="2:9" ht="15" customHeight="1">
      <c r="B50" s="294"/>
      <c r="C50" s="266"/>
      <c r="D50" s="291"/>
      <c r="E50" s="265"/>
      <c r="F50" s="1174" t="s">
        <v>774</v>
      </c>
      <c r="G50" s="295"/>
      <c r="H50" s="265"/>
      <c r="I50" s="265"/>
    </row>
    <row r="51" spans="2:9" ht="15" customHeight="1">
      <c r="B51" s="1643" t="s">
        <v>0</v>
      </c>
      <c r="C51" s="1643"/>
      <c r="D51" s="1643"/>
      <c r="E51" s="1643"/>
      <c r="F51" s="219"/>
    </row>
    <row r="52" spans="2:9" ht="15" customHeight="1">
      <c r="B52" s="1643" t="s">
        <v>1</v>
      </c>
      <c r="C52" s="1643"/>
      <c r="D52" s="1643"/>
      <c r="E52" s="1643"/>
      <c r="F52" s="219"/>
    </row>
    <row r="53" spans="2:9" ht="15" customHeight="1">
      <c r="B53" s="1644" t="s">
        <v>2</v>
      </c>
      <c r="C53" s="1644"/>
      <c r="D53" s="1644"/>
      <c r="E53" s="1644"/>
      <c r="F53" s="291"/>
    </row>
    <row r="54" spans="2:9" ht="15" customHeight="1">
      <c r="B54" s="1643" t="s">
        <v>3</v>
      </c>
      <c r="C54" s="1643"/>
      <c r="D54" s="1643"/>
      <c r="E54" s="1643"/>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17"/>
  <sheetViews>
    <sheetView zoomScale="80" zoomScaleNormal="80" workbookViewId="0">
      <pane xSplit="3" ySplit="67" topLeftCell="P395" activePane="bottomRight" state="frozen"/>
      <selection activeCell="O402" sqref="O402"/>
      <selection pane="topRight" activeCell="O402" sqref="O402"/>
      <selection pane="bottomLeft" activeCell="O402" sqref="O402"/>
      <selection pane="bottomRight" activeCell="O402" sqref="O402"/>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25">
      <c r="A4" s="408"/>
      <c r="B4" s="409"/>
      <c r="C4" s="410"/>
      <c r="D4" s="411"/>
      <c r="E4" s="677" t="s">
        <v>176</v>
      </c>
      <c r="F4" s="677" t="s">
        <v>763</v>
      </c>
      <c r="G4" s="677" t="s">
        <v>763</v>
      </c>
      <c r="H4" s="677" t="s">
        <v>177</v>
      </c>
      <c r="I4" s="677" t="s">
        <v>178</v>
      </c>
      <c r="J4" s="677" t="s">
        <v>9</v>
      </c>
      <c r="K4" s="677" t="s">
        <v>179</v>
      </c>
      <c r="L4" s="415"/>
      <c r="M4" s="678" t="s">
        <v>180</v>
      </c>
      <c r="N4" s="678" t="s">
        <v>12</v>
      </c>
      <c r="O4" s="678" t="s">
        <v>500</v>
      </c>
      <c r="P4" s="678" t="s">
        <v>763</v>
      </c>
      <c r="Q4" s="678" t="s">
        <v>763</v>
      </c>
      <c r="R4" s="678" t="s">
        <v>763</v>
      </c>
      <c r="S4" s="678" t="s">
        <v>176</v>
      </c>
      <c r="T4" s="678" t="s">
        <v>502</v>
      </c>
      <c r="U4" s="415"/>
      <c r="V4" s="412"/>
      <c r="W4" s="1140" t="s">
        <v>735</v>
      </c>
      <c r="X4" s="679" t="s">
        <v>763</v>
      </c>
      <c r="Y4" s="679" t="s">
        <v>521</v>
      </c>
      <c r="Z4" s="679" t="s">
        <v>521</v>
      </c>
      <c r="AA4" s="679" t="s">
        <v>181</v>
      </c>
      <c r="AB4" s="679" t="s">
        <v>765</v>
      </c>
      <c r="AC4" s="679" t="s">
        <v>181</v>
      </c>
      <c r="AD4" s="214"/>
    </row>
    <row r="5" spans="1:30" ht="14.25">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25">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25">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5"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5"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5"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5"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5"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5"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5"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5"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5"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5"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5"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5"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5"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5"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5"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5"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5"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5"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5"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5"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5"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5"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5"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5"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5"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5"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5"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5"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5"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5"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5"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5"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5"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5"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5"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5"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5"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5"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5"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5"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5"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5"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5"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5"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5"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5"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5"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5"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5"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5"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5"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5"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5"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5"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5"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5"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5"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5"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25">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25">
      <c r="A67" s="499" t="s">
        <v>368</v>
      </c>
      <c r="B67" s="500">
        <v>1998</v>
      </c>
      <c r="C67" s="501">
        <v>1</v>
      </c>
      <c r="D67" s="657">
        <v>-0.21</v>
      </c>
      <c r="E67" s="502">
        <v>-0.4</v>
      </c>
      <c r="F67" s="502">
        <v>-1.6</v>
      </c>
      <c r="G67" s="502">
        <v>-1.2</v>
      </c>
      <c r="H67" s="502">
        <v>-4.4000000000000004</v>
      </c>
      <c r="I67" s="502">
        <v>-0.3</v>
      </c>
      <c r="J67" s="502">
        <v>-2.2999999999999998</v>
      </c>
      <c r="K67" s="502">
        <v>-1.5</v>
      </c>
      <c r="L67" s="859"/>
      <c r="M67" s="502">
        <v>-2.823</v>
      </c>
      <c r="N67" s="502">
        <v>-0.1</v>
      </c>
      <c r="O67" s="1153">
        <v>0</v>
      </c>
      <c r="P67" s="1153">
        <v>0</v>
      </c>
      <c r="Q67" s="1153">
        <v>0</v>
      </c>
      <c r="R67" s="1153">
        <v>0</v>
      </c>
      <c r="S67" s="1153">
        <v>0</v>
      </c>
      <c r="T67" s="1153">
        <v>-0.9</v>
      </c>
      <c r="U67" s="859"/>
      <c r="V67" s="651">
        <v>-0.12</v>
      </c>
      <c r="W67" s="1153">
        <v>0.2</v>
      </c>
      <c r="X67" s="1153">
        <v>-1.4</v>
      </c>
      <c r="Y67" s="1153">
        <v>-0.38</v>
      </c>
      <c r="Z67" s="1153">
        <v>-1.7</v>
      </c>
      <c r="AA67" s="1153">
        <v>-0.8</v>
      </c>
      <c r="AB67" s="1153">
        <v>1</v>
      </c>
      <c r="AC67" s="1153">
        <v>-1.1000000000000001</v>
      </c>
      <c r="AD67" s="214"/>
    </row>
    <row r="68" spans="1:30" ht="14.25">
      <c r="A68" s="499"/>
      <c r="B68" s="500" t="s">
        <v>141</v>
      </c>
      <c r="C68" s="501">
        <v>2</v>
      </c>
      <c r="D68" s="655">
        <v>-0.13</v>
      </c>
      <c r="E68" s="502">
        <v>0</v>
      </c>
      <c r="F68" s="502">
        <v>1</v>
      </c>
      <c r="G68" s="502">
        <v>-1.1000000000000001</v>
      </c>
      <c r="H68" s="502">
        <v>1</v>
      </c>
      <c r="I68" s="502">
        <v>-0.3</v>
      </c>
      <c r="J68" s="502">
        <v>1</v>
      </c>
      <c r="K68" s="502">
        <v>-1.4</v>
      </c>
      <c r="L68" s="859"/>
      <c r="M68" s="502">
        <v>-2.1520000000000001</v>
      </c>
      <c r="N68" s="502">
        <v>-0.9</v>
      </c>
      <c r="O68" s="1153">
        <v>-1.5</v>
      </c>
      <c r="P68" s="1153">
        <v>2</v>
      </c>
      <c r="Q68" s="1153">
        <v>1.3</v>
      </c>
      <c r="R68" s="1153">
        <v>-0.2</v>
      </c>
      <c r="S68" s="1153">
        <v>1.4</v>
      </c>
      <c r="T68" s="1153">
        <v>0.5</v>
      </c>
      <c r="U68" s="859"/>
      <c r="V68" s="649">
        <v>-0.13</v>
      </c>
      <c r="W68" s="1153">
        <v>-0.5</v>
      </c>
      <c r="X68" s="1153">
        <v>1</v>
      </c>
      <c r="Y68" s="1153">
        <v>-0.27</v>
      </c>
      <c r="Z68" s="1153">
        <v>0.1</v>
      </c>
      <c r="AA68" s="1153">
        <v>0</v>
      </c>
      <c r="AB68" s="1153">
        <v>-0.8</v>
      </c>
      <c r="AC68" s="1153">
        <v>-0.1</v>
      </c>
      <c r="AD68" s="214"/>
    </row>
    <row r="69" spans="1:30" ht="14.25">
      <c r="A69" s="499"/>
      <c r="B69" s="500" t="s">
        <v>141</v>
      </c>
      <c r="C69" s="501">
        <v>3</v>
      </c>
      <c r="D69" s="655">
        <v>-0.14000000000000001</v>
      </c>
      <c r="E69" s="502">
        <v>-0.4</v>
      </c>
      <c r="F69" s="502">
        <v>2.9</v>
      </c>
      <c r="G69" s="502">
        <v>2.8</v>
      </c>
      <c r="H69" s="502">
        <v>0.4</v>
      </c>
      <c r="I69" s="502">
        <v>0</v>
      </c>
      <c r="J69" s="502">
        <v>-0.6</v>
      </c>
      <c r="K69" s="502">
        <v>-1.4</v>
      </c>
      <c r="L69" s="859"/>
      <c r="M69" s="502">
        <v>-1.163</v>
      </c>
      <c r="N69" s="502">
        <v>-0.3</v>
      </c>
      <c r="O69" s="1153">
        <v>-0.4</v>
      </c>
      <c r="P69" s="1153">
        <v>-1.4</v>
      </c>
      <c r="Q69" s="1153">
        <v>1</v>
      </c>
      <c r="R69" s="1153">
        <v>1.4</v>
      </c>
      <c r="S69" s="1153">
        <v>0.9</v>
      </c>
      <c r="T69" s="1153">
        <v>-0.2</v>
      </c>
      <c r="U69" s="859"/>
      <c r="V69" s="649">
        <v>-0.13</v>
      </c>
      <c r="W69" s="1153">
        <v>-0.4</v>
      </c>
      <c r="X69" s="1153">
        <v>-2.2999999999999998</v>
      </c>
      <c r="Y69" s="1153">
        <v>-1.82</v>
      </c>
      <c r="Z69" s="1153">
        <v>-2</v>
      </c>
      <c r="AA69" s="1153">
        <v>0.2</v>
      </c>
      <c r="AB69" s="1153">
        <v>0.7</v>
      </c>
      <c r="AC69" s="1153">
        <v>1.6</v>
      </c>
      <c r="AD69" s="214"/>
    </row>
    <row r="70" spans="1:30" ht="14.25">
      <c r="A70" s="499"/>
      <c r="B70" s="500" t="s">
        <v>141</v>
      </c>
      <c r="C70" s="501">
        <v>4</v>
      </c>
      <c r="D70" s="655">
        <v>-0.27</v>
      </c>
      <c r="E70" s="502">
        <v>-0.7</v>
      </c>
      <c r="F70" s="502">
        <v>-2</v>
      </c>
      <c r="G70" s="502">
        <v>-0.1</v>
      </c>
      <c r="H70" s="502">
        <v>-0.4</v>
      </c>
      <c r="I70" s="502">
        <v>0.6</v>
      </c>
      <c r="J70" s="502">
        <v>0</v>
      </c>
      <c r="K70" s="502">
        <v>-1.5</v>
      </c>
      <c r="L70" s="859"/>
      <c r="M70" s="502">
        <v>-1.1080000000000001</v>
      </c>
      <c r="N70" s="502">
        <v>-0.8</v>
      </c>
      <c r="O70" s="1153">
        <v>0.9</v>
      </c>
      <c r="P70" s="1153">
        <v>-1.1000000000000001</v>
      </c>
      <c r="Q70" s="1153">
        <v>-2.1</v>
      </c>
      <c r="R70" s="1153">
        <v>-2.7</v>
      </c>
      <c r="S70" s="1153">
        <v>-2</v>
      </c>
      <c r="T70" s="1153">
        <v>-0.6</v>
      </c>
      <c r="U70" s="859"/>
      <c r="V70" s="649">
        <v>-0.17</v>
      </c>
      <c r="W70" s="1153">
        <v>0.5</v>
      </c>
      <c r="X70" s="1153">
        <v>0.5</v>
      </c>
      <c r="Y70" s="1153">
        <v>-1.25</v>
      </c>
      <c r="Z70" s="1153">
        <v>0.9</v>
      </c>
      <c r="AA70" s="1153">
        <v>-1.9</v>
      </c>
      <c r="AB70" s="1153">
        <v>-3</v>
      </c>
      <c r="AC70" s="1153">
        <v>-1.7</v>
      </c>
      <c r="AD70" s="214"/>
    </row>
    <row r="71" spans="1:30" ht="14.25">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3">
        <v>0.9</v>
      </c>
      <c r="P71" s="1153">
        <v>-2.1</v>
      </c>
      <c r="Q71" s="1153">
        <v>-1.8</v>
      </c>
      <c r="R71" s="1153">
        <v>-0.7</v>
      </c>
      <c r="S71" s="1153">
        <v>-1.9</v>
      </c>
      <c r="T71" s="1153">
        <v>-0.4</v>
      </c>
      <c r="U71" s="859"/>
      <c r="V71" s="649">
        <v>-0.19</v>
      </c>
      <c r="W71" s="1153">
        <v>-0.1</v>
      </c>
      <c r="X71" s="1153">
        <v>-1.9</v>
      </c>
      <c r="Y71" s="1153">
        <v>-0.28999999999999998</v>
      </c>
      <c r="Z71" s="1153">
        <v>-0.3</v>
      </c>
      <c r="AA71" s="1153">
        <v>1.7</v>
      </c>
      <c r="AB71" s="1153">
        <v>0.5</v>
      </c>
      <c r="AC71" s="1153">
        <v>-1.2</v>
      </c>
      <c r="AD71" s="214"/>
    </row>
    <row r="72" spans="1:30" ht="14.25">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3">
        <v>-0.6</v>
      </c>
      <c r="P72" s="1153">
        <v>-0.2</v>
      </c>
      <c r="Q72" s="1153">
        <v>0.7</v>
      </c>
      <c r="R72" s="1153">
        <v>1.6</v>
      </c>
      <c r="S72" s="1153">
        <v>0.6</v>
      </c>
      <c r="T72" s="1153">
        <v>0.6</v>
      </c>
      <c r="U72" s="859"/>
      <c r="V72" s="649">
        <v>-0.17</v>
      </c>
      <c r="W72" s="1153">
        <v>-0.1</v>
      </c>
      <c r="X72" s="1153">
        <v>-1.7</v>
      </c>
      <c r="Y72" s="1153">
        <v>-0.19</v>
      </c>
      <c r="Z72" s="1153">
        <v>-1.3</v>
      </c>
      <c r="AA72" s="1153">
        <v>0.5</v>
      </c>
      <c r="AB72" s="1153">
        <v>-1.3</v>
      </c>
      <c r="AC72" s="1153">
        <v>2</v>
      </c>
      <c r="AD72" s="214"/>
    </row>
    <row r="73" spans="1:30" ht="14.25">
      <c r="A73" s="499"/>
      <c r="B73" s="500" t="s">
        <v>141</v>
      </c>
      <c r="C73" s="501">
        <v>7</v>
      </c>
      <c r="D73" s="655">
        <v>-0.26</v>
      </c>
      <c r="E73" s="502">
        <v>0.7</v>
      </c>
      <c r="F73" s="502">
        <v>0.9</v>
      </c>
      <c r="G73" s="502">
        <v>0.1</v>
      </c>
      <c r="H73" s="502">
        <v>1</v>
      </c>
      <c r="I73" s="502">
        <v>-0.2</v>
      </c>
      <c r="J73" s="502">
        <v>0.6</v>
      </c>
      <c r="K73" s="502">
        <v>0</v>
      </c>
      <c r="L73" s="859"/>
      <c r="M73" s="502">
        <v>-1.3580000000000001</v>
      </c>
      <c r="N73" s="502">
        <v>-0.1</v>
      </c>
      <c r="O73" s="1153">
        <v>-1.1000000000000001</v>
      </c>
      <c r="P73" s="1153">
        <v>0.3</v>
      </c>
      <c r="Q73" s="1153">
        <v>0.9</v>
      </c>
      <c r="R73" s="1153">
        <v>0.2</v>
      </c>
      <c r="S73" s="1153">
        <v>1.2</v>
      </c>
      <c r="T73" s="1153">
        <v>-0.1</v>
      </c>
      <c r="U73" s="859"/>
      <c r="V73" s="649">
        <v>-0.17</v>
      </c>
      <c r="W73" s="1153">
        <v>0.2</v>
      </c>
      <c r="X73" s="1153">
        <v>0.1</v>
      </c>
      <c r="Y73" s="1153">
        <v>0.62</v>
      </c>
      <c r="Z73" s="1153">
        <v>0.9</v>
      </c>
      <c r="AA73" s="1153">
        <v>-0.1</v>
      </c>
      <c r="AB73" s="1153">
        <v>0.2</v>
      </c>
      <c r="AC73" s="1153">
        <v>-1.9</v>
      </c>
      <c r="AD73" s="214"/>
    </row>
    <row r="74" spans="1:30" ht="14.25">
      <c r="A74" s="499"/>
      <c r="B74" s="500" t="s">
        <v>141</v>
      </c>
      <c r="C74" s="501">
        <v>8</v>
      </c>
      <c r="D74" s="655">
        <v>-0.4</v>
      </c>
      <c r="E74" s="502">
        <v>-0.6</v>
      </c>
      <c r="F74" s="502">
        <v>-3</v>
      </c>
      <c r="G74" s="502">
        <v>-1.5</v>
      </c>
      <c r="H74" s="502">
        <v>-0.5</v>
      </c>
      <c r="I74" s="502">
        <v>-0.3</v>
      </c>
      <c r="J74" s="502">
        <v>1.2</v>
      </c>
      <c r="K74" s="502">
        <v>-0.1</v>
      </c>
      <c r="L74" s="859"/>
      <c r="M74" s="502">
        <v>-0.128</v>
      </c>
      <c r="N74" s="502">
        <v>-0.3</v>
      </c>
      <c r="O74" s="1153">
        <v>0.3</v>
      </c>
      <c r="P74" s="1153">
        <v>-2.2999999999999998</v>
      </c>
      <c r="Q74" s="1153">
        <v>-2.2999999999999998</v>
      </c>
      <c r="R74" s="1153">
        <v>-2.6</v>
      </c>
      <c r="S74" s="1153">
        <v>-2.4</v>
      </c>
      <c r="T74" s="1153">
        <v>-0.7</v>
      </c>
      <c r="U74" s="859"/>
      <c r="V74" s="649">
        <v>-0.19</v>
      </c>
      <c r="W74" s="1153">
        <v>-0.2</v>
      </c>
      <c r="X74" s="1153">
        <v>-0.5</v>
      </c>
      <c r="Y74" s="1153">
        <v>-1.91</v>
      </c>
      <c r="Z74" s="1153">
        <v>-0.4</v>
      </c>
      <c r="AA74" s="1153">
        <v>-0.4</v>
      </c>
      <c r="AB74" s="1153">
        <v>-0.1</v>
      </c>
      <c r="AC74" s="1153">
        <v>0.3</v>
      </c>
      <c r="AD74" s="214"/>
    </row>
    <row r="75" spans="1:30" ht="14.25">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3">
        <v>-0.1</v>
      </c>
      <c r="P75" s="1153">
        <v>1.8</v>
      </c>
      <c r="Q75" s="1153">
        <v>1.5</v>
      </c>
      <c r="R75" s="1153">
        <v>1.1000000000000001</v>
      </c>
      <c r="S75" s="1153">
        <v>1.5</v>
      </c>
      <c r="T75" s="1153">
        <v>0.3</v>
      </c>
      <c r="U75" s="859"/>
      <c r="V75" s="649">
        <v>-0.18</v>
      </c>
      <c r="W75" s="1153">
        <v>0.1</v>
      </c>
      <c r="X75" s="1153">
        <v>0.8</v>
      </c>
      <c r="Y75" s="1153">
        <v>0.47</v>
      </c>
      <c r="Z75" s="1153">
        <v>-0.8</v>
      </c>
      <c r="AA75" s="1153">
        <v>0.6</v>
      </c>
      <c r="AB75" s="1153">
        <v>0.5</v>
      </c>
      <c r="AC75" s="1153">
        <v>0.8</v>
      </c>
      <c r="AD75" s="214"/>
    </row>
    <row r="76" spans="1:30" ht="14.25">
      <c r="A76" s="499"/>
      <c r="B76" s="500" t="s">
        <v>141</v>
      </c>
      <c r="C76" s="501">
        <v>10</v>
      </c>
      <c r="D76" s="655">
        <v>-0.19</v>
      </c>
      <c r="E76" s="502">
        <v>1</v>
      </c>
      <c r="F76" s="502">
        <v>2.7</v>
      </c>
      <c r="G76" s="502">
        <v>1.3</v>
      </c>
      <c r="H76" s="502">
        <v>1.1000000000000001</v>
      </c>
      <c r="I76" s="502">
        <v>0.4</v>
      </c>
      <c r="J76" s="502">
        <v>0.9</v>
      </c>
      <c r="K76" s="502">
        <v>-0.2</v>
      </c>
      <c r="L76" s="859"/>
      <c r="M76" s="502">
        <v>-0.123</v>
      </c>
      <c r="N76" s="502">
        <v>-0.2</v>
      </c>
      <c r="O76" s="1153">
        <v>0.2</v>
      </c>
      <c r="P76" s="1153">
        <v>-0.4</v>
      </c>
      <c r="Q76" s="1153">
        <v>0.5</v>
      </c>
      <c r="R76" s="1153">
        <v>0</v>
      </c>
      <c r="S76" s="1153">
        <v>0.3</v>
      </c>
      <c r="T76" s="1153">
        <v>1.1000000000000001</v>
      </c>
      <c r="U76" s="859"/>
      <c r="V76" s="649">
        <v>-0.11</v>
      </c>
      <c r="W76" s="1153">
        <v>-1.1000000000000001</v>
      </c>
      <c r="X76" s="1153">
        <v>-0.2</v>
      </c>
      <c r="Y76" s="1153">
        <v>0.14000000000000001</v>
      </c>
      <c r="Z76" s="1153">
        <v>0.8</v>
      </c>
      <c r="AA76" s="1153">
        <v>-0.4</v>
      </c>
      <c r="AB76" s="1153">
        <v>1</v>
      </c>
      <c r="AC76" s="1153">
        <v>-1.4</v>
      </c>
      <c r="AD76" s="214"/>
    </row>
    <row r="77" spans="1:30" ht="14.25">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3">
        <v>-1</v>
      </c>
      <c r="P77" s="1153">
        <v>1.5</v>
      </c>
      <c r="Q77" s="1153">
        <v>0.5</v>
      </c>
      <c r="R77" s="1153">
        <v>-0.1</v>
      </c>
      <c r="S77" s="1153">
        <v>0.6</v>
      </c>
      <c r="T77" s="1153">
        <v>-1.8</v>
      </c>
      <c r="U77" s="859"/>
      <c r="V77" s="649">
        <v>-0.23</v>
      </c>
      <c r="W77" s="1153">
        <v>-0.1</v>
      </c>
      <c r="X77" s="1153">
        <v>2</v>
      </c>
      <c r="Y77" s="1153">
        <v>-1.05</v>
      </c>
      <c r="Z77" s="1153">
        <v>1.2</v>
      </c>
      <c r="AA77" s="1153">
        <v>0.1</v>
      </c>
      <c r="AB77" s="1153">
        <v>0.5</v>
      </c>
      <c r="AC77" s="1153">
        <v>1</v>
      </c>
      <c r="AD77" s="214"/>
    </row>
    <row r="78" spans="1:30" ht="14.25">
      <c r="A78" s="499"/>
      <c r="B78" s="500" t="s">
        <v>141</v>
      </c>
      <c r="C78" s="501">
        <v>12</v>
      </c>
      <c r="D78" s="657">
        <v>-0.18</v>
      </c>
      <c r="E78" s="502">
        <v>0.4</v>
      </c>
      <c r="F78" s="502">
        <v>-1.6</v>
      </c>
      <c r="G78" s="502">
        <v>0</v>
      </c>
      <c r="H78" s="502">
        <v>0.7</v>
      </c>
      <c r="I78" s="502">
        <v>-0.7</v>
      </c>
      <c r="J78" s="502">
        <v>0.6</v>
      </c>
      <c r="K78" s="502">
        <v>-0.2</v>
      </c>
      <c r="L78" s="859"/>
      <c r="M78" s="502">
        <v>-0.1</v>
      </c>
      <c r="N78" s="502">
        <v>-0.4</v>
      </c>
      <c r="O78" s="1153">
        <v>0.8</v>
      </c>
      <c r="P78" s="1153">
        <v>0.8</v>
      </c>
      <c r="Q78" s="1153">
        <v>0.7</v>
      </c>
      <c r="R78" s="1153">
        <v>0.4</v>
      </c>
      <c r="S78" s="1153">
        <v>0.6</v>
      </c>
      <c r="T78" s="1153">
        <v>0.8</v>
      </c>
      <c r="U78" s="859"/>
      <c r="V78" s="651">
        <v>-0.13</v>
      </c>
      <c r="W78" s="1153">
        <v>0.5</v>
      </c>
      <c r="X78" s="1153">
        <v>1.4</v>
      </c>
      <c r="Y78" s="1153">
        <v>0.8</v>
      </c>
      <c r="Z78" s="1153">
        <v>-1</v>
      </c>
      <c r="AA78" s="1153">
        <v>-0.6</v>
      </c>
      <c r="AB78" s="1153">
        <v>-0.2</v>
      </c>
      <c r="AC78" s="1153">
        <v>-0.3</v>
      </c>
      <c r="AD78" s="214"/>
    </row>
    <row r="79" spans="1:30" ht="14.25">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4">
        <v>-0.5</v>
      </c>
      <c r="P79" s="1154">
        <v>-1.7</v>
      </c>
      <c r="Q79" s="1154">
        <v>-2</v>
      </c>
      <c r="R79" s="1154">
        <v>-2.2999999999999998</v>
      </c>
      <c r="S79" s="1154">
        <v>-2.1</v>
      </c>
      <c r="T79" s="1154">
        <v>0.3</v>
      </c>
      <c r="U79" s="858"/>
      <c r="V79" s="648">
        <v>-0.16</v>
      </c>
      <c r="W79" s="1154">
        <v>1.2</v>
      </c>
      <c r="X79" s="1154">
        <v>-1.5</v>
      </c>
      <c r="Y79" s="1154">
        <v>-0.56999999999999995</v>
      </c>
      <c r="Z79" s="1154">
        <v>-1.3</v>
      </c>
      <c r="AA79" s="1154">
        <v>0.2</v>
      </c>
      <c r="AB79" s="1154">
        <v>-1.6</v>
      </c>
      <c r="AC79" s="1154">
        <v>0</v>
      </c>
      <c r="AD79" s="214"/>
    </row>
    <row r="80" spans="1:30" ht="14.25">
      <c r="A80" s="499"/>
      <c r="B80" s="500" t="s">
        <v>141</v>
      </c>
      <c r="C80" s="501">
        <v>2</v>
      </c>
      <c r="D80" s="655">
        <v>-0.25</v>
      </c>
      <c r="E80" s="502">
        <v>0.1</v>
      </c>
      <c r="F80" s="502">
        <v>3.1</v>
      </c>
      <c r="G80" s="502">
        <v>1.1000000000000001</v>
      </c>
      <c r="H80" s="502">
        <v>-0.7</v>
      </c>
      <c r="I80" s="502">
        <v>0.6</v>
      </c>
      <c r="J80" s="502">
        <v>2.1</v>
      </c>
      <c r="K80" s="502">
        <v>1.7</v>
      </c>
      <c r="L80" s="859"/>
      <c r="M80" s="502">
        <v>1.014</v>
      </c>
      <c r="N80" s="502">
        <v>-0.4</v>
      </c>
      <c r="O80" s="1153">
        <v>0.3</v>
      </c>
      <c r="P80" s="1153">
        <v>0.9</v>
      </c>
      <c r="Q80" s="1153">
        <v>1.2</v>
      </c>
      <c r="R80" s="1153">
        <v>0.3</v>
      </c>
      <c r="S80" s="1153">
        <v>1</v>
      </c>
      <c r="T80" s="1153">
        <v>-0.6</v>
      </c>
      <c r="U80" s="859"/>
      <c r="V80" s="649">
        <v>-0.16</v>
      </c>
      <c r="W80" s="1153">
        <v>0.2</v>
      </c>
      <c r="X80" s="1153">
        <v>-0.3</v>
      </c>
      <c r="Y80" s="1153">
        <v>-0.63</v>
      </c>
      <c r="Z80" s="1153">
        <v>1.1000000000000001</v>
      </c>
      <c r="AA80" s="1153">
        <v>-0.2</v>
      </c>
      <c r="AB80" s="1153">
        <v>-0.4</v>
      </c>
      <c r="AC80" s="1153">
        <v>-0.7</v>
      </c>
      <c r="AD80" s="214"/>
    </row>
    <row r="81" spans="1:30" ht="14.25">
      <c r="A81" s="499"/>
      <c r="B81" s="500" t="s">
        <v>141</v>
      </c>
      <c r="C81" s="501">
        <v>3</v>
      </c>
      <c r="D81" s="655">
        <v>-0.19</v>
      </c>
      <c r="E81" s="502">
        <v>0.4</v>
      </c>
      <c r="F81" s="502">
        <v>1.2</v>
      </c>
      <c r="G81" s="502">
        <v>-1.2</v>
      </c>
      <c r="H81" s="502">
        <v>-0.6</v>
      </c>
      <c r="I81" s="502">
        <v>0.1</v>
      </c>
      <c r="J81" s="502">
        <v>-0.9</v>
      </c>
      <c r="K81" s="502">
        <v>1.7</v>
      </c>
      <c r="L81" s="859"/>
      <c r="M81" s="502">
        <v>-0.111</v>
      </c>
      <c r="N81" s="502">
        <v>0.1</v>
      </c>
      <c r="O81" s="1153">
        <v>0.7</v>
      </c>
      <c r="P81" s="1153">
        <v>2</v>
      </c>
      <c r="Q81" s="1153">
        <v>2.4</v>
      </c>
      <c r="R81" s="1153">
        <v>2.6</v>
      </c>
      <c r="S81" s="1153">
        <v>2.5</v>
      </c>
      <c r="T81" s="1153">
        <v>0.8</v>
      </c>
      <c r="U81" s="859"/>
      <c r="V81" s="649">
        <v>-0.17</v>
      </c>
      <c r="W81" s="1153">
        <v>-1.6</v>
      </c>
      <c r="X81" s="1153">
        <v>0.5</v>
      </c>
      <c r="Y81" s="1153">
        <v>-0.38</v>
      </c>
      <c r="Z81" s="1153">
        <v>-0.7</v>
      </c>
      <c r="AA81" s="1153">
        <v>0.4</v>
      </c>
      <c r="AB81" s="1153">
        <v>-0.7</v>
      </c>
      <c r="AC81" s="1153">
        <v>0.7</v>
      </c>
      <c r="AD81" s="214"/>
    </row>
    <row r="82" spans="1:30" ht="14.25">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3">
        <v>-0.2</v>
      </c>
      <c r="P82" s="1153">
        <v>-1.8</v>
      </c>
      <c r="Q82" s="1153">
        <v>-2.2000000000000002</v>
      </c>
      <c r="R82" s="1153">
        <v>-1.7</v>
      </c>
      <c r="S82" s="1153">
        <v>-2.2999999999999998</v>
      </c>
      <c r="T82" s="1153">
        <v>-0.8</v>
      </c>
      <c r="U82" s="859"/>
      <c r="V82" s="649">
        <v>-0.19</v>
      </c>
      <c r="W82" s="1153">
        <v>-0.8</v>
      </c>
      <c r="X82" s="1153">
        <v>0.6</v>
      </c>
      <c r="Y82" s="1153">
        <v>0.09</v>
      </c>
      <c r="Z82" s="1153">
        <v>0.2</v>
      </c>
      <c r="AA82" s="1153">
        <v>1.3</v>
      </c>
      <c r="AB82" s="1153">
        <v>1.3</v>
      </c>
      <c r="AC82" s="1153">
        <v>0.5</v>
      </c>
      <c r="AD82" s="214"/>
    </row>
    <row r="83" spans="1:30" ht="14.25">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3">
        <v>0</v>
      </c>
      <c r="P83" s="1153">
        <v>-0.2</v>
      </c>
      <c r="Q83" s="1153">
        <v>-0.9</v>
      </c>
      <c r="R83" s="1153">
        <v>-0.3</v>
      </c>
      <c r="S83" s="1153">
        <v>-0.9</v>
      </c>
      <c r="T83" s="1153">
        <v>-0.1</v>
      </c>
      <c r="U83" s="859"/>
      <c r="V83" s="649">
        <v>-0.14000000000000001</v>
      </c>
      <c r="W83" s="1153">
        <v>-0.2</v>
      </c>
      <c r="X83" s="1153">
        <v>-0.6</v>
      </c>
      <c r="Y83" s="1153">
        <v>0.71</v>
      </c>
      <c r="Z83" s="1153">
        <v>0.2</v>
      </c>
      <c r="AA83" s="1153">
        <v>-1.6</v>
      </c>
      <c r="AB83" s="1153">
        <v>-0.1</v>
      </c>
      <c r="AC83" s="1153">
        <v>-0.5</v>
      </c>
      <c r="AD83" s="214"/>
    </row>
    <row r="84" spans="1:30" ht="14.25">
      <c r="A84" s="499"/>
      <c r="B84" s="500" t="s">
        <v>141</v>
      </c>
      <c r="C84" s="501">
        <v>6</v>
      </c>
      <c r="D84" s="655">
        <v>-0.23</v>
      </c>
      <c r="E84" s="502">
        <v>0.8</v>
      </c>
      <c r="F84" s="502">
        <v>1.3</v>
      </c>
      <c r="G84" s="502">
        <v>1</v>
      </c>
      <c r="H84" s="502">
        <v>0.6</v>
      </c>
      <c r="I84" s="502">
        <v>1.6</v>
      </c>
      <c r="J84" s="502">
        <v>-2.2999999999999998</v>
      </c>
      <c r="K84" s="502">
        <v>0.6</v>
      </c>
      <c r="L84" s="859"/>
      <c r="M84" s="502">
        <v>0.67800000000000005</v>
      </c>
      <c r="N84" s="502">
        <v>-0.9</v>
      </c>
      <c r="O84" s="1153">
        <v>0</v>
      </c>
      <c r="P84" s="1153">
        <v>0.8</v>
      </c>
      <c r="Q84" s="1153">
        <v>1.6</v>
      </c>
      <c r="R84" s="1153">
        <v>1.9</v>
      </c>
      <c r="S84" s="1153">
        <v>1.6</v>
      </c>
      <c r="T84" s="1153">
        <v>-0.1</v>
      </c>
      <c r="U84" s="859"/>
      <c r="V84" s="649">
        <v>-0.15</v>
      </c>
      <c r="W84" s="1153">
        <v>0.1</v>
      </c>
      <c r="X84" s="1153">
        <v>0.5</v>
      </c>
      <c r="Y84" s="1153">
        <v>-0.67</v>
      </c>
      <c r="Z84" s="1153">
        <v>0.3</v>
      </c>
      <c r="AA84" s="1153">
        <v>0.4</v>
      </c>
      <c r="AB84" s="1153">
        <v>0.1</v>
      </c>
      <c r="AC84" s="1153">
        <v>-0.1</v>
      </c>
      <c r="AD84" s="214"/>
    </row>
    <row r="85" spans="1:30" ht="14.25">
      <c r="A85" s="499"/>
      <c r="B85" s="500" t="s">
        <v>141</v>
      </c>
      <c r="C85" s="501">
        <v>7</v>
      </c>
      <c r="D85" s="655">
        <v>-0.27</v>
      </c>
      <c r="E85" s="502">
        <v>1.1000000000000001</v>
      </c>
      <c r="F85" s="502">
        <v>0.2</v>
      </c>
      <c r="G85" s="502">
        <v>1</v>
      </c>
      <c r="H85" s="502">
        <v>-0.4</v>
      </c>
      <c r="I85" s="502">
        <v>-1.3</v>
      </c>
      <c r="J85" s="502">
        <v>4.2</v>
      </c>
      <c r="K85" s="502">
        <v>1</v>
      </c>
      <c r="L85" s="859"/>
      <c r="M85" s="502">
        <v>0.69199999999999995</v>
      </c>
      <c r="N85" s="502">
        <v>0.6</v>
      </c>
      <c r="O85" s="1153">
        <v>1.3</v>
      </c>
      <c r="P85" s="1153">
        <v>-0.4</v>
      </c>
      <c r="Q85" s="1153">
        <v>0.1</v>
      </c>
      <c r="R85" s="1153">
        <v>0</v>
      </c>
      <c r="S85" s="1153">
        <v>-0.1</v>
      </c>
      <c r="T85" s="1153">
        <v>-0.7</v>
      </c>
      <c r="U85" s="859"/>
      <c r="V85" s="649">
        <v>-0.18</v>
      </c>
      <c r="W85" s="1153">
        <v>-0.4</v>
      </c>
      <c r="X85" s="1153">
        <v>-0.5</v>
      </c>
      <c r="Y85" s="1153">
        <v>-0.14000000000000001</v>
      </c>
      <c r="Z85" s="1153">
        <v>0.2</v>
      </c>
      <c r="AA85" s="1153">
        <v>0.2</v>
      </c>
      <c r="AB85" s="1153">
        <v>0.6</v>
      </c>
      <c r="AC85" s="1153">
        <v>0.5</v>
      </c>
      <c r="AD85" s="214"/>
    </row>
    <row r="86" spans="1:30" ht="14.25">
      <c r="A86" s="499"/>
      <c r="B86" s="500" t="s">
        <v>141</v>
      </c>
      <c r="C86" s="501">
        <v>8</v>
      </c>
      <c r="D86" s="655">
        <v>-0.33</v>
      </c>
      <c r="E86" s="502">
        <v>-1.1000000000000001</v>
      </c>
      <c r="F86" s="502">
        <v>-2.8</v>
      </c>
      <c r="G86" s="502">
        <v>0.1</v>
      </c>
      <c r="H86" s="502">
        <v>0.8</v>
      </c>
      <c r="I86" s="502">
        <v>-0.6</v>
      </c>
      <c r="J86" s="502">
        <v>0.3</v>
      </c>
      <c r="K86" s="502">
        <v>1.1000000000000001</v>
      </c>
      <c r="L86" s="859"/>
      <c r="M86" s="502">
        <v>0.28499999999999998</v>
      </c>
      <c r="N86" s="502">
        <v>-0.1</v>
      </c>
      <c r="O86" s="1153">
        <v>0.3</v>
      </c>
      <c r="P86" s="1153">
        <v>-2</v>
      </c>
      <c r="Q86" s="1153">
        <v>-1.7</v>
      </c>
      <c r="R86" s="1153">
        <v>-1.4</v>
      </c>
      <c r="S86" s="1153">
        <v>-1.8</v>
      </c>
      <c r="T86" s="1153">
        <v>0.3</v>
      </c>
      <c r="U86" s="859"/>
      <c r="V86" s="649">
        <v>-0.15</v>
      </c>
      <c r="W86" s="1153">
        <v>-0.3</v>
      </c>
      <c r="X86" s="1153">
        <v>-0.8</v>
      </c>
      <c r="Y86" s="1153">
        <v>1.1399999999999999</v>
      </c>
      <c r="Z86" s="1153">
        <v>-0.5</v>
      </c>
      <c r="AA86" s="1153">
        <v>-0.4</v>
      </c>
      <c r="AB86" s="1153">
        <v>0.6</v>
      </c>
      <c r="AC86" s="1153">
        <v>-0.4</v>
      </c>
      <c r="AD86" s="214"/>
    </row>
    <row r="87" spans="1:30" ht="14.25">
      <c r="A87" s="499"/>
      <c r="B87" s="500" t="s">
        <v>141</v>
      </c>
      <c r="C87" s="501">
        <v>9</v>
      </c>
      <c r="D87" s="655">
        <v>-0.17</v>
      </c>
      <c r="E87" s="502">
        <v>0.4</v>
      </c>
      <c r="F87" s="502">
        <v>1.7</v>
      </c>
      <c r="G87" s="502">
        <v>1</v>
      </c>
      <c r="H87" s="502">
        <v>0.9</v>
      </c>
      <c r="I87" s="502">
        <v>-0.1</v>
      </c>
      <c r="J87" s="502">
        <v>-2.5</v>
      </c>
      <c r="K87" s="502">
        <v>1</v>
      </c>
      <c r="L87" s="859"/>
      <c r="M87" s="502">
        <v>0.70399999999999996</v>
      </c>
      <c r="N87" s="502">
        <v>0.6</v>
      </c>
      <c r="O87" s="1153">
        <v>-0.7</v>
      </c>
      <c r="P87" s="1153">
        <v>1.4</v>
      </c>
      <c r="Q87" s="1153">
        <v>2</v>
      </c>
      <c r="R87" s="1153">
        <v>2.4</v>
      </c>
      <c r="S87" s="1153">
        <v>2.1</v>
      </c>
      <c r="T87" s="1153">
        <v>-0.2</v>
      </c>
      <c r="U87" s="859"/>
      <c r="V87" s="649">
        <v>-0.1</v>
      </c>
      <c r="W87" s="1153">
        <v>-0.3</v>
      </c>
      <c r="X87" s="1153">
        <v>0.2</v>
      </c>
      <c r="Y87" s="1153">
        <v>0.91</v>
      </c>
      <c r="Z87" s="1153">
        <v>1.3</v>
      </c>
      <c r="AA87" s="1153">
        <v>1.2</v>
      </c>
      <c r="AB87" s="1153">
        <v>-1.4</v>
      </c>
      <c r="AC87" s="1153">
        <v>0</v>
      </c>
      <c r="AD87" s="214"/>
    </row>
    <row r="88" spans="1:30" ht="14.25">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3">
        <v>0.7</v>
      </c>
      <c r="P88" s="1153">
        <v>-0.2</v>
      </c>
      <c r="Q88" s="1153">
        <v>-0.4</v>
      </c>
      <c r="R88" s="1153">
        <v>-0.5</v>
      </c>
      <c r="S88" s="1153">
        <v>0</v>
      </c>
      <c r="T88" s="1153">
        <v>-0.7</v>
      </c>
      <c r="U88" s="859"/>
      <c r="V88" s="649">
        <v>-0.17</v>
      </c>
      <c r="W88" s="1153">
        <v>-0.3</v>
      </c>
      <c r="X88" s="1153">
        <v>0.5</v>
      </c>
      <c r="Y88" s="1153">
        <v>0.13</v>
      </c>
      <c r="Z88" s="1153">
        <v>-0.1</v>
      </c>
      <c r="AA88" s="1153">
        <v>-0.2</v>
      </c>
      <c r="AB88" s="1153">
        <v>-0.7</v>
      </c>
      <c r="AC88" s="1153">
        <v>0.6</v>
      </c>
      <c r="AD88" s="214"/>
    </row>
    <row r="89" spans="1:30" ht="14.25">
      <c r="A89" s="499"/>
      <c r="B89" s="500" t="s">
        <v>141</v>
      </c>
      <c r="C89" s="501">
        <v>11</v>
      </c>
      <c r="D89" s="655">
        <v>-0.17</v>
      </c>
      <c r="E89" s="502">
        <v>-0.2</v>
      </c>
      <c r="F89" s="502">
        <v>-1</v>
      </c>
      <c r="G89" s="502">
        <v>0.5</v>
      </c>
      <c r="H89" s="502">
        <v>0.4</v>
      </c>
      <c r="I89" s="502">
        <v>0.8</v>
      </c>
      <c r="J89" s="502">
        <v>0.3</v>
      </c>
      <c r="K89" s="502">
        <v>0.3</v>
      </c>
      <c r="L89" s="859"/>
      <c r="M89" s="502">
        <v>0.747</v>
      </c>
      <c r="N89" s="502">
        <v>0.3</v>
      </c>
      <c r="O89" s="1153">
        <v>1.4</v>
      </c>
      <c r="P89" s="1153">
        <v>-0.4</v>
      </c>
      <c r="Q89" s="1153">
        <v>0.3</v>
      </c>
      <c r="R89" s="1153">
        <v>0.4</v>
      </c>
      <c r="S89" s="1153">
        <v>0.2</v>
      </c>
      <c r="T89" s="1153">
        <v>-0.4</v>
      </c>
      <c r="U89" s="859"/>
      <c r="V89" s="649">
        <v>-0.1</v>
      </c>
      <c r="W89" s="1153">
        <v>-0.6</v>
      </c>
      <c r="X89" s="1153">
        <v>-1</v>
      </c>
      <c r="Y89" s="1153">
        <v>0.82</v>
      </c>
      <c r="Z89" s="1153">
        <v>-2</v>
      </c>
      <c r="AA89" s="1153">
        <v>-0.7</v>
      </c>
      <c r="AB89" s="1153">
        <v>0.3</v>
      </c>
      <c r="AC89" s="1153">
        <v>-0.6</v>
      </c>
      <c r="AD89" s="214"/>
    </row>
    <row r="90" spans="1:30" ht="14.25">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5">
        <v>0</v>
      </c>
      <c r="P90" s="1155">
        <v>-0.7</v>
      </c>
      <c r="Q90" s="1155">
        <v>-0.9</v>
      </c>
      <c r="R90" s="1155">
        <v>-0.9</v>
      </c>
      <c r="S90" s="1155">
        <v>-0.9</v>
      </c>
      <c r="T90" s="1155">
        <v>1.7</v>
      </c>
      <c r="U90" s="860"/>
      <c r="V90" s="650">
        <v>-7.0000000000000007E-2</v>
      </c>
      <c r="W90" s="1155">
        <v>-0.8</v>
      </c>
      <c r="X90" s="1155">
        <v>-0.3</v>
      </c>
      <c r="Y90" s="1155">
        <v>-0.51</v>
      </c>
      <c r="Z90" s="1155">
        <v>1.3</v>
      </c>
      <c r="AA90" s="1155">
        <v>-0.5</v>
      </c>
      <c r="AB90" s="1155">
        <v>-0.6</v>
      </c>
      <c r="AC90" s="1155">
        <v>-0.4</v>
      </c>
      <c r="AD90" s="214"/>
    </row>
    <row r="91" spans="1:30" ht="14.25">
      <c r="A91" s="499" t="s">
        <v>370</v>
      </c>
      <c r="B91" s="500">
        <v>2000</v>
      </c>
      <c r="C91" s="501">
        <v>1</v>
      </c>
      <c r="D91" s="657">
        <v>-0.41</v>
      </c>
      <c r="E91" s="502">
        <v>2.4</v>
      </c>
      <c r="F91" s="502">
        <v>-2.9</v>
      </c>
      <c r="G91" s="502">
        <v>-1.7</v>
      </c>
      <c r="H91" s="502">
        <v>1.3</v>
      </c>
      <c r="I91" s="502">
        <v>-0.9</v>
      </c>
      <c r="J91" s="502">
        <v>0</v>
      </c>
      <c r="K91" s="502">
        <v>1.9</v>
      </c>
      <c r="L91" s="859"/>
      <c r="M91" s="502">
        <v>1.1259999999999999</v>
      </c>
      <c r="N91" s="502">
        <v>0.2</v>
      </c>
      <c r="O91" s="1153">
        <v>0.4</v>
      </c>
      <c r="P91" s="1153">
        <v>-0.3</v>
      </c>
      <c r="Q91" s="1153">
        <v>-1.6</v>
      </c>
      <c r="R91" s="1153">
        <v>-1</v>
      </c>
      <c r="S91" s="1153">
        <v>-1.7</v>
      </c>
      <c r="T91" s="1153">
        <v>-1.7</v>
      </c>
      <c r="U91" s="859"/>
      <c r="V91" s="651">
        <v>-0.18</v>
      </c>
      <c r="W91" s="1153">
        <v>0.5</v>
      </c>
      <c r="X91" s="1153">
        <v>-0.1</v>
      </c>
      <c r="Y91" s="1153">
        <v>-0.08</v>
      </c>
      <c r="Z91" s="1153">
        <v>0.1</v>
      </c>
      <c r="AA91" s="1153">
        <v>0.2</v>
      </c>
      <c r="AB91" s="1153">
        <v>0.4</v>
      </c>
      <c r="AC91" s="1153">
        <v>0.7</v>
      </c>
      <c r="AD91" s="214"/>
    </row>
    <row r="92" spans="1:30" ht="14.25">
      <c r="A92" s="499"/>
      <c r="B92" s="500" t="s">
        <v>141</v>
      </c>
      <c r="C92" s="501">
        <v>2</v>
      </c>
      <c r="D92" s="655">
        <v>-0.32</v>
      </c>
      <c r="E92" s="502">
        <v>-0.6</v>
      </c>
      <c r="F92" s="502">
        <v>3.2</v>
      </c>
      <c r="G92" s="502">
        <v>1.8</v>
      </c>
      <c r="H92" s="502">
        <v>-1</v>
      </c>
      <c r="I92" s="502">
        <v>-0.4</v>
      </c>
      <c r="J92" s="502">
        <v>2.4</v>
      </c>
      <c r="K92" s="502">
        <v>2</v>
      </c>
      <c r="L92" s="859"/>
      <c r="M92" s="502">
        <v>1.141</v>
      </c>
      <c r="N92" s="502">
        <v>-0.2</v>
      </c>
      <c r="O92" s="1153">
        <v>-0.4</v>
      </c>
      <c r="P92" s="1153">
        <v>1.7</v>
      </c>
      <c r="Q92" s="1153">
        <v>2.4</v>
      </c>
      <c r="R92" s="1153">
        <v>2.2000000000000002</v>
      </c>
      <c r="S92" s="1153">
        <v>2.2999999999999998</v>
      </c>
      <c r="T92" s="1153">
        <v>0.1</v>
      </c>
      <c r="U92" s="859"/>
      <c r="V92" s="649">
        <v>-0.17</v>
      </c>
      <c r="W92" s="1153">
        <v>0.1</v>
      </c>
      <c r="X92" s="1153">
        <v>0.6</v>
      </c>
      <c r="Y92" s="1153">
        <v>-0.95</v>
      </c>
      <c r="Z92" s="1153">
        <v>0</v>
      </c>
      <c r="AA92" s="1153">
        <v>-0.7</v>
      </c>
      <c r="AB92" s="1153">
        <v>0.4</v>
      </c>
      <c r="AC92" s="1153">
        <v>0.1</v>
      </c>
      <c r="AD92" s="214"/>
    </row>
    <row r="93" spans="1:30" ht="14.25">
      <c r="A93" s="499"/>
      <c r="B93" s="500" t="s">
        <v>141</v>
      </c>
      <c r="C93" s="501">
        <v>3</v>
      </c>
      <c r="D93" s="655">
        <v>-0.09</v>
      </c>
      <c r="E93" s="502">
        <v>0.9</v>
      </c>
      <c r="F93" s="502">
        <v>-0.5</v>
      </c>
      <c r="G93" s="502">
        <v>1.3</v>
      </c>
      <c r="H93" s="502">
        <v>-0.5</v>
      </c>
      <c r="I93" s="502">
        <v>0.5</v>
      </c>
      <c r="J93" s="502">
        <v>-1.2</v>
      </c>
      <c r="K93" s="502">
        <v>2</v>
      </c>
      <c r="L93" s="859"/>
      <c r="M93" s="502">
        <v>0.73099999999999998</v>
      </c>
      <c r="N93" s="502">
        <v>0.5</v>
      </c>
      <c r="O93" s="1153">
        <v>0.5</v>
      </c>
      <c r="P93" s="1153">
        <v>1.9</v>
      </c>
      <c r="Q93" s="1153">
        <v>2</v>
      </c>
      <c r="R93" s="1153">
        <v>1.1000000000000001</v>
      </c>
      <c r="S93" s="1153">
        <v>2.1</v>
      </c>
      <c r="T93" s="1153">
        <v>0.6</v>
      </c>
      <c r="U93" s="859"/>
      <c r="V93" s="649">
        <v>-0.1</v>
      </c>
      <c r="W93" s="1153">
        <v>-0.2</v>
      </c>
      <c r="X93" s="1153">
        <v>0.6</v>
      </c>
      <c r="Y93" s="1153">
        <v>0.28999999999999998</v>
      </c>
      <c r="Z93" s="1153">
        <v>-1.1000000000000001</v>
      </c>
      <c r="AA93" s="1153">
        <v>0.7</v>
      </c>
      <c r="AB93" s="1153">
        <v>0</v>
      </c>
      <c r="AC93" s="1153">
        <v>-1.6</v>
      </c>
      <c r="AD93" s="214"/>
    </row>
    <row r="94" spans="1:30" ht="14.25">
      <c r="A94" s="499"/>
      <c r="B94" s="500" t="s">
        <v>141</v>
      </c>
      <c r="C94" s="501">
        <v>4</v>
      </c>
      <c r="D94" s="655">
        <v>-0.2</v>
      </c>
      <c r="E94" s="502">
        <v>-0.4</v>
      </c>
      <c r="F94" s="502">
        <v>-2.1</v>
      </c>
      <c r="G94" s="502">
        <v>-3.2</v>
      </c>
      <c r="H94" s="502">
        <v>0.3</v>
      </c>
      <c r="I94" s="502">
        <v>-1.7</v>
      </c>
      <c r="J94" s="502">
        <v>1.4</v>
      </c>
      <c r="K94" s="502">
        <v>-0.3</v>
      </c>
      <c r="L94" s="859"/>
      <c r="M94" s="502">
        <v>0.70399999999999996</v>
      </c>
      <c r="N94" s="502">
        <v>-1.7</v>
      </c>
      <c r="O94" s="1153">
        <v>-0.2</v>
      </c>
      <c r="P94" s="1153">
        <v>-3.6</v>
      </c>
      <c r="Q94" s="1153">
        <v>-2.9</v>
      </c>
      <c r="R94" s="1153">
        <v>-1.9</v>
      </c>
      <c r="S94" s="1153">
        <v>-3</v>
      </c>
      <c r="T94" s="1153">
        <v>-0.2</v>
      </c>
      <c r="U94" s="859"/>
      <c r="V94" s="649">
        <v>-0.08</v>
      </c>
      <c r="W94" s="1153">
        <v>-0.2</v>
      </c>
      <c r="X94" s="1153">
        <v>-1</v>
      </c>
      <c r="Y94" s="1153">
        <v>0.64</v>
      </c>
      <c r="Z94" s="1153">
        <v>0.5</v>
      </c>
      <c r="AA94" s="1153">
        <v>0.4</v>
      </c>
      <c r="AB94" s="1153">
        <v>-0.9</v>
      </c>
      <c r="AC94" s="1153">
        <v>1.7</v>
      </c>
      <c r="AD94" s="214"/>
    </row>
    <row r="95" spans="1:30" ht="14.25">
      <c r="A95" s="499"/>
      <c r="B95" s="500" t="s">
        <v>141</v>
      </c>
      <c r="C95" s="501">
        <v>5</v>
      </c>
      <c r="D95" s="655">
        <v>-0.19</v>
      </c>
      <c r="E95" s="502">
        <v>1.9</v>
      </c>
      <c r="F95" s="502">
        <v>0.2</v>
      </c>
      <c r="G95" s="502">
        <v>-1.6</v>
      </c>
      <c r="H95" s="502">
        <v>0.7</v>
      </c>
      <c r="I95" s="502">
        <v>1</v>
      </c>
      <c r="J95" s="502">
        <v>0.3</v>
      </c>
      <c r="K95" s="502">
        <v>-0.2</v>
      </c>
      <c r="L95" s="859"/>
      <c r="M95" s="502">
        <v>1.5660000000000001</v>
      </c>
      <c r="N95" s="502">
        <v>2.9</v>
      </c>
      <c r="O95" s="1153">
        <v>-0.2</v>
      </c>
      <c r="P95" s="1153">
        <v>2.4</v>
      </c>
      <c r="Q95" s="1153">
        <v>0.9</v>
      </c>
      <c r="R95" s="1153">
        <v>0.1</v>
      </c>
      <c r="S95" s="1153">
        <v>0.9</v>
      </c>
      <c r="T95" s="1153">
        <v>0.2</v>
      </c>
      <c r="U95" s="859"/>
      <c r="V95" s="649">
        <v>-0.09</v>
      </c>
      <c r="W95" s="1153">
        <v>-0.1</v>
      </c>
      <c r="X95" s="1153">
        <v>1.5</v>
      </c>
      <c r="Y95" s="1153">
        <v>1.39</v>
      </c>
      <c r="Z95" s="1153">
        <v>0.1</v>
      </c>
      <c r="AA95" s="1153">
        <v>0.1</v>
      </c>
      <c r="AB95" s="1153">
        <v>0</v>
      </c>
      <c r="AC95" s="1153">
        <v>-0.3</v>
      </c>
      <c r="AD95" s="214"/>
    </row>
    <row r="96" spans="1:30" ht="14.25">
      <c r="A96" s="499"/>
      <c r="B96" s="500" t="s">
        <v>141</v>
      </c>
      <c r="C96" s="501">
        <v>6</v>
      </c>
      <c r="D96" s="655">
        <v>-0.12</v>
      </c>
      <c r="E96" s="502">
        <v>-0.6</v>
      </c>
      <c r="F96" s="502">
        <v>2.1</v>
      </c>
      <c r="G96" s="502">
        <v>2.9</v>
      </c>
      <c r="H96" s="502">
        <v>0.1</v>
      </c>
      <c r="I96" s="502">
        <v>-0.8</v>
      </c>
      <c r="J96" s="502">
        <v>-1.8</v>
      </c>
      <c r="K96" s="502">
        <v>-0.3</v>
      </c>
      <c r="L96" s="859"/>
      <c r="M96" s="502">
        <v>0.68200000000000005</v>
      </c>
      <c r="N96" s="502">
        <v>-1.2</v>
      </c>
      <c r="O96" s="1153">
        <v>0.2</v>
      </c>
      <c r="P96" s="1153">
        <v>-0.1</v>
      </c>
      <c r="Q96" s="1153">
        <v>0.9</v>
      </c>
      <c r="R96" s="1153">
        <v>1.5</v>
      </c>
      <c r="S96" s="1153">
        <v>1</v>
      </c>
      <c r="T96" s="1153">
        <v>-0.4</v>
      </c>
      <c r="U96" s="859"/>
      <c r="V96" s="649">
        <v>-7.0000000000000007E-2</v>
      </c>
      <c r="W96" s="1153">
        <v>-1</v>
      </c>
      <c r="X96" s="1153">
        <v>-0.4</v>
      </c>
      <c r="Y96" s="1153">
        <v>-0.18</v>
      </c>
      <c r="Z96" s="1153">
        <v>0.4</v>
      </c>
      <c r="AA96" s="1153">
        <v>0.1</v>
      </c>
      <c r="AB96" s="1153">
        <v>0.6</v>
      </c>
      <c r="AC96" s="1153">
        <v>0</v>
      </c>
      <c r="AD96" s="214"/>
    </row>
    <row r="97" spans="1:30" ht="14.25">
      <c r="A97" s="499"/>
      <c r="B97" s="500" t="s">
        <v>141</v>
      </c>
      <c r="C97" s="501">
        <v>7</v>
      </c>
      <c r="D97" s="655">
        <v>-0.05</v>
      </c>
      <c r="E97" s="502">
        <v>-0.9</v>
      </c>
      <c r="F97" s="502">
        <v>0.3</v>
      </c>
      <c r="G97" s="502">
        <v>0.6</v>
      </c>
      <c r="H97" s="502">
        <v>-0.4</v>
      </c>
      <c r="I97" s="502">
        <v>-1</v>
      </c>
      <c r="J97" s="502">
        <v>-0.4</v>
      </c>
      <c r="K97" s="502">
        <v>-0.3</v>
      </c>
      <c r="L97" s="859"/>
      <c r="M97" s="502">
        <v>0.19</v>
      </c>
      <c r="N97" s="502">
        <v>0.2</v>
      </c>
      <c r="O97" s="1153">
        <v>-0.2</v>
      </c>
      <c r="P97" s="1153">
        <v>0.7</v>
      </c>
      <c r="Q97" s="1153">
        <v>0.1</v>
      </c>
      <c r="R97" s="1153">
        <v>-0.3</v>
      </c>
      <c r="S97" s="1153">
        <v>-0.1</v>
      </c>
      <c r="T97" s="1153">
        <v>1</v>
      </c>
      <c r="U97" s="859"/>
      <c r="V97" s="649">
        <v>-0.04</v>
      </c>
      <c r="W97" s="1153">
        <v>-0.5</v>
      </c>
      <c r="X97" s="1153">
        <v>0.8</v>
      </c>
      <c r="Y97" s="1153">
        <v>0.27</v>
      </c>
      <c r="Z97" s="1153">
        <v>-0.4</v>
      </c>
      <c r="AA97" s="1153">
        <v>0.3</v>
      </c>
      <c r="AB97" s="1153">
        <v>0.8</v>
      </c>
      <c r="AC97" s="1153">
        <v>0.1</v>
      </c>
      <c r="AD97" s="214"/>
    </row>
    <row r="98" spans="1:30" ht="14.25">
      <c r="A98" s="499"/>
      <c r="B98" s="500" t="s">
        <v>141</v>
      </c>
      <c r="C98" s="501">
        <v>8</v>
      </c>
      <c r="D98" s="655">
        <v>-0.15</v>
      </c>
      <c r="E98" s="502">
        <v>3.1</v>
      </c>
      <c r="F98" s="502">
        <v>-2.5</v>
      </c>
      <c r="G98" s="502">
        <v>1.1000000000000001</v>
      </c>
      <c r="H98" s="502">
        <v>0</v>
      </c>
      <c r="I98" s="502">
        <v>2</v>
      </c>
      <c r="J98" s="502">
        <v>0.6</v>
      </c>
      <c r="K98" s="502">
        <v>-0.3</v>
      </c>
      <c r="L98" s="859"/>
      <c r="M98" s="502">
        <v>1.1599999999999999</v>
      </c>
      <c r="N98" s="502">
        <v>-0.3</v>
      </c>
      <c r="O98" s="1153">
        <v>0.5</v>
      </c>
      <c r="P98" s="1153">
        <v>-0.7</v>
      </c>
      <c r="Q98" s="1153">
        <v>-1.2</v>
      </c>
      <c r="R98" s="1153">
        <v>-1</v>
      </c>
      <c r="S98" s="1153">
        <v>-1.6</v>
      </c>
      <c r="T98" s="1153">
        <v>-0.9</v>
      </c>
      <c r="U98" s="859"/>
      <c r="V98" s="649">
        <v>-0.04</v>
      </c>
      <c r="W98" s="1153">
        <v>0.1</v>
      </c>
      <c r="X98" s="1153">
        <v>0.8</v>
      </c>
      <c r="Y98" s="1153">
        <v>0.49</v>
      </c>
      <c r="Z98" s="1153">
        <v>-0.2</v>
      </c>
      <c r="AA98" s="1153">
        <v>-0.5</v>
      </c>
      <c r="AB98" s="1153">
        <v>-0.3</v>
      </c>
      <c r="AC98" s="1153">
        <v>-0.2</v>
      </c>
      <c r="AD98" s="214"/>
    </row>
    <row r="99" spans="1:30" ht="14.25">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3">
        <v>0</v>
      </c>
      <c r="P99" s="1153">
        <v>1</v>
      </c>
      <c r="Q99" s="1153">
        <v>1.6</v>
      </c>
      <c r="R99" s="1153">
        <v>1.1000000000000001</v>
      </c>
      <c r="S99" s="1153">
        <v>1.5</v>
      </c>
      <c r="T99" s="1153">
        <v>0.3</v>
      </c>
      <c r="U99" s="859"/>
      <c r="V99" s="649">
        <v>-0.11</v>
      </c>
      <c r="W99" s="1153">
        <v>0.1</v>
      </c>
      <c r="X99" s="1153">
        <v>-0.8</v>
      </c>
      <c r="Y99" s="1153">
        <v>-0.27</v>
      </c>
      <c r="Z99" s="1153">
        <v>-0.4</v>
      </c>
      <c r="AA99" s="1153">
        <v>0.2</v>
      </c>
      <c r="AB99" s="1153">
        <v>-0.1</v>
      </c>
      <c r="AC99" s="1153">
        <v>0</v>
      </c>
      <c r="AD99" s="214"/>
    </row>
    <row r="100" spans="1:30" ht="14.25">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3">
        <v>0.2</v>
      </c>
      <c r="P100" s="1153">
        <v>-0.4</v>
      </c>
      <c r="Q100" s="1153">
        <v>0.4</v>
      </c>
      <c r="R100" s="1153">
        <v>1</v>
      </c>
      <c r="S100" s="1153">
        <v>0.4</v>
      </c>
      <c r="T100" s="1153">
        <v>-0.2</v>
      </c>
      <c r="U100" s="859"/>
      <c r="V100" s="649">
        <v>-0.09</v>
      </c>
      <c r="W100" s="1153">
        <v>-0.1</v>
      </c>
      <c r="X100" s="1153">
        <v>0.8</v>
      </c>
      <c r="Y100" s="1153">
        <v>0.34</v>
      </c>
      <c r="Z100" s="1153">
        <v>1.8</v>
      </c>
      <c r="AA100" s="1153">
        <v>-0.6</v>
      </c>
      <c r="AB100" s="1153">
        <v>-0.6</v>
      </c>
      <c r="AC100" s="1153">
        <v>0.1</v>
      </c>
      <c r="AD100" s="214"/>
    </row>
    <row r="101" spans="1:30" ht="14.25">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3">
        <v>0</v>
      </c>
      <c r="P101" s="1153">
        <v>1.2</v>
      </c>
      <c r="Q101" s="1153">
        <v>0.7</v>
      </c>
      <c r="R101" s="1153">
        <v>-0.1</v>
      </c>
      <c r="S101" s="1153">
        <v>0.2</v>
      </c>
      <c r="T101" s="1153">
        <v>0</v>
      </c>
      <c r="U101" s="859"/>
      <c r="V101" s="649">
        <v>-7.0000000000000007E-2</v>
      </c>
      <c r="W101" s="1153">
        <v>0.1</v>
      </c>
      <c r="X101" s="1153">
        <v>0.5</v>
      </c>
      <c r="Y101" s="1153">
        <v>-0.37</v>
      </c>
      <c r="Z101" s="1153">
        <v>-0.3</v>
      </c>
      <c r="AA101" s="1153">
        <v>0.4</v>
      </c>
      <c r="AB101" s="1153">
        <v>0.3</v>
      </c>
      <c r="AC101" s="1153">
        <v>0</v>
      </c>
      <c r="AD101" s="214"/>
    </row>
    <row r="102" spans="1:30" ht="14.25">
      <c r="A102" s="499"/>
      <c r="B102" s="500" t="s">
        <v>141</v>
      </c>
      <c r="C102" s="501">
        <v>12</v>
      </c>
      <c r="D102" s="657">
        <v>-0.28000000000000003</v>
      </c>
      <c r="E102" s="502">
        <v>0</v>
      </c>
      <c r="F102" s="502">
        <v>-0.4</v>
      </c>
      <c r="G102" s="502">
        <v>0</v>
      </c>
      <c r="H102" s="502">
        <v>2.1</v>
      </c>
      <c r="I102" s="502">
        <v>-1</v>
      </c>
      <c r="J102" s="502">
        <v>-3</v>
      </c>
      <c r="K102" s="502">
        <v>-1.5</v>
      </c>
      <c r="L102" s="859"/>
      <c r="M102" s="502">
        <v>0.182</v>
      </c>
      <c r="N102" s="502">
        <v>-0.5</v>
      </c>
      <c r="O102" s="1153">
        <v>-0.4</v>
      </c>
      <c r="P102" s="1153">
        <v>-0.2</v>
      </c>
      <c r="Q102" s="1153">
        <v>0.4</v>
      </c>
      <c r="R102" s="1153">
        <v>0.6</v>
      </c>
      <c r="S102" s="1153">
        <v>0.3</v>
      </c>
      <c r="T102" s="1153">
        <v>-0.8</v>
      </c>
      <c r="U102" s="859"/>
      <c r="V102" s="651">
        <v>-0.18</v>
      </c>
      <c r="W102" s="1153">
        <v>-0.8</v>
      </c>
      <c r="X102" s="1153">
        <v>-0.1</v>
      </c>
      <c r="Y102" s="1153">
        <v>-0.21</v>
      </c>
      <c r="Z102" s="1153">
        <v>-0.6</v>
      </c>
      <c r="AA102" s="1153">
        <v>1.7</v>
      </c>
      <c r="AB102" s="1153">
        <v>0.1</v>
      </c>
      <c r="AC102" s="1153">
        <v>-0.1</v>
      </c>
      <c r="AD102" s="214"/>
    </row>
    <row r="103" spans="1:30" ht="14.25">
      <c r="A103" s="503" t="s">
        <v>371</v>
      </c>
      <c r="B103" s="504">
        <v>2001</v>
      </c>
      <c r="C103" s="505">
        <v>1</v>
      </c>
      <c r="D103" s="654">
        <v>-0.11</v>
      </c>
      <c r="E103" s="506">
        <v>-1.6</v>
      </c>
      <c r="F103" s="506">
        <v>-4.5999999999999996</v>
      </c>
      <c r="G103" s="506">
        <v>-2.8</v>
      </c>
      <c r="H103" s="506">
        <v>-1.6</v>
      </c>
      <c r="I103" s="506">
        <v>0.7</v>
      </c>
      <c r="J103" s="506">
        <v>1.3</v>
      </c>
      <c r="K103" s="506">
        <v>-0.3</v>
      </c>
      <c r="L103" s="858"/>
      <c r="M103" s="506">
        <v>-0.315</v>
      </c>
      <c r="N103" s="506">
        <v>0.2</v>
      </c>
      <c r="O103" s="1154">
        <v>-0.7</v>
      </c>
      <c r="P103" s="1154">
        <v>1.4</v>
      </c>
      <c r="Q103" s="1154">
        <v>-1.7</v>
      </c>
      <c r="R103" s="1154">
        <v>-2.2000000000000002</v>
      </c>
      <c r="S103" s="1154">
        <v>-1.8</v>
      </c>
      <c r="T103" s="1154">
        <v>1.1000000000000001</v>
      </c>
      <c r="U103" s="858"/>
      <c r="V103" s="648">
        <v>-7.0000000000000007E-2</v>
      </c>
      <c r="W103" s="1154">
        <v>-0.2</v>
      </c>
      <c r="X103" s="1154">
        <v>1.3</v>
      </c>
      <c r="Y103" s="1154">
        <v>0.09</v>
      </c>
      <c r="Z103" s="1154">
        <v>0.4</v>
      </c>
      <c r="AA103" s="1154">
        <v>-1.4</v>
      </c>
      <c r="AB103" s="1154">
        <v>-0.4</v>
      </c>
      <c r="AC103" s="1154">
        <v>0</v>
      </c>
      <c r="AD103" s="214"/>
    </row>
    <row r="104" spans="1:30" ht="14.25">
      <c r="A104" s="499"/>
      <c r="B104" s="500" t="s">
        <v>141</v>
      </c>
      <c r="C104" s="501">
        <v>2</v>
      </c>
      <c r="D104" s="655">
        <v>-0.27</v>
      </c>
      <c r="E104" s="502">
        <v>-0.7</v>
      </c>
      <c r="F104" s="502">
        <v>2</v>
      </c>
      <c r="G104" s="502">
        <v>-1.9</v>
      </c>
      <c r="H104" s="502">
        <v>0.3</v>
      </c>
      <c r="I104" s="502">
        <v>0</v>
      </c>
      <c r="J104" s="502">
        <v>-0.4</v>
      </c>
      <c r="K104" s="502">
        <v>-0.2</v>
      </c>
      <c r="L104" s="859"/>
      <c r="M104" s="502">
        <v>-1.2969999999999999</v>
      </c>
      <c r="N104" s="502">
        <v>-0.9</v>
      </c>
      <c r="O104" s="1153">
        <v>0.2</v>
      </c>
      <c r="P104" s="1153">
        <v>1.7</v>
      </c>
      <c r="Q104" s="1153">
        <v>1.1000000000000001</v>
      </c>
      <c r="R104" s="1153">
        <v>-0.3</v>
      </c>
      <c r="S104" s="1153">
        <v>1.3</v>
      </c>
      <c r="T104" s="1153">
        <v>-1.2</v>
      </c>
      <c r="U104" s="859"/>
      <c r="V104" s="649">
        <v>-0.23</v>
      </c>
      <c r="W104" s="1153">
        <v>-1.1000000000000001</v>
      </c>
      <c r="X104" s="1153">
        <v>0.3</v>
      </c>
      <c r="Y104" s="1153">
        <v>0.93</v>
      </c>
      <c r="Z104" s="1153">
        <v>-0.5</v>
      </c>
      <c r="AA104" s="1153">
        <v>0.4</v>
      </c>
      <c r="AB104" s="1153">
        <v>-0.3</v>
      </c>
      <c r="AC104" s="1153">
        <v>0</v>
      </c>
      <c r="AD104" s="214"/>
    </row>
    <row r="105" spans="1:30" ht="14.25">
      <c r="A105" s="499"/>
      <c r="B105" s="500" t="s">
        <v>141</v>
      </c>
      <c r="C105" s="501">
        <v>3</v>
      </c>
      <c r="D105" s="655">
        <v>-0.11</v>
      </c>
      <c r="E105" s="502">
        <v>-0.2</v>
      </c>
      <c r="F105" s="502">
        <v>1.7</v>
      </c>
      <c r="G105" s="502">
        <v>-0.8</v>
      </c>
      <c r="H105" s="502">
        <v>0</v>
      </c>
      <c r="I105" s="502">
        <v>0.3</v>
      </c>
      <c r="J105" s="502">
        <v>-2.6</v>
      </c>
      <c r="K105" s="502">
        <v>-0.2</v>
      </c>
      <c r="L105" s="859"/>
      <c r="M105" s="502">
        <v>-1.25</v>
      </c>
      <c r="N105" s="502">
        <v>-0.4</v>
      </c>
      <c r="O105" s="1153">
        <v>0.5</v>
      </c>
      <c r="P105" s="1153">
        <v>-0.8</v>
      </c>
      <c r="Q105" s="1153">
        <v>0.4</v>
      </c>
      <c r="R105" s="1153">
        <v>0.7</v>
      </c>
      <c r="S105" s="1153">
        <v>0.7</v>
      </c>
      <c r="T105" s="1153">
        <v>0.2</v>
      </c>
      <c r="U105" s="859"/>
      <c r="V105" s="649">
        <v>-0.19</v>
      </c>
      <c r="W105" s="1153">
        <v>-1.1000000000000001</v>
      </c>
      <c r="X105" s="1153">
        <v>-1.7</v>
      </c>
      <c r="Y105" s="1153">
        <v>-0.18</v>
      </c>
      <c r="Z105" s="1153">
        <v>1.3</v>
      </c>
      <c r="AA105" s="1153">
        <v>-1.5</v>
      </c>
      <c r="AB105" s="1153">
        <v>0</v>
      </c>
      <c r="AC105" s="1153">
        <v>0.5</v>
      </c>
      <c r="AD105" s="214"/>
    </row>
    <row r="106" spans="1:30" ht="14.25">
      <c r="A106" s="499"/>
      <c r="B106" s="500" t="s">
        <v>141</v>
      </c>
      <c r="C106" s="501">
        <v>4</v>
      </c>
      <c r="D106" s="655">
        <v>-0.16</v>
      </c>
      <c r="E106" s="502">
        <v>0.7</v>
      </c>
      <c r="F106" s="502">
        <v>-2.2000000000000002</v>
      </c>
      <c r="G106" s="502">
        <v>3.4</v>
      </c>
      <c r="H106" s="502">
        <v>0.7</v>
      </c>
      <c r="I106" s="502">
        <v>0</v>
      </c>
      <c r="J106" s="502">
        <v>1</v>
      </c>
      <c r="K106" s="502">
        <v>-1.1000000000000001</v>
      </c>
      <c r="L106" s="859"/>
      <c r="M106" s="502">
        <v>0.218</v>
      </c>
      <c r="N106" s="502">
        <v>-0.7</v>
      </c>
      <c r="O106" s="1153">
        <v>-1.9</v>
      </c>
      <c r="P106" s="1153">
        <v>-2.9</v>
      </c>
      <c r="Q106" s="1153">
        <v>-1.8</v>
      </c>
      <c r="R106" s="1153">
        <v>0.6</v>
      </c>
      <c r="S106" s="1153">
        <v>-1.6</v>
      </c>
      <c r="T106" s="1153">
        <v>0.8</v>
      </c>
      <c r="U106" s="859"/>
      <c r="V106" s="649">
        <v>-0.09</v>
      </c>
      <c r="W106" s="1153">
        <v>1.5</v>
      </c>
      <c r="X106" s="1153">
        <v>-0.3</v>
      </c>
      <c r="Y106" s="1153">
        <v>-0.4</v>
      </c>
      <c r="Z106" s="1153">
        <v>-0.3</v>
      </c>
      <c r="AA106" s="1153">
        <v>0.1</v>
      </c>
      <c r="AB106" s="1153">
        <v>0.2</v>
      </c>
      <c r="AC106" s="1153">
        <v>-2</v>
      </c>
      <c r="AD106" s="214"/>
    </row>
    <row r="107" spans="1:30" ht="14.25">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3">
        <v>-0.5</v>
      </c>
      <c r="P107" s="1153">
        <v>1.2</v>
      </c>
      <c r="Q107" s="1153">
        <v>-1.3</v>
      </c>
      <c r="R107" s="1153">
        <v>-2.1</v>
      </c>
      <c r="S107" s="1153">
        <v>-1.2</v>
      </c>
      <c r="T107" s="1153">
        <v>-0.1</v>
      </c>
      <c r="U107" s="859"/>
      <c r="V107" s="649">
        <v>-0.17</v>
      </c>
      <c r="W107" s="1153">
        <v>0.3</v>
      </c>
      <c r="X107" s="1153">
        <v>0.2</v>
      </c>
      <c r="Y107" s="1153">
        <v>-0.61</v>
      </c>
      <c r="Z107" s="1153">
        <v>-0.7</v>
      </c>
      <c r="AA107" s="1153">
        <v>-0.3</v>
      </c>
      <c r="AB107" s="1153">
        <v>-0.1</v>
      </c>
      <c r="AC107" s="1153">
        <v>1.8</v>
      </c>
      <c r="AD107" s="214"/>
    </row>
    <row r="108" spans="1:30" ht="14.25">
      <c r="A108" s="499"/>
      <c r="B108" s="500" t="s">
        <v>141</v>
      </c>
      <c r="C108" s="501">
        <v>6</v>
      </c>
      <c r="D108" s="655">
        <v>-0.16</v>
      </c>
      <c r="E108" s="502">
        <v>0.5</v>
      </c>
      <c r="F108" s="502">
        <v>0.3</v>
      </c>
      <c r="G108" s="502">
        <v>0.7</v>
      </c>
      <c r="H108" s="502">
        <v>-0.3</v>
      </c>
      <c r="I108" s="502">
        <v>0.2</v>
      </c>
      <c r="J108" s="502">
        <v>-0.7</v>
      </c>
      <c r="K108" s="502">
        <v>-1</v>
      </c>
      <c r="L108" s="859"/>
      <c r="M108" s="502">
        <v>-1.0469999999999999</v>
      </c>
      <c r="N108" s="502">
        <v>-0.4</v>
      </c>
      <c r="O108" s="1153">
        <v>-0.5</v>
      </c>
      <c r="P108" s="1153">
        <v>-1.1000000000000001</v>
      </c>
      <c r="Q108" s="1153">
        <v>-0.8</v>
      </c>
      <c r="R108" s="1153">
        <v>0.3</v>
      </c>
      <c r="S108" s="1153">
        <v>-0.7</v>
      </c>
      <c r="T108" s="1153">
        <v>0.3</v>
      </c>
      <c r="U108" s="859"/>
      <c r="V108" s="649">
        <v>-0.14000000000000001</v>
      </c>
      <c r="W108" s="1153">
        <v>-0.5</v>
      </c>
      <c r="X108" s="1153">
        <v>-1.1000000000000001</v>
      </c>
      <c r="Y108" s="1153">
        <v>0.11</v>
      </c>
      <c r="Z108" s="1153">
        <v>0.1</v>
      </c>
      <c r="AA108" s="1153">
        <v>-0.3</v>
      </c>
      <c r="AB108" s="1153">
        <v>0.4</v>
      </c>
      <c r="AC108" s="1153">
        <v>-0.3</v>
      </c>
      <c r="AD108" s="214"/>
    </row>
    <row r="109" spans="1:30" ht="14.25">
      <c r="A109" s="499"/>
      <c r="B109" s="500" t="s">
        <v>141</v>
      </c>
      <c r="C109" s="501">
        <v>7</v>
      </c>
      <c r="D109" s="655">
        <v>-0.42</v>
      </c>
      <c r="E109" s="502">
        <v>-1.1000000000000001</v>
      </c>
      <c r="F109" s="502">
        <v>-2.2999999999999998</v>
      </c>
      <c r="G109" s="502">
        <v>-2.9</v>
      </c>
      <c r="H109" s="502">
        <v>0</v>
      </c>
      <c r="I109" s="502">
        <v>0.7</v>
      </c>
      <c r="J109" s="502">
        <v>2.1</v>
      </c>
      <c r="K109" s="502">
        <v>-3.1</v>
      </c>
      <c r="L109" s="859"/>
      <c r="M109" s="502">
        <v>-1.349</v>
      </c>
      <c r="N109" s="502">
        <v>-0.4</v>
      </c>
      <c r="O109" s="1153">
        <v>0.3</v>
      </c>
      <c r="P109" s="1153">
        <v>-2.8</v>
      </c>
      <c r="Q109" s="1153">
        <v>-2.2000000000000002</v>
      </c>
      <c r="R109" s="1153">
        <v>-0.3</v>
      </c>
      <c r="S109" s="1153">
        <v>-2.2999999999999998</v>
      </c>
      <c r="T109" s="1153">
        <v>-1.3</v>
      </c>
      <c r="U109" s="859"/>
      <c r="V109" s="649">
        <v>-0.27</v>
      </c>
      <c r="W109" s="1153">
        <v>-0.1</v>
      </c>
      <c r="X109" s="1153">
        <v>-1.7</v>
      </c>
      <c r="Y109" s="1153">
        <v>-0.23</v>
      </c>
      <c r="Z109" s="1153">
        <v>0.2</v>
      </c>
      <c r="AA109" s="1153">
        <v>-0.4</v>
      </c>
      <c r="AB109" s="1153">
        <v>-1.1000000000000001</v>
      </c>
      <c r="AC109" s="1153">
        <v>-0.8</v>
      </c>
      <c r="AD109" s="214"/>
    </row>
    <row r="110" spans="1:30" ht="14.25">
      <c r="A110" s="499"/>
      <c r="B110" s="500" t="s">
        <v>141</v>
      </c>
      <c r="C110" s="501">
        <v>8</v>
      </c>
      <c r="D110" s="655">
        <v>-0.43</v>
      </c>
      <c r="E110" s="502">
        <v>-0.2</v>
      </c>
      <c r="F110" s="502">
        <v>-1</v>
      </c>
      <c r="G110" s="502">
        <v>-0.5</v>
      </c>
      <c r="H110" s="502">
        <v>0</v>
      </c>
      <c r="I110" s="502">
        <v>-0.8</v>
      </c>
      <c r="J110" s="502">
        <v>-1.2</v>
      </c>
      <c r="K110" s="502">
        <v>-2.8</v>
      </c>
      <c r="L110" s="859"/>
      <c r="M110" s="502">
        <v>-0.83</v>
      </c>
      <c r="N110" s="502">
        <v>-0.8</v>
      </c>
      <c r="O110" s="1153">
        <v>-0.7</v>
      </c>
      <c r="P110" s="1153">
        <v>0.5</v>
      </c>
      <c r="Q110" s="1153">
        <v>-1</v>
      </c>
      <c r="R110" s="1153">
        <v>-2</v>
      </c>
      <c r="S110" s="1153">
        <v>-1.1000000000000001</v>
      </c>
      <c r="T110" s="1153">
        <v>0.3</v>
      </c>
      <c r="U110" s="859"/>
      <c r="V110" s="649">
        <v>-0.26</v>
      </c>
      <c r="W110" s="1153">
        <v>-0.5</v>
      </c>
      <c r="X110" s="1153">
        <v>1.3</v>
      </c>
      <c r="Y110" s="1153">
        <v>-7.0000000000000007E-2</v>
      </c>
      <c r="Z110" s="1153">
        <v>-0.4</v>
      </c>
      <c r="AA110" s="1153">
        <v>0</v>
      </c>
      <c r="AB110" s="1153">
        <v>-0.1</v>
      </c>
      <c r="AC110" s="1153">
        <v>0.5</v>
      </c>
      <c r="AD110" s="214"/>
    </row>
    <row r="111" spans="1:30" ht="14.25">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3">
        <v>-0.3</v>
      </c>
      <c r="P111" s="1153">
        <v>1.3</v>
      </c>
      <c r="Q111" s="1153">
        <v>2</v>
      </c>
      <c r="R111" s="1153">
        <v>1.1000000000000001</v>
      </c>
      <c r="S111" s="1153">
        <v>2.2999999999999998</v>
      </c>
      <c r="T111" s="1153">
        <v>1.9</v>
      </c>
      <c r="U111" s="859"/>
      <c r="V111" s="649">
        <v>-0.17</v>
      </c>
      <c r="W111" s="1153">
        <v>-0.1</v>
      </c>
      <c r="X111" s="1153">
        <v>-0.5</v>
      </c>
      <c r="Y111" s="1153">
        <v>-1.17</v>
      </c>
      <c r="Z111" s="1153">
        <v>0.3</v>
      </c>
      <c r="AA111" s="1153">
        <v>0.1</v>
      </c>
      <c r="AB111" s="1153">
        <v>0</v>
      </c>
      <c r="AC111" s="1153">
        <v>-0.6</v>
      </c>
      <c r="AD111" s="214"/>
    </row>
    <row r="112" spans="1:30" ht="14.25">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3">
        <v>-0.9</v>
      </c>
      <c r="P112" s="1153">
        <v>-2.2999999999999998</v>
      </c>
      <c r="Q112" s="1153">
        <v>-0.8</v>
      </c>
      <c r="R112" s="1153">
        <v>0.4</v>
      </c>
      <c r="S112" s="1153">
        <v>-1.2</v>
      </c>
      <c r="T112" s="1153">
        <v>-1.9</v>
      </c>
      <c r="U112" s="859"/>
      <c r="V112" s="649">
        <v>-0.28000000000000003</v>
      </c>
      <c r="W112" s="1153">
        <v>0.1</v>
      </c>
      <c r="X112" s="1153">
        <v>-1.2</v>
      </c>
      <c r="Y112" s="1153">
        <v>0.27</v>
      </c>
      <c r="Z112" s="1153">
        <v>-1.5</v>
      </c>
      <c r="AA112" s="1153">
        <v>0.5</v>
      </c>
      <c r="AB112" s="1153">
        <v>0.8</v>
      </c>
      <c r="AC112" s="1153">
        <v>0</v>
      </c>
      <c r="AD112" s="214"/>
    </row>
    <row r="113" spans="1:30" ht="14.25">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3">
        <v>0.6</v>
      </c>
      <c r="P113" s="1153">
        <v>-0.5</v>
      </c>
      <c r="Q113" s="1153">
        <v>-0.6</v>
      </c>
      <c r="R113" s="1153">
        <v>-0.9</v>
      </c>
      <c r="S113" s="1153">
        <v>-0.4</v>
      </c>
      <c r="T113" s="1153">
        <v>0.3</v>
      </c>
      <c r="U113" s="859"/>
      <c r="V113" s="649">
        <v>-0.28000000000000003</v>
      </c>
      <c r="W113" s="1153">
        <v>-0.6</v>
      </c>
      <c r="X113" s="1153">
        <v>-1</v>
      </c>
      <c r="Y113" s="1153">
        <v>-0.6</v>
      </c>
      <c r="Z113" s="1153">
        <v>1</v>
      </c>
      <c r="AA113" s="1153">
        <v>-0.1</v>
      </c>
      <c r="AB113" s="1153">
        <v>-1</v>
      </c>
      <c r="AC113" s="1153">
        <v>0.4</v>
      </c>
      <c r="AD113" s="214"/>
    </row>
    <row r="114" spans="1:30" ht="14.25">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5">
        <v>0.6</v>
      </c>
      <c r="P114" s="1155">
        <v>-0.5</v>
      </c>
      <c r="Q114" s="1155">
        <v>-1.1000000000000001</v>
      </c>
      <c r="R114" s="1155">
        <v>-1.2</v>
      </c>
      <c r="S114" s="1155">
        <v>-1.2</v>
      </c>
      <c r="T114" s="1155">
        <v>-0.4</v>
      </c>
      <c r="U114" s="860"/>
      <c r="V114" s="650">
        <v>-0.3</v>
      </c>
      <c r="W114" s="1155">
        <v>-0.4</v>
      </c>
      <c r="X114" s="1155">
        <v>-0.5</v>
      </c>
      <c r="Y114" s="1155">
        <v>-0.1</v>
      </c>
      <c r="Z114" s="1155">
        <v>-0.2</v>
      </c>
      <c r="AA114" s="1155">
        <v>0.5</v>
      </c>
      <c r="AB114" s="1155">
        <v>0.4</v>
      </c>
      <c r="AC114" s="1155">
        <v>0.5</v>
      </c>
      <c r="AD114" s="214"/>
    </row>
    <row r="115" spans="1:30" ht="14.25">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3">
        <v>1.3</v>
      </c>
      <c r="P115" s="1153">
        <v>-0.3</v>
      </c>
      <c r="Q115" s="1153">
        <v>-0.8</v>
      </c>
      <c r="R115" s="1153">
        <v>-0.3</v>
      </c>
      <c r="S115" s="1153">
        <v>-0.1</v>
      </c>
      <c r="T115" s="1153">
        <v>0</v>
      </c>
      <c r="U115" s="859"/>
      <c r="V115" s="651">
        <v>-0.27</v>
      </c>
      <c r="W115" s="1153">
        <v>-1.1000000000000001</v>
      </c>
      <c r="X115" s="1153">
        <v>0.6</v>
      </c>
      <c r="Y115" s="1153">
        <v>1.43</v>
      </c>
      <c r="Z115" s="1153">
        <v>0</v>
      </c>
      <c r="AA115" s="1153">
        <v>-0.3</v>
      </c>
      <c r="AB115" s="1153">
        <v>0</v>
      </c>
      <c r="AC115" s="1153">
        <v>0.1</v>
      </c>
      <c r="AD115" s="214"/>
    </row>
    <row r="116" spans="1:30" ht="14.25">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3">
        <v>0.6</v>
      </c>
      <c r="P116" s="1153">
        <v>1</v>
      </c>
      <c r="Q116" s="1153">
        <v>1.2</v>
      </c>
      <c r="R116" s="1153">
        <v>0.8</v>
      </c>
      <c r="S116" s="1153">
        <v>1.6</v>
      </c>
      <c r="T116" s="1153">
        <v>-0.2</v>
      </c>
      <c r="U116" s="859"/>
      <c r="V116" s="649">
        <v>-0.28999999999999998</v>
      </c>
      <c r="W116" s="1153">
        <v>-0.3</v>
      </c>
      <c r="X116" s="1153">
        <v>0.2</v>
      </c>
      <c r="Y116" s="1153">
        <v>-0.3</v>
      </c>
      <c r="Z116" s="1153">
        <v>0.1</v>
      </c>
      <c r="AA116" s="1153">
        <v>0.1</v>
      </c>
      <c r="AB116" s="1153">
        <v>0.2</v>
      </c>
      <c r="AC116" s="1153">
        <v>-0.8</v>
      </c>
      <c r="AD116" s="214"/>
    </row>
    <row r="117" spans="1:30" ht="14.25">
      <c r="A117" s="499"/>
      <c r="B117" s="500" t="s">
        <v>141</v>
      </c>
      <c r="C117" s="501">
        <v>3</v>
      </c>
      <c r="D117" s="655">
        <v>-0.43</v>
      </c>
      <c r="E117" s="502">
        <v>1.3</v>
      </c>
      <c r="F117" s="502">
        <v>0.3</v>
      </c>
      <c r="G117" s="502">
        <v>2.2000000000000002</v>
      </c>
      <c r="H117" s="502">
        <v>0.6</v>
      </c>
      <c r="I117" s="502">
        <v>0.5</v>
      </c>
      <c r="J117" s="502">
        <v>-0.3</v>
      </c>
      <c r="K117" s="502">
        <v>0.8</v>
      </c>
      <c r="L117" s="859"/>
      <c r="M117" s="502">
        <v>1.0469999999999999</v>
      </c>
      <c r="N117" s="502">
        <v>0.4</v>
      </c>
      <c r="O117" s="1153">
        <v>-0.2</v>
      </c>
      <c r="P117" s="1153">
        <v>1</v>
      </c>
      <c r="Q117" s="1153">
        <v>2</v>
      </c>
      <c r="R117" s="1153">
        <v>2.2999999999999998</v>
      </c>
      <c r="S117" s="1153">
        <v>2.1</v>
      </c>
      <c r="T117" s="1153">
        <v>-0.3</v>
      </c>
      <c r="U117" s="859"/>
      <c r="V117" s="649">
        <v>-0.28999999999999998</v>
      </c>
      <c r="W117" s="1153">
        <v>-0.5</v>
      </c>
      <c r="X117" s="1153">
        <v>0.3</v>
      </c>
      <c r="Y117" s="1153">
        <v>0.21</v>
      </c>
      <c r="Z117" s="1153">
        <v>-0.1</v>
      </c>
      <c r="AA117" s="1153">
        <v>0.3</v>
      </c>
      <c r="AB117" s="1153">
        <v>0</v>
      </c>
      <c r="AC117" s="1153">
        <v>0.1</v>
      </c>
      <c r="AD117" s="214"/>
    </row>
    <row r="118" spans="1:30" ht="14.25">
      <c r="A118" s="499"/>
      <c r="B118" s="500" t="s">
        <v>141</v>
      </c>
      <c r="C118" s="501">
        <v>4</v>
      </c>
      <c r="D118" s="655">
        <v>-0.5</v>
      </c>
      <c r="E118" s="502">
        <v>-0.3</v>
      </c>
      <c r="F118" s="502">
        <v>-1.8</v>
      </c>
      <c r="G118" s="502">
        <v>0</v>
      </c>
      <c r="H118" s="502">
        <v>-1</v>
      </c>
      <c r="I118" s="502">
        <v>0.1</v>
      </c>
      <c r="J118" s="502">
        <v>0</v>
      </c>
      <c r="K118" s="502">
        <v>2.2000000000000002</v>
      </c>
      <c r="L118" s="859"/>
      <c r="M118" s="502">
        <v>0.309</v>
      </c>
      <c r="N118" s="502">
        <v>-0.1</v>
      </c>
      <c r="O118" s="1153">
        <v>0.8</v>
      </c>
      <c r="P118" s="1153">
        <v>-1.6</v>
      </c>
      <c r="Q118" s="1153">
        <v>-1.7</v>
      </c>
      <c r="R118" s="1153">
        <v>-2.1</v>
      </c>
      <c r="S118" s="1153">
        <v>-1.8</v>
      </c>
      <c r="T118" s="1153">
        <v>-0.3</v>
      </c>
      <c r="U118" s="859"/>
      <c r="V118" s="649">
        <v>-0.28000000000000003</v>
      </c>
      <c r="W118" s="1153">
        <v>-0.5</v>
      </c>
      <c r="X118" s="1153">
        <v>0.7</v>
      </c>
      <c r="Y118" s="1153">
        <v>0.39</v>
      </c>
      <c r="Z118" s="1153">
        <v>0.5</v>
      </c>
      <c r="AA118" s="1153">
        <v>-0.2</v>
      </c>
      <c r="AB118" s="1153">
        <v>0.3</v>
      </c>
      <c r="AC118" s="1153">
        <v>0.7</v>
      </c>
      <c r="AD118" s="214"/>
    </row>
    <row r="119" spans="1:30" ht="14.25">
      <c r="A119" s="499"/>
      <c r="B119" s="500" t="s">
        <v>141</v>
      </c>
      <c r="C119" s="501">
        <v>5</v>
      </c>
      <c r="D119" s="655">
        <v>-0.42</v>
      </c>
      <c r="E119" s="502">
        <v>-0.2</v>
      </c>
      <c r="F119" s="502">
        <v>2.1</v>
      </c>
      <c r="G119" s="502">
        <v>-0.1</v>
      </c>
      <c r="H119" s="502">
        <v>0.4</v>
      </c>
      <c r="I119" s="502">
        <v>-0.3</v>
      </c>
      <c r="J119" s="502">
        <v>2.2999999999999998</v>
      </c>
      <c r="K119" s="502">
        <v>2.2000000000000002</v>
      </c>
      <c r="L119" s="859"/>
      <c r="M119" s="502">
        <v>0.34</v>
      </c>
      <c r="N119" s="502">
        <v>0.5</v>
      </c>
      <c r="O119" s="1153">
        <v>0.3</v>
      </c>
      <c r="P119" s="1153">
        <v>1.5</v>
      </c>
      <c r="Q119" s="1153">
        <v>1.3</v>
      </c>
      <c r="R119" s="1153">
        <v>0.4</v>
      </c>
      <c r="S119" s="1153">
        <v>1.5</v>
      </c>
      <c r="T119" s="1153">
        <v>0.4</v>
      </c>
      <c r="U119" s="859"/>
      <c r="V119" s="649">
        <v>-0.23</v>
      </c>
      <c r="W119" s="1153">
        <v>-0.1</v>
      </c>
      <c r="X119" s="1153">
        <v>0.7</v>
      </c>
      <c r="Y119" s="1153">
        <v>-0.61</v>
      </c>
      <c r="Z119" s="1153">
        <v>0.9</v>
      </c>
      <c r="AA119" s="1153">
        <v>0.4</v>
      </c>
      <c r="AB119" s="1153">
        <v>0.3</v>
      </c>
      <c r="AC119" s="1153">
        <v>-0.4</v>
      </c>
      <c r="AD119" s="214"/>
    </row>
    <row r="120" spans="1:30" ht="14.25">
      <c r="A120" s="499"/>
      <c r="B120" s="500" t="s">
        <v>141</v>
      </c>
      <c r="C120" s="501">
        <v>6</v>
      </c>
      <c r="D120" s="655">
        <v>-0.46</v>
      </c>
      <c r="E120" s="502">
        <v>0</v>
      </c>
      <c r="F120" s="502">
        <v>0.7</v>
      </c>
      <c r="G120" s="502">
        <v>2.9</v>
      </c>
      <c r="H120" s="502">
        <v>0.2</v>
      </c>
      <c r="I120" s="502">
        <v>0.1</v>
      </c>
      <c r="J120" s="502">
        <v>-1.5</v>
      </c>
      <c r="K120" s="502">
        <v>2.4</v>
      </c>
      <c r="L120" s="859"/>
      <c r="M120" s="502">
        <v>0.35599999999999998</v>
      </c>
      <c r="N120" s="502">
        <v>0.4</v>
      </c>
      <c r="O120" s="1153">
        <v>-0.1</v>
      </c>
      <c r="P120" s="1153">
        <v>-0.3</v>
      </c>
      <c r="Q120" s="1153">
        <v>0.1</v>
      </c>
      <c r="R120" s="1153">
        <v>1</v>
      </c>
      <c r="S120" s="1153">
        <v>0.1</v>
      </c>
      <c r="T120" s="1153">
        <v>-0.5</v>
      </c>
      <c r="U120" s="859"/>
      <c r="V120" s="649">
        <v>-0.27</v>
      </c>
      <c r="W120" s="1153">
        <v>0.4</v>
      </c>
      <c r="X120" s="1153">
        <v>-0.5</v>
      </c>
      <c r="Y120" s="1153">
        <v>-0.15</v>
      </c>
      <c r="Z120" s="1153">
        <v>-0.4</v>
      </c>
      <c r="AA120" s="1153">
        <v>0</v>
      </c>
      <c r="AB120" s="1153">
        <v>0.2</v>
      </c>
      <c r="AC120" s="1153">
        <v>-0.4</v>
      </c>
      <c r="AD120" s="214"/>
    </row>
    <row r="121" spans="1:30" ht="14.25">
      <c r="A121" s="499"/>
      <c r="B121" s="500" t="s">
        <v>141</v>
      </c>
      <c r="C121" s="501">
        <v>7</v>
      </c>
      <c r="D121" s="655">
        <v>-0.47</v>
      </c>
      <c r="E121" s="502">
        <v>0.9</v>
      </c>
      <c r="F121" s="502">
        <v>-0.3</v>
      </c>
      <c r="G121" s="502">
        <v>0</v>
      </c>
      <c r="H121" s="502">
        <v>0.2</v>
      </c>
      <c r="I121" s="502">
        <v>-0.5</v>
      </c>
      <c r="J121" s="502">
        <v>-1.5</v>
      </c>
      <c r="K121" s="502">
        <v>1</v>
      </c>
      <c r="L121" s="859"/>
      <c r="M121" s="502">
        <v>0.73799999999999999</v>
      </c>
      <c r="N121" s="502">
        <v>0.7</v>
      </c>
      <c r="O121" s="1153">
        <v>0.4</v>
      </c>
      <c r="P121" s="1153">
        <v>-1.2</v>
      </c>
      <c r="Q121" s="1153">
        <v>0</v>
      </c>
      <c r="R121" s="1153">
        <v>1.1000000000000001</v>
      </c>
      <c r="S121" s="1153">
        <v>0.2</v>
      </c>
      <c r="T121" s="1153">
        <v>0</v>
      </c>
      <c r="U121" s="859"/>
      <c r="V121" s="649">
        <v>-0.25</v>
      </c>
      <c r="W121" s="1153">
        <v>0.4</v>
      </c>
      <c r="X121" s="1153">
        <v>-0.7</v>
      </c>
      <c r="Y121" s="1153">
        <v>0.83</v>
      </c>
      <c r="Z121" s="1153">
        <v>-0.7</v>
      </c>
      <c r="AA121" s="1153">
        <v>-0.1</v>
      </c>
      <c r="AB121" s="1153">
        <v>-0.3</v>
      </c>
      <c r="AC121" s="1153">
        <v>0.9</v>
      </c>
      <c r="AD121" s="214"/>
    </row>
    <row r="122" spans="1:30" ht="14.25">
      <c r="A122" s="499"/>
      <c r="B122" s="500" t="s">
        <v>141</v>
      </c>
      <c r="C122" s="501">
        <v>8</v>
      </c>
      <c r="D122" s="655">
        <v>-0.48</v>
      </c>
      <c r="E122" s="502">
        <v>0</v>
      </c>
      <c r="F122" s="502">
        <v>-2.6</v>
      </c>
      <c r="G122" s="502">
        <v>-0.8</v>
      </c>
      <c r="H122" s="502">
        <v>0.8</v>
      </c>
      <c r="I122" s="502">
        <v>0.1</v>
      </c>
      <c r="J122" s="502">
        <v>0.3</v>
      </c>
      <c r="K122" s="502">
        <v>1</v>
      </c>
      <c r="L122" s="859"/>
      <c r="M122" s="502">
        <v>1.089</v>
      </c>
      <c r="N122" s="502">
        <v>0.6</v>
      </c>
      <c r="O122" s="1153">
        <v>-1</v>
      </c>
      <c r="P122" s="1153">
        <v>-1.2</v>
      </c>
      <c r="Q122" s="1153">
        <v>-1.6</v>
      </c>
      <c r="R122" s="1153">
        <v>-1.2</v>
      </c>
      <c r="S122" s="1153">
        <v>-2</v>
      </c>
      <c r="T122" s="1153">
        <v>0.6</v>
      </c>
      <c r="U122" s="859"/>
      <c r="V122" s="649">
        <v>-0.21</v>
      </c>
      <c r="W122" s="1153">
        <v>0.2</v>
      </c>
      <c r="X122" s="1153">
        <v>0.3</v>
      </c>
      <c r="Y122" s="1153">
        <v>-0.53</v>
      </c>
      <c r="Z122" s="1153">
        <v>1</v>
      </c>
      <c r="AA122" s="1153">
        <v>0.4</v>
      </c>
      <c r="AB122" s="1153">
        <v>0.4</v>
      </c>
      <c r="AC122" s="1153">
        <v>-0.3</v>
      </c>
      <c r="AD122" s="214"/>
    </row>
    <row r="123" spans="1:30" ht="14.25">
      <c r="A123" s="499"/>
      <c r="B123" s="500" t="s">
        <v>141</v>
      </c>
      <c r="C123" s="501">
        <v>9</v>
      </c>
      <c r="D123" s="655">
        <v>-0.4</v>
      </c>
      <c r="E123" s="502">
        <v>0.4</v>
      </c>
      <c r="F123" s="502">
        <v>3.9</v>
      </c>
      <c r="G123" s="502">
        <v>3.8</v>
      </c>
      <c r="H123" s="502">
        <v>0.3</v>
      </c>
      <c r="I123" s="502">
        <v>0.7</v>
      </c>
      <c r="J123" s="502">
        <v>1.6</v>
      </c>
      <c r="K123" s="502">
        <v>1</v>
      </c>
      <c r="L123" s="859"/>
      <c r="M123" s="502">
        <v>0.70099999999999996</v>
      </c>
      <c r="N123" s="502">
        <v>0.8</v>
      </c>
      <c r="O123" s="1153">
        <v>1.4</v>
      </c>
      <c r="P123" s="1153">
        <v>2.6</v>
      </c>
      <c r="Q123" s="1153">
        <v>2.2999999999999998</v>
      </c>
      <c r="R123" s="1153">
        <v>1.4</v>
      </c>
      <c r="S123" s="1153">
        <v>2.5</v>
      </c>
      <c r="T123" s="1153">
        <v>-0.7</v>
      </c>
      <c r="U123" s="859"/>
      <c r="V123" s="649">
        <v>-0.22</v>
      </c>
      <c r="W123" s="1153">
        <v>0.1</v>
      </c>
      <c r="X123" s="1153">
        <v>0.5</v>
      </c>
      <c r="Y123" s="1153">
        <v>0.65</v>
      </c>
      <c r="Z123" s="1153">
        <v>-0.2</v>
      </c>
      <c r="AA123" s="1153">
        <v>-0.4</v>
      </c>
      <c r="AB123" s="1153">
        <v>-0.1</v>
      </c>
      <c r="AC123" s="1153">
        <v>-0.3</v>
      </c>
      <c r="AD123" s="214"/>
    </row>
    <row r="124" spans="1:30" ht="14.25">
      <c r="A124" s="499"/>
      <c r="B124" s="500" t="s">
        <v>141</v>
      </c>
      <c r="C124" s="501">
        <v>10</v>
      </c>
      <c r="D124" s="655">
        <v>-0.34</v>
      </c>
      <c r="E124" s="502">
        <v>-0.1</v>
      </c>
      <c r="F124" s="502">
        <v>1.3</v>
      </c>
      <c r="G124" s="502">
        <v>-1.1000000000000001</v>
      </c>
      <c r="H124" s="502">
        <v>0.1</v>
      </c>
      <c r="I124" s="502">
        <v>-1.4</v>
      </c>
      <c r="J124" s="502">
        <v>-0.4</v>
      </c>
      <c r="K124" s="502">
        <v>0.7</v>
      </c>
      <c r="L124" s="859"/>
      <c r="M124" s="502">
        <v>0.71599999999999997</v>
      </c>
      <c r="N124" s="502">
        <v>0.9</v>
      </c>
      <c r="O124" s="1153">
        <v>0.1</v>
      </c>
      <c r="P124" s="1153">
        <v>-1</v>
      </c>
      <c r="Q124" s="1153">
        <v>-1</v>
      </c>
      <c r="R124" s="1153">
        <v>-1.3</v>
      </c>
      <c r="S124" s="1153">
        <v>-1</v>
      </c>
      <c r="T124" s="1153">
        <v>0.6</v>
      </c>
      <c r="U124" s="859"/>
      <c r="V124" s="649">
        <v>-0.15</v>
      </c>
      <c r="W124" s="1153">
        <v>-0.3</v>
      </c>
      <c r="X124" s="1153">
        <v>0.5</v>
      </c>
      <c r="Y124" s="1153">
        <v>0.39</v>
      </c>
      <c r="Z124" s="1153">
        <v>-0.2</v>
      </c>
      <c r="AA124" s="1153">
        <v>-0.2</v>
      </c>
      <c r="AB124" s="1153">
        <v>0.3</v>
      </c>
      <c r="AC124" s="1153">
        <v>0.6</v>
      </c>
      <c r="AD124" s="214"/>
    </row>
    <row r="125" spans="1:30" ht="14.25">
      <c r="A125" s="499"/>
      <c r="B125" s="500" t="s">
        <v>141</v>
      </c>
      <c r="C125" s="501">
        <v>11</v>
      </c>
      <c r="D125" s="655">
        <v>-0.33</v>
      </c>
      <c r="E125" s="502">
        <v>0.3</v>
      </c>
      <c r="F125" s="502">
        <v>0</v>
      </c>
      <c r="G125" s="502">
        <v>0.2</v>
      </c>
      <c r="H125" s="502">
        <v>0.5</v>
      </c>
      <c r="I125" s="502">
        <v>1.3</v>
      </c>
      <c r="J125" s="502">
        <v>1</v>
      </c>
      <c r="K125" s="502">
        <v>0.7</v>
      </c>
      <c r="L125" s="859"/>
      <c r="M125" s="502">
        <v>1.131</v>
      </c>
      <c r="N125" s="502">
        <v>1.8</v>
      </c>
      <c r="O125" s="1153">
        <v>0.2</v>
      </c>
      <c r="P125" s="1153">
        <v>0.5</v>
      </c>
      <c r="Q125" s="1153">
        <v>-0.1</v>
      </c>
      <c r="R125" s="1153">
        <v>0</v>
      </c>
      <c r="S125" s="1153">
        <v>0</v>
      </c>
      <c r="T125" s="1153">
        <v>0.1</v>
      </c>
      <c r="U125" s="859"/>
      <c r="V125" s="649">
        <v>-0.15</v>
      </c>
      <c r="W125" s="1153">
        <v>0.5</v>
      </c>
      <c r="X125" s="1153">
        <v>0.3</v>
      </c>
      <c r="Y125" s="1153">
        <v>1.25</v>
      </c>
      <c r="Z125" s="1153">
        <v>0.4</v>
      </c>
      <c r="AA125" s="1153">
        <v>0.7</v>
      </c>
      <c r="AB125" s="1153">
        <v>1</v>
      </c>
      <c r="AC125" s="1153">
        <v>-0.2</v>
      </c>
      <c r="AD125" s="214"/>
    </row>
    <row r="126" spans="1:30" ht="14.25">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3">
        <v>-0.5</v>
      </c>
      <c r="P126" s="1153">
        <v>0.1</v>
      </c>
      <c r="Q126" s="1153">
        <v>0</v>
      </c>
      <c r="R126" s="1153">
        <v>-0.5</v>
      </c>
      <c r="S126" s="1153">
        <v>0</v>
      </c>
      <c r="T126" s="1153">
        <v>0</v>
      </c>
      <c r="U126" s="859"/>
      <c r="V126" s="651">
        <v>-0.15</v>
      </c>
      <c r="W126" s="1153">
        <v>0.7</v>
      </c>
      <c r="X126" s="1153">
        <v>-0.1</v>
      </c>
      <c r="Y126" s="1153">
        <v>-0.87</v>
      </c>
      <c r="Z126" s="1153">
        <v>-0.9</v>
      </c>
      <c r="AA126" s="1153">
        <v>-0.5</v>
      </c>
      <c r="AB126" s="1153">
        <v>0.4</v>
      </c>
      <c r="AC126" s="1153">
        <v>-0.5</v>
      </c>
      <c r="AD126" s="214"/>
    </row>
    <row r="127" spans="1:30" ht="14.25">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4">
        <v>-1.5</v>
      </c>
      <c r="P127" s="1154">
        <v>-0.3</v>
      </c>
      <c r="Q127" s="1154">
        <v>-0.1</v>
      </c>
      <c r="R127" s="1154">
        <v>0.6</v>
      </c>
      <c r="S127" s="1154">
        <v>-0.2</v>
      </c>
      <c r="T127" s="1154">
        <v>-0.4</v>
      </c>
      <c r="U127" s="858"/>
      <c r="V127" s="648">
        <v>-0.1</v>
      </c>
      <c r="W127" s="1154">
        <v>0.8</v>
      </c>
      <c r="X127" s="1154">
        <v>-1.1000000000000001</v>
      </c>
      <c r="Y127" s="1154">
        <v>-0.13</v>
      </c>
      <c r="Z127" s="1154">
        <v>0.2</v>
      </c>
      <c r="AA127" s="1154">
        <v>0.4</v>
      </c>
      <c r="AB127" s="1154">
        <v>-0.2</v>
      </c>
      <c r="AC127" s="1154">
        <v>0.8</v>
      </c>
      <c r="AD127" s="214"/>
    </row>
    <row r="128" spans="1:30" ht="14.25">
      <c r="A128" s="499"/>
      <c r="B128" s="500" t="s">
        <v>141</v>
      </c>
      <c r="C128" s="501">
        <v>2</v>
      </c>
      <c r="D128" s="655">
        <v>-0.26</v>
      </c>
      <c r="E128" s="502">
        <v>1.2</v>
      </c>
      <c r="F128" s="502">
        <v>-0.5</v>
      </c>
      <c r="G128" s="502">
        <v>-0.3</v>
      </c>
      <c r="H128" s="502">
        <v>1.6</v>
      </c>
      <c r="I128" s="502">
        <v>-0.5</v>
      </c>
      <c r="J128" s="502">
        <v>-1.9</v>
      </c>
      <c r="K128" s="502">
        <v>-0.9</v>
      </c>
      <c r="L128" s="859"/>
      <c r="M128" s="502">
        <v>1.034</v>
      </c>
      <c r="N128" s="502">
        <v>0.2</v>
      </c>
      <c r="O128" s="1153">
        <v>1.1000000000000001</v>
      </c>
      <c r="P128" s="1153">
        <v>-0.7</v>
      </c>
      <c r="Q128" s="1153">
        <v>-0.6</v>
      </c>
      <c r="R128" s="1153">
        <v>0</v>
      </c>
      <c r="S128" s="1153">
        <v>-0.5</v>
      </c>
      <c r="T128" s="1153">
        <v>-0.2</v>
      </c>
      <c r="U128" s="859"/>
      <c r="V128" s="649">
        <v>-0.13</v>
      </c>
      <c r="W128" s="1153">
        <v>-0.1</v>
      </c>
      <c r="X128" s="1153">
        <v>-1</v>
      </c>
      <c r="Y128" s="1153">
        <v>1.52</v>
      </c>
      <c r="Z128" s="1153">
        <v>0.4</v>
      </c>
      <c r="AA128" s="1153">
        <v>-1.1000000000000001</v>
      </c>
      <c r="AB128" s="1153">
        <v>0.2</v>
      </c>
      <c r="AC128" s="1153">
        <v>1</v>
      </c>
      <c r="AD128" s="214"/>
    </row>
    <row r="129" spans="1:30" ht="14.25">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3">
        <v>0.1</v>
      </c>
      <c r="P129" s="1153">
        <v>1.6</v>
      </c>
      <c r="Q129" s="1153">
        <v>0.8</v>
      </c>
      <c r="R129" s="1153">
        <v>0.8</v>
      </c>
      <c r="S129" s="1153">
        <v>1.3</v>
      </c>
      <c r="T129" s="1153">
        <v>0.5</v>
      </c>
      <c r="U129" s="859"/>
      <c r="V129" s="649">
        <v>-0.06</v>
      </c>
      <c r="W129" s="1153">
        <v>-0.5</v>
      </c>
      <c r="X129" s="1153">
        <v>1.1000000000000001</v>
      </c>
      <c r="Y129" s="1153">
        <v>-1.1000000000000001</v>
      </c>
      <c r="Z129" s="1153">
        <v>-0.3</v>
      </c>
      <c r="AA129" s="1153">
        <v>1.1000000000000001</v>
      </c>
      <c r="AB129" s="1153">
        <v>0.3</v>
      </c>
      <c r="AC129" s="1153">
        <v>-1.6</v>
      </c>
      <c r="AD129" s="214"/>
    </row>
    <row r="130" spans="1:30" ht="14.25">
      <c r="A130" s="499"/>
      <c r="B130" s="500" t="s">
        <v>141</v>
      </c>
      <c r="C130" s="501">
        <v>4</v>
      </c>
      <c r="D130" s="655">
        <v>-0.15</v>
      </c>
      <c r="E130" s="502">
        <v>0.5</v>
      </c>
      <c r="F130" s="502">
        <v>0</v>
      </c>
      <c r="G130" s="502">
        <v>-0.5</v>
      </c>
      <c r="H130" s="502">
        <v>-0.4</v>
      </c>
      <c r="I130" s="502">
        <v>1</v>
      </c>
      <c r="J130" s="502">
        <v>0.2</v>
      </c>
      <c r="K130" s="502">
        <v>0</v>
      </c>
      <c r="L130" s="859"/>
      <c r="M130" s="502">
        <v>0.56899999999999995</v>
      </c>
      <c r="N130" s="502">
        <v>0.3</v>
      </c>
      <c r="O130" s="1153">
        <v>-1.2</v>
      </c>
      <c r="P130" s="1153">
        <v>-2.5</v>
      </c>
      <c r="Q130" s="1153">
        <v>-0.7</v>
      </c>
      <c r="R130" s="1153">
        <v>-0.8</v>
      </c>
      <c r="S130" s="1153">
        <v>-0.9</v>
      </c>
      <c r="T130" s="1153">
        <v>-0.4</v>
      </c>
      <c r="U130" s="859"/>
      <c r="V130" s="649">
        <v>-0.09</v>
      </c>
      <c r="W130" s="1153">
        <v>-0.8</v>
      </c>
      <c r="X130" s="1153">
        <v>-1.3</v>
      </c>
      <c r="Y130" s="1153">
        <v>-0.04</v>
      </c>
      <c r="Z130" s="1153">
        <v>0.2</v>
      </c>
      <c r="AA130" s="1153">
        <v>1.5</v>
      </c>
      <c r="AB130" s="1153">
        <v>-0.1</v>
      </c>
      <c r="AC130" s="1153">
        <v>0.5</v>
      </c>
      <c r="AD130" s="214"/>
    </row>
    <row r="131" spans="1:30" ht="14.25">
      <c r="A131" s="499"/>
      <c r="B131" s="500" t="s">
        <v>141</v>
      </c>
      <c r="C131" s="501">
        <v>5</v>
      </c>
      <c r="D131" s="655">
        <v>7.0000000000000007E-2</v>
      </c>
      <c r="E131" s="502">
        <v>1.7</v>
      </c>
      <c r="F131" s="502">
        <v>-1</v>
      </c>
      <c r="G131" s="502">
        <v>0.9</v>
      </c>
      <c r="H131" s="502">
        <v>-0.1</v>
      </c>
      <c r="I131" s="502">
        <v>0.3</v>
      </c>
      <c r="J131" s="502">
        <v>-0.6</v>
      </c>
      <c r="K131" s="502">
        <v>0</v>
      </c>
      <c r="L131" s="859"/>
      <c r="M131" s="502">
        <v>1.419</v>
      </c>
      <c r="N131" s="502">
        <v>-0.1</v>
      </c>
      <c r="O131" s="1153">
        <v>0.3</v>
      </c>
      <c r="P131" s="1153">
        <v>0.6</v>
      </c>
      <c r="Q131" s="1153">
        <v>0.3</v>
      </c>
      <c r="R131" s="1153">
        <v>0.7</v>
      </c>
      <c r="S131" s="1153">
        <v>0.2</v>
      </c>
      <c r="T131" s="1153">
        <v>1.6</v>
      </c>
      <c r="U131" s="859"/>
      <c r="V131" s="649">
        <v>0.05</v>
      </c>
      <c r="W131" s="1153">
        <v>0</v>
      </c>
      <c r="X131" s="1153">
        <v>1.1000000000000001</v>
      </c>
      <c r="Y131" s="1153">
        <v>0.34</v>
      </c>
      <c r="Z131" s="1153">
        <v>-0.2</v>
      </c>
      <c r="AA131" s="1153">
        <v>-1.9</v>
      </c>
      <c r="AB131" s="1153">
        <v>-0.4</v>
      </c>
      <c r="AC131" s="1153">
        <v>-1.1000000000000001</v>
      </c>
      <c r="AD131" s="214"/>
    </row>
    <row r="132" spans="1:30" ht="14.25">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3">
        <v>2.2999999999999998</v>
      </c>
      <c r="P132" s="1153">
        <v>1.1000000000000001</v>
      </c>
      <c r="Q132" s="1153">
        <v>0.1</v>
      </c>
      <c r="R132" s="1153">
        <v>-0.5</v>
      </c>
      <c r="S132" s="1153">
        <v>0</v>
      </c>
      <c r="T132" s="1153">
        <v>-1.2</v>
      </c>
      <c r="U132" s="859"/>
      <c r="V132" s="649">
        <v>-0.02</v>
      </c>
      <c r="W132" s="1153">
        <v>0.2</v>
      </c>
      <c r="X132" s="1153">
        <v>1.2</v>
      </c>
      <c r="Y132" s="1153">
        <v>0.47</v>
      </c>
      <c r="Z132" s="1153">
        <v>0.2</v>
      </c>
      <c r="AA132" s="1153">
        <v>1.2</v>
      </c>
      <c r="AB132" s="1153">
        <v>-0.5</v>
      </c>
      <c r="AC132" s="1153">
        <v>1.6</v>
      </c>
      <c r="AD132" s="214"/>
    </row>
    <row r="133" spans="1:30" ht="14.25">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3">
        <v>-1.4</v>
      </c>
      <c r="P133" s="1153">
        <v>0.2</v>
      </c>
      <c r="Q133" s="1153">
        <v>0.2</v>
      </c>
      <c r="R133" s="1153">
        <v>0.8</v>
      </c>
      <c r="S133" s="1153">
        <v>0</v>
      </c>
      <c r="T133" s="1153">
        <v>-0.4</v>
      </c>
      <c r="U133" s="859"/>
      <c r="V133" s="649">
        <v>-0.02</v>
      </c>
      <c r="W133" s="1153">
        <v>0</v>
      </c>
      <c r="X133" s="1153">
        <v>0.4</v>
      </c>
      <c r="Y133" s="1153">
        <v>1.34</v>
      </c>
      <c r="Z133" s="1153">
        <v>0</v>
      </c>
      <c r="AA133" s="1153">
        <v>-0.5</v>
      </c>
      <c r="AB133" s="1153">
        <v>1</v>
      </c>
      <c r="AC133" s="1153">
        <v>2.2999999999999998</v>
      </c>
      <c r="AD133" s="214"/>
    </row>
    <row r="134" spans="1:30" ht="14.25">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3">
        <v>-0.8</v>
      </c>
      <c r="P134" s="1153">
        <v>-0.5</v>
      </c>
      <c r="Q134" s="1153">
        <v>0.1</v>
      </c>
      <c r="R134" s="1153">
        <v>0.9</v>
      </c>
      <c r="S134" s="1153">
        <v>0.4</v>
      </c>
      <c r="T134" s="1153">
        <v>1.1000000000000001</v>
      </c>
      <c r="U134" s="859"/>
      <c r="V134" s="649">
        <v>0.09</v>
      </c>
      <c r="W134" s="1153">
        <v>0.7</v>
      </c>
      <c r="X134" s="1153">
        <v>-0.6</v>
      </c>
      <c r="Y134" s="1153">
        <v>0.96</v>
      </c>
      <c r="Z134" s="1153">
        <v>-0.6</v>
      </c>
      <c r="AA134" s="1153">
        <v>0.6</v>
      </c>
      <c r="AB134" s="1153">
        <v>-0.6</v>
      </c>
      <c r="AC134" s="1153">
        <v>-2.4</v>
      </c>
      <c r="AD134" s="214"/>
    </row>
    <row r="135" spans="1:30" ht="14.25">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3">
        <v>0.1</v>
      </c>
      <c r="P135" s="1153">
        <v>1.1000000000000001</v>
      </c>
      <c r="Q135" s="1153">
        <v>0.9</v>
      </c>
      <c r="R135" s="1153">
        <v>0.3</v>
      </c>
      <c r="S135" s="1153">
        <v>1.1000000000000001</v>
      </c>
      <c r="T135" s="1153">
        <v>0.4</v>
      </c>
      <c r="U135" s="859"/>
      <c r="V135" s="649">
        <v>0.16</v>
      </c>
      <c r="W135" s="1153">
        <v>-0.4</v>
      </c>
      <c r="X135" s="1153">
        <v>1.3</v>
      </c>
      <c r="Y135" s="1153">
        <v>-0.4</v>
      </c>
      <c r="Z135" s="1153">
        <v>0.3</v>
      </c>
      <c r="AA135" s="1153">
        <v>-0.3</v>
      </c>
      <c r="AB135" s="1153">
        <v>1</v>
      </c>
      <c r="AC135" s="1153">
        <v>0.2</v>
      </c>
      <c r="AD135" s="214"/>
    </row>
    <row r="136" spans="1:30" ht="14.25">
      <c r="A136" s="499"/>
      <c r="B136" s="500" t="s">
        <v>141</v>
      </c>
      <c r="C136" s="501">
        <v>10</v>
      </c>
      <c r="D136" s="655">
        <v>7.0000000000000007E-2</v>
      </c>
      <c r="E136" s="502">
        <v>0.3</v>
      </c>
      <c r="F136" s="502">
        <v>0.9</v>
      </c>
      <c r="G136" s="502">
        <v>1</v>
      </c>
      <c r="H136" s="502">
        <v>0.9</v>
      </c>
      <c r="I136" s="502">
        <v>-0.2</v>
      </c>
      <c r="J136" s="502">
        <v>-1.4</v>
      </c>
      <c r="K136" s="502">
        <v>2.2999999999999998</v>
      </c>
      <c r="L136" s="859"/>
      <c r="M136" s="502">
        <v>0.46500000000000002</v>
      </c>
      <c r="N136" s="502">
        <v>0</v>
      </c>
      <c r="O136" s="1153">
        <v>0.9</v>
      </c>
      <c r="P136" s="1153">
        <v>-0.2</v>
      </c>
      <c r="Q136" s="1153">
        <v>0.4</v>
      </c>
      <c r="R136" s="1153">
        <v>0.4</v>
      </c>
      <c r="S136" s="1153">
        <v>0.7</v>
      </c>
      <c r="T136" s="1153">
        <v>0</v>
      </c>
      <c r="U136" s="859"/>
      <c r="V136" s="649">
        <v>0.08</v>
      </c>
      <c r="W136" s="1153">
        <v>0.6</v>
      </c>
      <c r="X136" s="1153">
        <v>-0.7</v>
      </c>
      <c r="Y136" s="1153">
        <v>0.61</v>
      </c>
      <c r="Z136" s="1153">
        <v>0.6</v>
      </c>
      <c r="AA136" s="1153">
        <v>0.2</v>
      </c>
      <c r="AB136" s="1153">
        <v>-0.9</v>
      </c>
      <c r="AC136" s="1153">
        <v>-0.2</v>
      </c>
      <c r="AD136" s="214"/>
    </row>
    <row r="137" spans="1:30" ht="14.25">
      <c r="A137" s="499"/>
      <c r="B137" s="500" t="s">
        <v>141</v>
      </c>
      <c r="C137" s="501">
        <v>11</v>
      </c>
      <c r="D137" s="655">
        <v>0.16</v>
      </c>
      <c r="E137" s="502">
        <v>-0.3</v>
      </c>
      <c r="F137" s="502">
        <v>-0.5</v>
      </c>
      <c r="G137" s="502">
        <v>-0.8</v>
      </c>
      <c r="H137" s="502">
        <v>-1.3</v>
      </c>
      <c r="I137" s="502">
        <v>0.1</v>
      </c>
      <c r="J137" s="502">
        <v>0.6</v>
      </c>
      <c r="K137" s="502">
        <v>2.4</v>
      </c>
      <c r="L137" s="859"/>
      <c r="M137" s="502">
        <v>0.97499999999999998</v>
      </c>
      <c r="N137" s="502">
        <v>1.1000000000000001</v>
      </c>
      <c r="O137" s="1153">
        <v>0.9</v>
      </c>
      <c r="P137" s="1153">
        <v>-0.3</v>
      </c>
      <c r="Q137" s="1153">
        <v>0.1</v>
      </c>
      <c r="R137" s="1153">
        <v>-0.4</v>
      </c>
      <c r="S137" s="1153">
        <v>0.1</v>
      </c>
      <c r="T137" s="1153">
        <v>-0.5</v>
      </c>
      <c r="U137" s="859"/>
      <c r="V137" s="649">
        <v>0.17</v>
      </c>
      <c r="W137" s="1153">
        <v>0.3</v>
      </c>
      <c r="X137" s="1153">
        <v>-0.2</v>
      </c>
      <c r="Y137" s="1153">
        <v>-7.0000000000000007E-2</v>
      </c>
      <c r="Z137" s="1153">
        <v>-0.8</v>
      </c>
      <c r="AA137" s="1153">
        <v>-0.2</v>
      </c>
      <c r="AB137" s="1153">
        <v>-0.3</v>
      </c>
      <c r="AC137" s="1153">
        <v>0.3</v>
      </c>
      <c r="AD137" s="214"/>
    </row>
    <row r="138" spans="1:30" ht="14.25">
      <c r="A138" s="507"/>
      <c r="B138" s="508" t="s">
        <v>141</v>
      </c>
      <c r="C138" s="509">
        <v>12</v>
      </c>
      <c r="D138" s="656">
        <v>0.12</v>
      </c>
      <c r="E138" s="510">
        <v>-1.4</v>
      </c>
      <c r="F138" s="510">
        <v>-0.7</v>
      </c>
      <c r="G138" s="510">
        <v>0.4</v>
      </c>
      <c r="H138" s="510">
        <v>0.8</v>
      </c>
      <c r="I138" s="510">
        <v>0.8</v>
      </c>
      <c r="J138" s="510">
        <v>1.7</v>
      </c>
      <c r="K138" s="510">
        <v>2.2999999999999998</v>
      </c>
      <c r="L138" s="860"/>
      <c r="M138" s="510">
        <v>-0.61399999999999999</v>
      </c>
      <c r="N138" s="510">
        <v>-0.2</v>
      </c>
      <c r="O138" s="1155">
        <v>-1.9</v>
      </c>
      <c r="P138" s="1155">
        <v>0.6</v>
      </c>
      <c r="Q138" s="1155">
        <v>0.5</v>
      </c>
      <c r="R138" s="1155">
        <v>1.5</v>
      </c>
      <c r="S138" s="1155">
        <v>0.3</v>
      </c>
      <c r="T138" s="1155">
        <v>1</v>
      </c>
      <c r="U138" s="860"/>
      <c r="V138" s="650">
        <v>0.15</v>
      </c>
      <c r="W138" s="1155">
        <v>0.2</v>
      </c>
      <c r="X138" s="1155">
        <v>0.7</v>
      </c>
      <c r="Y138" s="1155">
        <v>1.53</v>
      </c>
      <c r="Z138" s="1155">
        <v>0.1</v>
      </c>
      <c r="AA138" s="1155">
        <v>-0.6</v>
      </c>
      <c r="AB138" s="1155">
        <v>-0.3</v>
      </c>
      <c r="AC138" s="1155">
        <v>-0.1</v>
      </c>
      <c r="AD138" s="214"/>
    </row>
    <row r="139" spans="1:30" ht="14.25">
      <c r="A139" s="499" t="s">
        <v>374</v>
      </c>
      <c r="B139" s="500">
        <v>2004</v>
      </c>
      <c r="C139" s="501">
        <v>1</v>
      </c>
      <c r="D139" s="657">
        <v>0.19</v>
      </c>
      <c r="E139" s="502">
        <v>0.3</v>
      </c>
      <c r="F139" s="502">
        <v>1.7</v>
      </c>
      <c r="G139" s="502">
        <v>-0.7</v>
      </c>
      <c r="H139" s="502">
        <v>0.3</v>
      </c>
      <c r="I139" s="502">
        <v>-2.1</v>
      </c>
      <c r="J139" s="502">
        <v>-0.8</v>
      </c>
      <c r="K139" s="502">
        <v>1.1000000000000001</v>
      </c>
      <c r="L139" s="859"/>
      <c r="M139" s="502">
        <v>-0.59899999999999998</v>
      </c>
      <c r="N139" s="502">
        <v>0.5</v>
      </c>
      <c r="O139" s="1153">
        <v>-2.1</v>
      </c>
      <c r="P139" s="1153">
        <v>1.4</v>
      </c>
      <c r="Q139" s="1153">
        <v>-0.8</v>
      </c>
      <c r="R139" s="1153">
        <v>-2.1</v>
      </c>
      <c r="S139" s="1153">
        <v>0</v>
      </c>
      <c r="T139" s="1153">
        <v>0</v>
      </c>
      <c r="U139" s="859"/>
      <c r="V139" s="651">
        <v>0.17</v>
      </c>
      <c r="W139" s="1153">
        <v>-1.1000000000000001</v>
      </c>
      <c r="X139" s="1153">
        <v>0.8</v>
      </c>
      <c r="Y139" s="1153">
        <v>0.12</v>
      </c>
      <c r="Z139" s="1153">
        <v>0.4</v>
      </c>
      <c r="AA139" s="1153">
        <v>0.2</v>
      </c>
      <c r="AB139" s="1153">
        <v>0.7</v>
      </c>
      <c r="AC139" s="1153">
        <v>-0.4</v>
      </c>
      <c r="AD139" s="214"/>
    </row>
    <row r="140" spans="1:30" ht="14.25">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3">
        <v>-1.1000000000000001</v>
      </c>
      <c r="P140" s="1153">
        <v>0</v>
      </c>
      <c r="Q140" s="1153">
        <v>0.5</v>
      </c>
      <c r="R140" s="1153">
        <v>1.3</v>
      </c>
      <c r="S140" s="1153">
        <v>0.8</v>
      </c>
      <c r="T140" s="1153">
        <v>-0.1</v>
      </c>
      <c r="U140" s="859"/>
      <c r="V140" s="649">
        <v>0.21</v>
      </c>
      <c r="W140" s="1153">
        <v>-0.8</v>
      </c>
      <c r="X140" s="1153">
        <v>0.3</v>
      </c>
      <c r="Y140" s="1153">
        <v>-0.34</v>
      </c>
      <c r="Z140" s="1153">
        <v>0.3</v>
      </c>
      <c r="AA140" s="1153">
        <v>0.9</v>
      </c>
      <c r="AB140" s="1153">
        <v>-0.2</v>
      </c>
      <c r="AC140" s="1153">
        <v>0.9</v>
      </c>
      <c r="AD140" s="214"/>
    </row>
    <row r="141" spans="1:30" ht="14.25">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3">
        <v>0.6</v>
      </c>
      <c r="P141" s="1153">
        <v>0.9</v>
      </c>
      <c r="Q141" s="1153">
        <v>0.1</v>
      </c>
      <c r="R141" s="1153">
        <v>0</v>
      </c>
      <c r="S141" s="1153">
        <v>-0.1</v>
      </c>
      <c r="T141" s="1153">
        <v>0.1</v>
      </c>
      <c r="U141" s="859"/>
      <c r="V141" s="649">
        <v>0.13</v>
      </c>
      <c r="W141" s="1153">
        <v>1</v>
      </c>
      <c r="X141" s="1153">
        <v>0.4</v>
      </c>
      <c r="Y141" s="1153">
        <v>1.55</v>
      </c>
      <c r="Z141" s="1153">
        <v>-1.1000000000000001</v>
      </c>
      <c r="AA141" s="1153">
        <v>-0.8</v>
      </c>
      <c r="AB141" s="1153">
        <v>-0.5</v>
      </c>
      <c r="AC141" s="1153">
        <v>0.6</v>
      </c>
      <c r="AD141" s="214"/>
    </row>
    <row r="142" spans="1:30" ht="14.25">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3">
        <v>1.1000000000000001</v>
      </c>
      <c r="P142" s="1153">
        <v>-0.4</v>
      </c>
      <c r="Q142" s="1153">
        <v>1.2</v>
      </c>
      <c r="R142" s="1153">
        <v>0.1</v>
      </c>
      <c r="S142" s="1153">
        <v>0.5</v>
      </c>
      <c r="T142" s="1153">
        <v>0.5</v>
      </c>
      <c r="U142" s="859"/>
      <c r="V142" s="649">
        <v>0.21</v>
      </c>
      <c r="W142" s="1153">
        <v>1.2</v>
      </c>
      <c r="X142" s="1153">
        <v>0.1</v>
      </c>
      <c r="Y142" s="1153">
        <v>-0.23</v>
      </c>
      <c r="Z142" s="1153">
        <v>0</v>
      </c>
      <c r="AA142" s="1153">
        <v>0.6</v>
      </c>
      <c r="AB142" s="1153">
        <v>-0.3</v>
      </c>
      <c r="AC142" s="1153">
        <v>-1.2</v>
      </c>
      <c r="AD142" s="214"/>
    </row>
    <row r="143" spans="1:30" ht="14.25">
      <c r="A143" s="499"/>
      <c r="B143" s="500" t="s">
        <v>141</v>
      </c>
      <c r="C143" s="501">
        <v>5</v>
      </c>
      <c r="D143" s="655">
        <v>0.23</v>
      </c>
      <c r="E143" s="502">
        <v>0.1</v>
      </c>
      <c r="F143" s="502">
        <v>-0.6</v>
      </c>
      <c r="G143" s="502">
        <v>-0.8</v>
      </c>
      <c r="H143" s="502">
        <v>-0.1</v>
      </c>
      <c r="I143" s="502">
        <v>0.6</v>
      </c>
      <c r="J143" s="502">
        <v>0</v>
      </c>
      <c r="K143" s="502">
        <v>-1.3</v>
      </c>
      <c r="L143" s="859"/>
      <c r="M143" s="502">
        <v>-0.57599999999999996</v>
      </c>
      <c r="N143" s="502">
        <v>1.5</v>
      </c>
      <c r="O143" s="1153">
        <v>-0.6</v>
      </c>
      <c r="P143" s="1153">
        <v>-0.1</v>
      </c>
      <c r="Q143" s="1153">
        <v>-0.3</v>
      </c>
      <c r="R143" s="1153">
        <v>-0.5</v>
      </c>
      <c r="S143" s="1153">
        <v>0.3</v>
      </c>
      <c r="T143" s="1153">
        <v>0.2</v>
      </c>
      <c r="U143" s="859"/>
      <c r="V143" s="649">
        <v>0.21</v>
      </c>
      <c r="W143" s="1153">
        <v>0.7</v>
      </c>
      <c r="X143" s="1153">
        <v>-0.2</v>
      </c>
      <c r="Y143" s="1153">
        <v>0.95</v>
      </c>
      <c r="Z143" s="1153">
        <v>-0.1</v>
      </c>
      <c r="AA143" s="1153">
        <v>-0.2</v>
      </c>
      <c r="AB143" s="1153">
        <v>0.6</v>
      </c>
      <c r="AC143" s="1153">
        <v>-0.3</v>
      </c>
      <c r="AD143" s="214"/>
    </row>
    <row r="144" spans="1:30" ht="14.25">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3">
        <v>0.3</v>
      </c>
      <c r="P144" s="1153">
        <v>-0.2</v>
      </c>
      <c r="Q144" s="1153">
        <v>0.3</v>
      </c>
      <c r="R144" s="1153">
        <v>1.1000000000000001</v>
      </c>
      <c r="S144" s="1153">
        <v>-0.3</v>
      </c>
      <c r="T144" s="1153">
        <v>-0.1</v>
      </c>
      <c r="U144" s="859"/>
      <c r="V144" s="649">
        <v>0.2</v>
      </c>
      <c r="W144" s="1153">
        <v>-0.4</v>
      </c>
      <c r="X144" s="1153">
        <v>0</v>
      </c>
      <c r="Y144" s="1153">
        <v>-0.33</v>
      </c>
      <c r="Z144" s="1153">
        <v>0.1</v>
      </c>
      <c r="AA144" s="1153">
        <v>-1.6</v>
      </c>
      <c r="AB144" s="1153">
        <v>1.1000000000000001</v>
      </c>
      <c r="AC144" s="1153">
        <v>0.7</v>
      </c>
      <c r="AD144" s="214"/>
    </row>
    <row r="145" spans="1:30" ht="14.25">
      <c r="A145" s="499"/>
      <c r="B145" s="500" t="s">
        <v>141</v>
      </c>
      <c r="C145" s="501">
        <v>7</v>
      </c>
      <c r="D145" s="655">
        <v>0.21</v>
      </c>
      <c r="E145" s="502">
        <v>1.3</v>
      </c>
      <c r="F145" s="502">
        <v>0.6</v>
      </c>
      <c r="G145" s="502">
        <v>0.4</v>
      </c>
      <c r="H145" s="502">
        <v>0.3</v>
      </c>
      <c r="I145" s="502">
        <v>0.9</v>
      </c>
      <c r="J145" s="502">
        <v>-1.1000000000000001</v>
      </c>
      <c r="K145" s="502">
        <v>-0.2</v>
      </c>
      <c r="L145" s="859"/>
      <c r="M145" s="502">
        <v>2.0950000000000002</v>
      </c>
      <c r="N145" s="502">
        <v>0.6</v>
      </c>
      <c r="O145" s="1153">
        <v>-0.6</v>
      </c>
      <c r="P145" s="1153">
        <v>0.5</v>
      </c>
      <c r="Q145" s="1153">
        <v>0.2</v>
      </c>
      <c r="R145" s="1153">
        <v>-0.8</v>
      </c>
      <c r="S145" s="1153">
        <v>0.5</v>
      </c>
      <c r="T145" s="1153">
        <v>0.3</v>
      </c>
      <c r="U145" s="859"/>
      <c r="V145" s="649">
        <v>0.25</v>
      </c>
      <c r="W145" s="1153">
        <v>0.1</v>
      </c>
      <c r="X145" s="1153">
        <v>0.6</v>
      </c>
      <c r="Y145" s="1153">
        <v>-1.36</v>
      </c>
      <c r="Z145" s="1153">
        <v>1.3</v>
      </c>
      <c r="AA145" s="1153">
        <v>1.1000000000000001</v>
      </c>
      <c r="AB145" s="1153">
        <v>-0.5</v>
      </c>
      <c r="AC145" s="1153">
        <v>-0.1</v>
      </c>
      <c r="AD145" s="214"/>
    </row>
    <row r="146" spans="1:30" ht="14.25">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3">
        <v>0.7</v>
      </c>
      <c r="P146" s="1153">
        <v>0.2</v>
      </c>
      <c r="Q146" s="1153">
        <v>-0.2</v>
      </c>
      <c r="R146" s="1153">
        <v>-1.2</v>
      </c>
      <c r="S146" s="1153">
        <v>-0.2</v>
      </c>
      <c r="T146" s="1153">
        <v>-0.2</v>
      </c>
      <c r="U146" s="859"/>
      <c r="V146" s="649">
        <v>0.2</v>
      </c>
      <c r="W146" s="1153">
        <v>-0.7</v>
      </c>
      <c r="X146" s="1153">
        <v>0.1</v>
      </c>
      <c r="Y146" s="1153">
        <v>0.74</v>
      </c>
      <c r="Z146" s="1153">
        <v>0</v>
      </c>
      <c r="AA146" s="1153">
        <v>0</v>
      </c>
      <c r="AB146" s="1153">
        <v>0.2</v>
      </c>
      <c r="AC146" s="1153">
        <v>0.5</v>
      </c>
      <c r="AD146" s="214"/>
    </row>
    <row r="147" spans="1:30" ht="14.25">
      <c r="A147" s="499"/>
      <c r="B147" s="500" t="s">
        <v>141</v>
      </c>
      <c r="C147" s="501">
        <v>9</v>
      </c>
      <c r="D147" s="655">
        <v>0.12</v>
      </c>
      <c r="E147" s="502">
        <v>2.2000000000000002</v>
      </c>
      <c r="F147" s="502">
        <v>0.2</v>
      </c>
      <c r="G147" s="502">
        <v>0.4</v>
      </c>
      <c r="H147" s="502">
        <v>-0.8</v>
      </c>
      <c r="I147" s="502">
        <v>-0.9</v>
      </c>
      <c r="J147" s="502">
        <v>-1.1000000000000001</v>
      </c>
      <c r="K147" s="502">
        <v>-0.2</v>
      </c>
      <c r="L147" s="859"/>
      <c r="M147" s="502">
        <v>1.0009999999999999</v>
      </c>
      <c r="N147" s="502">
        <v>0.9</v>
      </c>
      <c r="O147" s="1153">
        <v>-0.7</v>
      </c>
      <c r="P147" s="1153">
        <v>-0.8</v>
      </c>
      <c r="Q147" s="1153">
        <v>-0.6</v>
      </c>
      <c r="R147" s="1153">
        <v>0.4</v>
      </c>
      <c r="S147" s="1153">
        <v>-0.8</v>
      </c>
      <c r="T147" s="1153">
        <v>-0.4</v>
      </c>
      <c r="U147" s="859"/>
      <c r="V147" s="649">
        <v>0.16</v>
      </c>
      <c r="W147" s="1153">
        <v>0.8</v>
      </c>
      <c r="X147" s="1153">
        <v>-0.9</v>
      </c>
      <c r="Y147" s="1153">
        <v>1.4</v>
      </c>
      <c r="Z147" s="1153">
        <v>-0.2</v>
      </c>
      <c r="AA147" s="1153">
        <v>-0.3</v>
      </c>
      <c r="AB147" s="1153">
        <v>0</v>
      </c>
      <c r="AC147" s="1153">
        <v>0</v>
      </c>
      <c r="AD147" s="214"/>
    </row>
    <row r="148" spans="1:30" ht="14.25">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3">
        <v>-0.6</v>
      </c>
      <c r="P148" s="1153">
        <v>-0.9</v>
      </c>
      <c r="Q148" s="1153">
        <v>-1.7</v>
      </c>
      <c r="R148" s="1153">
        <v>-0.7</v>
      </c>
      <c r="S148" s="1153">
        <v>-1.7</v>
      </c>
      <c r="T148" s="1153">
        <v>-0.1</v>
      </c>
      <c r="U148" s="859"/>
      <c r="V148" s="649">
        <v>0.13</v>
      </c>
      <c r="W148" s="1153">
        <v>-0.5</v>
      </c>
      <c r="X148" s="1153">
        <v>-0.5</v>
      </c>
      <c r="Y148" s="1153">
        <v>0.24</v>
      </c>
      <c r="Z148" s="1153">
        <v>0.2</v>
      </c>
      <c r="AA148" s="1153">
        <v>-0.1</v>
      </c>
      <c r="AB148" s="1153">
        <v>0.5</v>
      </c>
      <c r="AC148" s="1153">
        <v>-0.3</v>
      </c>
      <c r="AD148" s="214"/>
    </row>
    <row r="149" spans="1:30" ht="14.25">
      <c r="A149" s="499"/>
      <c r="B149" s="500" t="s">
        <v>141</v>
      </c>
      <c r="C149" s="501">
        <v>11</v>
      </c>
      <c r="D149" s="655">
        <v>0.12</v>
      </c>
      <c r="E149" s="502">
        <v>-2.2999999999999998</v>
      </c>
      <c r="F149" s="502">
        <v>-0.4</v>
      </c>
      <c r="G149" s="502">
        <v>1</v>
      </c>
      <c r="H149" s="502">
        <v>0.6</v>
      </c>
      <c r="I149" s="502">
        <v>-0.1</v>
      </c>
      <c r="J149" s="502">
        <v>1.7</v>
      </c>
      <c r="K149" s="502">
        <v>-0.4</v>
      </c>
      <c r="L149" s="859"/>
      <c r="M149" s="502">
        <v>-1.6160000000000001</v>
      </c>
      <c r="N149" s="502">
        <v>0.6</v>
      </c>
      <c r="O149" s="1153">
        <v>-0.4</v>
      </c>
      <c r="P149" s="1153">
        <v>-1</v>
      </c>
      <c r="Q149" s="1153">
        <v>0.9</v>
      </c>
      <c r="R149" s="1153">
        <v>1</v>
      </c>
      <c r="S149" s="1153">
        <v>1.3</v>
      </c>
      <c r="T149" s="1153">
        <v>0.1</v>
      </c>
      <c r="U149" s="859"/>
      <c r="V149" s="649">
        <v>0.15</v>
      </c>
      <c r="W149" s="1153">
        <v>-0.4</v>
      </c>
      <c r="X149" s="1153">
        <v>-0.7</v>
      </c>
      <c r="Y149" s="1153">
        <v>0.65</v>
      </c>
      <c r="Z149" s="1153">
        <v>-1</v>
      </c>
      <c r="AA149" s="1153">
        <v>-0.3</v>
      </c>
      <c r="AB149" s="1153">
        <v>0.6</v>
      </c>
      <c r="AC149" s="1153">
        <v>-0.5</v>
      </c>
      <c r="AD149" s="214"/>
    </row>
    <row r="150" spans="1:30" ht="14.25">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3">
        <v>0.6</v>
      </c>
      <c r="P150" s="1153">
        <v>2.1</v>
      </c>
      <c r="Q150" s="1153">
        <v>0.2</v>
      </c>
      <c r="R150" s="1153">
        <v>-0.2</v>
      </c>
      <c r="S150" s="1153">
        <v>0.1</v>
      </c>
      <c r="T150" s="1153">
        <v>0.8</v>
      </c>
      <c r="U150" s="859"/>
      <c r="V150" s="651">
        <v>0.12</v>
      </c>
      <c r="W150" s="1153">
        <v>-0.9</v>
      </c>
      <c r="X150" s="1153">
        <v>1.3</v>
      </c>
      <c r="Y150" s="1153">
        <v>0.3</v>
      </c>
      <c r="Z150" s="1153">
        <v>1</v>
      </c>
      <c r="AA150" s="1153">
        <v>0.3</v>
      </c>
      <c r="AB150" s="1153">
        <v>-0.9</v>
      </c>
      <c r="AC150" s="1153">
        <v>0.2</v>
      </c>
      <c r="AD150" s="214"/>
    </row>
    <row r="151" spans="1:30" ht="14.25">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4">
        <v>0.4</v>
      </c>
      <c r="P151" s="1154">
        <v>-1</v>
      </c>
      <c r="Q151" s="1154">
        <v>0.8</v>
      </c>
      <c r="R151" s="1154">
        <v>0</v>
      </c>
      <c r="S151" s="1154">
        <v>-0.6</v>
      </c>
      <c r="T151" s="1154">
        <v>-0.6</v>
      </c>
      <c r="U151" s="858"/>
      <c r="V151" s="648">
        <v>0.17</v>
      </c>
      <c r="W151" s="1154">
        <v>2.1</v>
      </c>
      <c r="X151" s="1154">
        <v>-0.6</v>
      </c>
      <c r="Y151" s="1154">
        <v>-0.03</v>
      </c>
      <c r="Z151" s="1154">
        <v>0.1</v>
      </c>
      <c r="AA151" s="1154">
        <v>-0.5</v>
      </c>
      <c r="AB151" s="1154">
        <v>-0.9</v>
      </c>
      <c r="AC151" s="1154">
        <v>2.1</v>
      </c>
      <c r="AD151" s="214"/>
    </row>
    <row r="152" spans="1:30" ht="14.25">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3">
        <v>-0.9</v>
      </c>
      <c r="P152" s="1153">
        <v>0</v>
      </c>
      <c r="Q152" s="1153">
        <v>-0.1</v>
      </c>
      <c r="R152" s="1153">
        <v>0.1</v>
      </c>
      <c r="S152" s="1153">
        <v>0</v>
      </c>
      <c r="T152" s="1153">
        <v>0.6</v>
      </c>
      <c r="U152" s="859"/>
      <c r="V152" s="649">
        <v>0.15</v>
      </c>
      <c r="W152" s="1153">
        <v>0.1</v>
      </c>
      <c r="X152" s="1153">
        <v>1</v>
      </c>
      <c r="Y152" s="1153">
        <v>-1.2</v>
      </c>
      <c r="Z152" s="1153">
        <v>-0.6</v>
      </c>
      <c r="AA152" s="1153">
        <v>0.3</v>
      </c>
      <c r="AB152" s="1153">
        <v>-0.3</v>
      </c>
      <c r="AC152" s="1153">
        <v>-2.5</v>
      </c>
      <c r="AD152" s="214"/>
    </row>
    <row r="153" spans="1:30" ht="14.25">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3">
        <v>0.7</v>
      </c>
      <c r="P153" s="1153">
        <v>-0.4</v>
      </c>
      <c r="Q153" s="1153">
        <v>-1.4</v>
      </c>
      <c r="R153" s="1153">
        <v>-0.7</v>
      </c>
      <c r="S153" s="1153">
        <v>-1.5</v>
      </c>
      <c r="T153" s="1153">
        <v>0.5</v>
      </c>
      <c r="U153" s="859"/>
      <c r="V153" s="649">
        <v>0.13</v>
      </c>
      <c r="W153" s="1153">
        <v>-0.6</v>
      </c>
      <c r="X153" s="1153">
        <v>-0.6</v>
      </c>
      <c r="Y153" s="1153">
        <v>0.77</v>
      </c>
      <c r="Z153" s="1153">
        <v>0.3</v>
      </c>
      <c r="AA153" s="1153">
        <v>0.5</v>
      </c>
      <c r="AB153" s="1153">
        <v>0.2</v>
      </c>
      <c r="AC153" s="1153">
        <v>0</v>
      </c>
      <c r="AD153" s="214"/>
    </row>
    <row r="154" spans="1:30" ht="14.25">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3">
        <v>0.4</v>
      </c>
      <c r="P154" s="1153">
        <v>-0.1</v>
      </c>
      <c r="Q154" s="1153">
        <v>-0.2</v>
      </c>
      <c r="R154" s="1153">
        <v>0.3</v>
      </c>
      <c r="S154" s="1153">
        <v>-0.2</v>
      </c>
      <c r="T154" s="1153">
        <v>-0.1</v>
      </c>
      <c r="U154" s="859"/>
      <c r="V154" s="649">
        <v>0.12</v>
      </c>
      <c r="W154" s="1153">
        <v>0.7</v>
      </c>
      <c r="X154" s="1153">
        <v>-0.4</v>
      </c>
      <c r="Y154" s="1153">
        <v>0.28999999999999998</v>
      </c>
      <c r="Z154" s="1153">
        <v>0.6</v>
      </c>
      <c r="AA154" s="1153">
        <v>-0.8</v>
      </c>
      <c r="AB154" s="1153">
        <v>0.8</v>
      </c>
      <c r="AC154" s="1153">
        <v>-0.4</v>
      </c>
      <c r="AD154" s="214"/>
    </row>
    <row r="155" spans="1:30" ht="14.25">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3">
        <v>0.9</v>
      </c>
      <c r="P155" s="1153">
        <v>0.4</v>
      </c>
      <c r="Q155" s="1153">
        <v>0.4</v>
      </c>
      <c r="R155" s="1153">
        <v>0.2</v>
      </c>
      <c r="S155" s="1153">
        <v>0.4</v>
      </c>
      <c r="T155" s="1153">
        <v>-0.7</v>
      </c>
      <c r="U155" s="859"/>
      <c r="V155" s="649">
        <v>0.03</v>
      </c>
      <c r="W155" s="1153">
        <v>-0.4</v>
      </c>
      <c r="X155" s="1153">
        <v>0</v>
      </c>
      <c r="Y155" s="1153">
        <v>-0.35</v>
      </c>
      <c r="Z155" s="1153">
        <v>0</v>
      </c>
      <c r="AA155" s="1153">
        <v>0.5</v>
      </c>
      <c r="AB155" s="1153">
        <v>-0.9</v>
      </c>
      <c r="AC155" s="1153">
        <v>0.7</v>
      </c>
      <c r="AD155" s="214"/>
    </row>
    <row r="156" spans="1:30" ht="14.25">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3">
        <v>-0.3</v>
      </c>
      <c r="P156" s="1153">
        <v>0.3</v>
      </c>
      <c r="Q156" s="1153">
        <v>-0.3</v>
      </c>
      <c r="R156" s="1153">
        <v>-0.9</v>
      </c>
      <c r="S156" s="1153">
        <v>-0.3</v>
      </c>
      <c r="T156" s="1153">
        <v>1.5</v>
      </c>
      <c r="U156" s="859"/>
      <c r="V156" s="649">
        <v>0.13</v>
      </c>
      <c r="W156" s="1153">
        <v>-0.2</v>
      </c>
      <c r="X156" s="1153">
        <v>1.4</v>
      </c>
      <c r="Y156" s="1153">
        <v>1.87</v>
      </c>
      <c r="Z156" s="1153">
        <v>-0.2</v>
      </c>
      <c r="AA156" s="1153">
        <v>-0.2</v>
      </c>
      <c r="AB156" s="1153">
        <v>-0.7</v>
      </c>
      <c r="AC156" s="1153">
        <v>-0.5</v>
      </c>
      <c r="AD156" s="214"/>
    </row>
    <row r="157" spans="1:30" ht="14.25">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3">
        <v>0.3</v>
      </c>
      <c r="P157" s="1153">
        <v>-0.5</v>
      </c>
      <c r="Q157" s="1153">
        <v>0</v>
      </c>
      <c r="R157" s="1153">
        <v>-0.4</v>
      </c>
      <c r="S157" s="1153">
        <v>0</v>
      </c>
      <c r="T157" s="1153">
        <v>-0.6</v>
      </c>
      <c r="U157" s="859"/>
      <c r="V157" s="649">
        <v>0</v>
      </c>
      <c r="W157" s="1153">
        <v>0</v>
      </c>
      <c r="X157" s="1153">
        <v>-1.8</v>
      </c>
      <c r="Y157" s="1153">
        <v>-1.37</v>
      </c>
      <c r="Z157" s="1153">
        <v>-0.1</v>
      </c>
      <c r="AA157" s="1153">
        <v>0</v>
      </c>
      <c r="AB157" s="1153">
        <v>0.5</v>
      </c>
      <c r="AC157" s="1153">
        <v>0.2</v>
      </c>
      <c r="AD157" s="214"/>
    </row>
    <row r="158" spans="1:30" ht="14.25">
      <c r="A158" s="499"/>
      <c r="B158" s="500" t="s">
        <v>141</v>
      </c>
      <c r="C158" s="501">
        <v>8</v>
      </c>
      <c r="D158" s="655">
        <v>0.1</v>
      </c>
      <c r="E158" s="502">
        <v>1.8</v>
      </c>
      <c r="F158" s="502">
        <v>0.1</v>
      </c>
      <c r="G158" s="502">
        <v>-1.1000000000000001</v>
      </c>
      <c r="H158" s="502">
        <v>-0.3</v>
      </c>
      <c r="I158" s="502">
        <v>-0.3</v>
      </c>
      <c r="J158" s="502">
        <v>2</v>
      </c>
      <c r="K158" s="502">
        <v>1</v>
      </c>
      <c r="L158" s="859"/>
      <c r="M158" s="502">
        <v>1.6040000000000001</v>
      </c>
      <c r="N158" s="502">
        <v>0</v>
      </c>
      <c r="O158" s="1153">
        <v>0.3</v>
      </c>
      <c r="P158" s="1153">
        <v>0.4</v>
      </c>
      <c r="Q158" s="1153">
        <v>0.7</v>
      </c>
      <c r="R158" s="1153">
        <v>1.1000000000000001</v>
      </c>
      <c r="S158" s="1153">
        <v>0.9</v>
      </c>
      <c r="T158" s="1153">
        <v>0.2</v>
      </c>
      <c r="U158" s="859"/>
      <c r="V158" s="649">
        <v>0.05</v>
      </c>
      <c r="W158" s="1153">
        <v>0.7</v>
      </c>
      <c r="X158" s="1153">
        <v>0.7</v>
      </c>
      <c r="Y158" s="1153">
        <v>0.95</v>
      </c>
      <c r="Z158" s="1153">
        <v>0.2</v>
      </c>
      <c r="AA158" s="1153">
        <v>-0.3</v>
      </c>
      <c r="AB158" s="1153">
        <v>0</v>
      </c>
      <c r="AC158" s="1153">
        <v>-0.4</v>
      </c>
      <c r="AD158" s="214"/>
    </row>
    <row r="159" spans="1:30" ht="14.25">
      <c r="A159" s="499"/>
      <c r="B159" s="500" t="s">
        <v>141</v>
      </c>
      <c r="C159" s="501">
        <v>9</v>
      </c>
      <c r="D159" s="655">
        <v>-0.03</v>
      </c>
      <c r="E159" s="502">
        <v>-0.8</v>
      </c>
      <c r="F159" s="502">
        <v>0.3</v>
      </c>
      <c r="G159" s="502">
        <v>0.6</v>
      </c>
      <c r="H159" s="502">
        <v>0.6</v>
      </c>
      <c r="I159" s="502">
        <v>1.9</v>
      </c>
      <c r="J159" s="502">
        <v>-0.4</v>
      </c>
      <c r="K159" s="502">
        <v>1</v>
      </c>
      <c r="L159" s="859"/>
      <c r="M159" s="502">
        <v>1.073</v>
      </c>
      <c r="N159" s="502">
        <v>0.9</v>
      </c>
      <c r="O159" s="1153">
        <v>0.2</v>
      </c>
      <c r="P159" s="1153">
        <v>-0.5</v>
      </c>
      <c r="Q159" s="1153">
        <v>-1.4</v>
      </c>
      <c r="R159" s="1153">
        <v>-0.2</v>
      </c>
      <c r="S159" s="1153">
        <v>-1.5</v>
      </c>
      <c r="T159" s="1153">
        <v>-0.2</v>
      </c>
      <c r="U159" s="859"/>
      <c r="V159" s="649">
        <v>0.04</v>
      </c>
      <c r="W159" s="1153">
        <v>-0.7</v>
      </c>
      <c r="X159" s="1153">
        <v>-0.7</v>
      </c>
      <c r="Y159" s="1153">
        <v>0.86</v>
      </c>
      <c r="Z159" s="1153">
        <v>-0.1</v>
      </c>
      <c r="AA159" s="1153">
        <v>0.6</v>
      </c>
      <c r="AB159" s="1153">
        <v>0.2</v>
      </c>
      <c r="AC159" s="1153">
        <v>-0.2</v>
      </c>
      <c r="AD159" s="214"/>
    </row>
    <row r="160" spans="1:30" ht="14.25">
      <c r="A160" s="499"/>
      <c r="B160" s="500" t="s">
        <v>141</v>
      </c>
      <c r="C160" s="501">
        <v>10</v>
      </c>
      <c r="D160" s="655">
        <v>-0.01</v>
      </c>
      <c r="E160" s="502">
        <v>0.1</v>
      </c>
      <c r="F160" s="502">
        <v>0.3</v>
      </c>
      <c r="G160" s="502">
        <v>0.6</v>
      </c>
      <c r="H160" s="502">
        <v>-0.9</v>
      </c>
      <c r="I160" s="502">
        <v>-1</v>
      </c>
      <c r="J160" s="502">
        <v>0</v>
      </c>
      <c r="K160" s="502">
        <v>1.4</v>
      </c>
      <c r="L160" s="859"/>
      <c r="M160" s="502">
        <v>0.54100000000000004</v>
      </c>
      <c r="N160" s="502">
        <v>0.2</v>
      </c>
      <c r="O160" s="1153">
        <v>0.2</v>
      </c>
      <c r="P160" s="1153">
        <v>1.3</v>
      </c>
      <c r="Q160" s="1153">
        <v>1.8</v>
      </c>
      <c r="R160" s="1153">
        <v>0.4</v>
      </c>
      <c r="S160" s="1153">
        <v>1.9</v>
      </c>
      <c r="T160" s="1153">
        <v>-0.6</v>
      </c>
      <c r="U160" s="859"/>
      <c r="V160" s="649">
        <v>0</v>
      </c>
      <c r="W160" s="1153">
        <v>0.5</v>
      </c>
      <c r="X160" s="1153">
        <v>0.4</v>
      </c>
      <c r="Y160" s="1153">
        <v>-1.87</v>
      </c>
      <c r="Z160" s="1153">
        <v>-0.3</v>
      </c>
      <c r="AA160" s="1153">
        <v>-0.1</v>
      </c>
      <c r="AB160" s="1153">
        <v>0.1</v>
      </c>
      <c r="AC160" s="1153">
        <v>0.3</v>
      </c>
      <c r="AD160" s="214"/>
    </row>
    <row r="161" spans="1:30" ht="14.25">
      <c r="A161" s="499"/>
      <c r="B161" s="500" t="s">
        <v>141</v>
      </c>
      <c r="C161" s="501">
        <v>11</v>
      </c>
      <c r="D161" s="655">
        <v>7.0000000000000007E-2</v>
      </c>
      <c r="E161" s="502">
        <v>0.8</v>
      </c>
      <c r="F161" s="502">
        <v>0.3</v>
      </c>
      <c r="G161" s="502">
        <v>1.5</v>
      </c>
      <c r="H161" s="502">
        <v>-0.2</v>
      </c>
      <c r="I161" s="502">
        <v>0.1</v>
      </c>
      <c r="J161" s="502">
        <v>0</v>
      </c>
      <c r="K161" s="502">
        <v>1.4</v>
      </c>
      <c r="L161" s="859"/>
      <c r="M161" s="502">
        <v>1.1020000000000001</v>
      </c>
      <c r="N161" s="502">
        <v>0.4</v>
      </c>
      <c r="O161" s="1153">
        <v>-0.4</v>
      </c>
      <c r="P161" s="1153">
        <v>-0.4</v>
      </c>
      <c r="Q161" s="1153">
        <v>0.8</v>
      </c>
      <c r="R161" s="1153">
        <v>0.7</v>
      </c>
      <c r="S161" s="1153">
        <v>0.6</v>
      </c>
      <c r="T161" s="1153">
        <v>1.8</v>
      </c>
      <c r="U161" s="859"/>
      <c r="V161" s="649">
        <v>0.12</v>
      </c>
      <c r="W161" s="1153">
        <v>-0.5</v>
      </c>
      <c r="X161" s="1153">
        <v>1.2</v>
      </c>
      <c r="Y161" s="1153">
        <v>-0.87</v>
      </c>
      <c r="Z161" s="1153">
        <v>1.6</v>
      </c>
      <c r="AA161" s="1153">
        <v>-0.5</v>
      </c>
      <c r="AB161" s="1153">
        <v>-0.5</v>
      </c>
      <c r="AC161" s="1153">
        <v>0.5</v>
      </c>
      <c r="AD161" s="214"/>
    </row>
    <row r="162" spans="1:30" ht="14.25">
      <c r="A162" s="507"/>
      <c r="B162" s="508" t="s">
        <v>141</v>
      </c>
      <c r="C162" s="509">
        <v>12</v>
      </c>
      <c r="D162" s="656">
        <v>0.04</v>
      </c>
      <c r="E162" s="510">
        <v>1.3</v>
      </c>
      <c r="F162" s="510">
        <v>-0.5</v>
      </c>
      <c r="G162" s="510">
        <v>2.8</v>
      </c>
      <c r="H162" s="510">
        <v>-1.6</v>
      </c>
      <c r="I162" s="510">
        <v>-2</v>
      </c>
      <c r="J162" s="510">
        <v>-0.4</v>
      </c>
      <c r="K162" s="510">
        <v>1.3</v>
      </c>
      <c r="L162" s="860"/>
      <c r="M162" s="510">
        <v>2.7050000000000001</v>
      </c>
      <c r="N162" s="510">
        <v>0.4</v>
      </c>
      <c r="O162" s="1155">
        <v>-0.6</v>
      </c>
      <c r="P162" s="1155">
        <v>-0.6</v>
      </c>
      <c r="Q162" s="1155">
        <v>-0.5</v>
      </c>
      <c r="R162" s="1155">
        <v>-0.4</v>
      </c>
      <c r="S162" s="1155">
        <v>-0.7</v>
      </c>
      <c r="T162" s="1155">
        <v>-0.7</v>
      </c>
      <c r="U162" s="860"/>
      <c r="V162" s="650">
        <v>0.09</v>
      </c>
      <c r="W162" s="1155">
        <v>-0.3</v>
      </c>
      <c r="X162" s="1155">
        <v>-1.5</v>
      </c>
      <c r="Y162" s="1155">
        <v>1.2</v>
      </c>
      <c r="Z162" s="1155">
        <v>-0.6</v>
      </c>
      <c r="AA162" s="1155">
        <v>0.4</v>
      </c>
      <c r="AB162" s="1155">
        <v>0.8</v>
      </c>
      <c r="AC162" s="1155">
        <v>-0.2</v>
      </c>
      <c r="AD162" s="214"/>
    </row>
    <row r="163" spans="1:30" ht="14.25">
      <c r="A163" s="499" t="s">
        <v>376</v>
      </c>
      <c r="B163" s="500">
        <v>2006</v>
      </c>
      <c r="C163" s="501">
        <v>1</v>
      </c>
      <c r="D163" s="657">
        <v>0.05</v>
      </c>
      <c r="E163" s="502">
        <v>0.2</v>
      </c>
      <c r="F163" s="502">
        <v>-0.3</v>
      </c>
      <c r="G163" s="502">
        <v>-0.9</v>
      </c>
      <c r="H163" s="502">
        <v>2.7</v>
      </c>
      <c r="I163" s="502">
        <v>2.8</v>
      </c>
      <c r="J163" s="502">
        <v>1.2</v>
      </c>
      <c r="K163" s="502">
        <v>-0.2</v>
      </c>
      <c r="L163" s="859"/>
      <c r="M163" s="502">
        <v>1.633</v>
      </c>
      <c r="N163" s="502">
        <v>0.4</v>
      </c>
      <c r="O163" s="1153">
        <v>0.6</v>
      </c>
      <c r="P163" s="1153">
        <v>0.2</v>
      </c>
      <c r="Q163" s="1153">
        <v>0.4</v>
      </c>
      <c r="R163" s="1153">
        <v>-0.7</v>
      </c>
      <c r="S163" s="1153">
        <v>0</v>
      </c>
      <c r="T163" s="1153">
        <v>0.8</v>
      </c>
      <c r="U163" s="859"/>
      <c r="V163" s="651">
        <v>0.1</v>
      </c>
      <c r="W163" s="1153">
        <v>0.9</v>
      </c>
      <c r="X163" s="1153">
        <v>0.5</v>
      </c>
      <c r="Y163" s="1153">
        <v>-0.4</v>
      </c>
      <c r="Z163" s="1153">
        <v>-0.2</v>
      </c>
      <c r="AA163" s="1153">
        <v>0.3</v>
      </c>
      <c r="AB163" s="1153">
        <v>1</v>
      </c>
      <c r="AC163" s="1153">
        <v>-0.2</v>
      </c>
      <c r="AD163" s="214"/>
    </row>
    <row r="164" spans="1:30" ht="14.25">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3">
        <v>-0.2</v>
      </c>
      <c r="P164" s="1153">
        <v>-0.4</v>
      </c>
      <c r="Q164" s="1153">
        <v>0.1</v>
      </c>
      <c r="R164" s="1153">
        <v>0.8</v>
      </c>
      <c r="S164" s="1153">
        <v>-0.1</v>
      </c>
      <c r="T164" s="1153">
        <v>0.7</v>
      </c>
      <c r="U164" s="859"/>
      <c r="V164" s="649">
        <v>0.21</v>
      </c>
      <c r="W164" s="1153">
        <v>1</v>
      </c>
      <c r="X164" s="1153">
        <v>-0.9</v>
      </c>
      <c r="Y164" s="1153">
        <v>2.44</v>
      </c>
      <c r="Z164" s="1153">
        <v>0.2</v>
      </c>
      <c r="AA164" s="1153">
        <v>-1.1000000000000001</v>
      </c>
      <c r="AB164" s="1153">
        <v>0.3</v>
      </c>
      <c r="AC164" s="1153">
        <v>-0.3</v>
      </c>
      <c r="AD164" s="214"/>
    </row>
    <row r="165" spans="1:30" ht="14.25">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3">
        <v>0</v>
      </c>
      <c r="P165" s="1153">
        <v>0.4</v>
      </c>
      <c r="Q165" s="1153">
        <v>0.4</v>
      </c>
      <c r="R165" s="1153">
        <v>0</v>
      </c>
      <c r="S165" s="1153">
        <v>0.2</v>
      </c>
      <c r="T165" s="1153">
        <v>-0.7</v>
      </c>
      <c r="U165" s="859"/>
      <c r="V165" s="649">
        <v>0.27</v>
      </c>
      <c r="W165" s="1153">
        <v>-0.2</v>
      </c>
      <c r="X165" s="1153">
        <v>0.6</v>
      </c>
      <c r="Y165" s="1153">
        <v>-0.27</v>
      </c>
      <c r="Z165" s="1153">
        <v>0.8</v>
      </c>
      <c r="AA165" s="1153">
        <v>0.3</v>
      </c>
      <c r="AB165" s="1153">
        <v>-0.1</v>
      </c>
      <c r="AC165" s="1153">
        <v>0.5</v>
      </c>
      <c r="AD165" s="214"/>
    </row>
    <row r="166" spans="1:30" ht="14.25">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3">
        <v>-0.4</v>
      </c>
      <c r="P166" s="1153">
        <v>1.1000000000000001</v>
      </c>
      <c r="Q166" s="1153">
        <v>0.6</v>
      </c>
      <c r="R166" s="1153">
        <v>1.3</v>
      </c>
      <c r="S166" s="1153">
        <v>0.7</v>
      </c>
      <c r="T166" s="1153">
        <v>0.7</v>
      </c>
      <c r="U166" s="859"/>
      <c r="V166" s="649">
        <v>0.19</v>
      </c>
      <c r="W166" s="1153">
        <v>-0.4</v>
      </c>
      <c r="X166" s="1153">
        <v>0.3</v>
      </c>
      <c r="Y166" s="1153">
        <v>0.16</v>
      </c>
      <c r="Z166" s="1153">
        <v>-0.7</v>
      </c>
      <c r="AA166" s="1153">
        <v>1</v>
      </c>
      <c r="AB166" s="1153">
        <v>-0.6</v>
      </c>
      <c r="AC166" s="1153">
        <v>0.2</v>
      </c>
      <c r="AD166" s="214"/>
    </row>
    <row r="167" spans="1:30" ht="14.25">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3">
        <v>0.2</v>
      </c>
      <c r="P167" s="1153">
        <v>-0.3</v>
      </c>
      <c r="Q167" s="1153">
        <v>-0.7</v>
      </c>
      <c r="R167" s="1153">
        <v>-0.4</v>
      </c>
      <c r="S167" s="1153">
        <v>-0.7</v>
      </c>
      <c r="T167" s="1153">
        <v>-1.4</v>
      </c>
      <c r="U167" s="859"/>
      <c r="V167" s="649">
        <v>0.2</v>
      </c>
      <c r="W167" s="1153">
        <v>0.4</v>
      </c>
      <c r="X167" s="1153">
        <v>0.3</v>
      </c>
      <c r="Y167" s="1153">
        <v>0.14000000000000001</v>
      </c>
      <c r="Z167" s="1153">
        <v>0.5</v>
      </c>
      <c r="AA167" s="1153">
        <v>-0.8</v>
      </c>
      <c r="AB167" s="1153">
        <v>0.3</v>
      </c>
      <c r="AC167" s="1153">
        <v>1.2</v>
      </c>
      <c r="AD167" s="214"/>
    </row>
    <row r="168" spans="1:30" ht="14.25">
      <c r="A168" s="499"/>
      <c r="B168" s="500" t="s">
        <v>141</v>
      </c>
      <c r="C168" s="501">
        <v>6</v>
      </c>
      <c r="D168" s="655">
        <v>0.19</v>
      </c>
      <c r="E168" s="502">
        <v>-0.7</v>
      </c>
      <c r="F168" s="502">
        <v>-1.2</v>
      </c>
      <c r="G168" s="502">
        <v>1.2</v>
      </c>
      <c r="H168" s="502">
        <v>0.4</v>
      </c>
      <c r="I168" s="502">
        <v>1.7</v>
      </c>
      <c r="J168" s="502">
        <v>0</v>
      </c>
      <c r="K168" s="502">
        <v>0.2</v>
      </c>
      <c r="L168" s="859"/>
      <c r="M168" s="502">
        <v>0.94499999999999995</v>
      </c>
      <c r="N168" s="502">
        <v>-0.9</v>
      </c>
      <c r="O168" s="1153">
        <v>0</v>
      </c>
      <c r="P168" s="1153">
        <v>0</v>
      </c>
      <c r="Q168" s="1153">
        <v>0.7</v>
      </c>
      <c r="R168" s="1153">
        <v>0.8</v>
      </c>
      <c r="S168" s="1153">
        <v>1</v>
      </c>
      <c r="T168" s="1153">
        <v>0.9</v>
      </c>
      <c r="U168" s="859"/>
      <c r="V168" s="649">
        <v>0.27</v>
      </c>
      <c r="W168" s="1153">
        <v>-0.9</v>
      </c>
      <c r="X168" s="1153">
        <v>0.1</v>
      </c>
      <c r="Y168" s="1153">
        <v>-1.55</v>
      </c>
      <c r="Z168" s="1153">
        <v>-0.8</v>
      </c>
      <c r="AA168" s="1153">
        <v>-0.2</v>
      </c>
      <c r="AB168" s="1153">
        <v>0.3</v>
      </c>
      <c r="AC168" s="1153">
        <v>-0.7</v>
      </c>
      <c r="AD168" s="214"/>
    </row>
    <row r="169" spans="1:30" ht="14.25">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3">
        <v>0.6</v>
      </c>
      <c r="P169" s="1153">
        <v>0.1</v>
      </c>
      <c r="Q169" s="1153">
        <v>0</v>
      </c>
      <c r="R169" s="1153">
        <v>-0.1</v>
      </c>
      <c r="S169" s="1153">
        <v>0.2</v>
      </c>
      <c r="T169" s="1153">
        <v>0.6</v>
      </c>
      <c r="U169" s="859"/>
      <c r="V169" s="649">
        <v>0.44</v>
      </c>
      <c r="W169" s="1153">
        <v>-0.2</v>
      </c>
      <c r="X169" s="1153">
        <v>-0.3</v>
      </c>
      <c r="Y169" s="1153">
        <v>0.94</v>
      </c>
      <c r="Z169" s="1153">
        <v>0.6</v>
      </c>
      <c r="AA169" s="1153">
        <v>0.6</v>
      </c>
      <c r="AB169" s="1153">
        <v>-1</v>
      </c>
      <c r="AC169" s="1153">
        <v>-0.3</v>
      </c>
      <c r="AD169" s="214"/>
    </row>
    <row r="170" spans="1:30" ht="14.25">
      <c r="A170" s="499"/>
      <c r="B170" s="500" t="s">
        <v>141</v>
      </c>
      <c r="C170" s="501">
        <v>8</v>
      </c>
      <c r="D170" s="655">
        <v>0.53</v>
      </c>
      <c r="E170" s="502">
        <v>1</v>
      </c>
      <c r="F170" s="502">
        <v>0.8</v>
      </c>
      <c r="G170" s="502">
        <v>-0.8</v>
      </c>
      <c r="H170" s="502">
        <v>-1.3</v>
      </c>
      <c r="I170" s="502">
        <v>-0.5</v>
      </c>
      <c r="J170" s="502">
        <v>-0.4</v>
      </c>
      <c r="K170" s="502">
        <v>0.2</v>
      </c>
      <c r="L170" s="859"/>
      <c r="M170" s="502">
        <v>-1.635</v>
      </c>
      <c r="N170" s="502">
        <v>-0.7</v>
      </c>
      <c r="O170" s="1153">
        <v>-0.8</v>
      </c>
      <c r="P170" s="1153">
        <v>0.5</v>
      </c>
      <c r="Q170" s="1153">
        <v>-0.1</v>
      </c>
      <c r="R170" s="1153">
        <v>0.4</v>
      </c>
      <c r="S170" s="1153">
        <v>-0.3</v>
      </c>
      <c r="T170" s="1153">
        <v>0.5</v>
      </c>
      <c r="U170" s="859"/>
      <c r="V170" s="649">
        <v>0.44</v>
      </c>
      <c r="W170" s="1153">
        <v>-0.1</v>
      </c>
      <c r="X170" s="1153">
        <v>0.3</v>
      </c>
      <c r="Y170" s="1153">
        <v>0.04</v>
      </c>
      <c r="Z170" s="1153">
        <v>0.2</v>
      </c>
      <c r="AA170" s="1153">
        <v>0.6</v>
      </c>
      <c r="AB170" s="1153">
        <v>0.6</v>
      </c>
      <c r="AC170" s="1153">
        <v>-0.4</v>
      </c>
      <c r="AD170" s="214"/>
    </row>
    <row r="171" spans="1:30" ht="14.25">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3">
        <v>-0.9</v>
      </c>
      <c r="P171" s="1153">
        <v>0.4</v>
      </c>
      <c r="Q171" s="1153">
        <v>-0.6</v>
      </c>
      <c r="R171" s="1153">
        <v>-0.3</v>
      </c>
      <c r="S171" s="1153">
        <v>-0.4</v>
      </c>
      <c r="T171" s="1153">
        <v>-0.6</v>
      </c>
      <c r="U171" s="859"/>
      <c r="V171" s="649">
        <v>0.28999999999999998</v>
      </c>
      <c r="W171" s="1153">
        <v>1.2</v>
      </c>
      <c r="X171" s="1153">
        <v>0</v>
      </c>
      <c r="Y171" s="1153">
        <v>-0.18</v>
      </c>
      <c r="Z171" s="1153">
        <v>-1</v>
      </c>
      <c r="AA171" s="1153">
        <v>1.3</v>
      </c>
      <c r="AB171" s="1153">
        <v>-0.6</v>
      </c>
      <c r="AC171" s="1153">
        <v>0.5</v>
      </c>
      <c r="AD171" s="214"/>
    </row>
    <row r="172" spans="1:30" ht="14.25">
      <c r="A172" s="499"/>
      <c r="B172" s="500" t="s">
        <v>141</v>
      </c>
      <c r="C172" s="501">
        <v>10</v>
      </c>
      <c r="D172" s="655">
        <v>0.6</v>
      </c>
      <c r="E172" s="502">
        <v>-0.3</v>
      </c>
      <c r="F172" s="502">
        <v>0.1</v>
      </c>
      <c r="G172" s="502">
        <v>1.5</v>
      </c>
      <c r="H172" s="502">
        <v>-1.2</v>
      </c>
      <c r="I172" s="502">
        <v>0.4</v>
      </c>
      <c r="J172" s="502">
        <v>2.4</v>
      </c>
      <c r="K172" s="502">
        <v>0.1</v>
      </c>
      <c r="L172" s="859"/>
      <c r="M172" s="502">
        <v>0.82599999999999996</v>
      </c>
      <c r="N172" s="502">
        <v>-0.1</v>
      </c>
      <c r="O172" s="1153">
        <v>0.8</v>
      </c>
      <c r="P172" s="1153">
        <v>-0.1</v>
      </c>
      <c r="Q172" s="1153">
        <v>1.2</v>
      </c>
      <c r="R172" s="1153">
        <v>1</v>
      </c>
      <c r="S172" s="1153">
        <v>0.9</v>
      </c>
      <c r="T172" s="1153">
        <v>1.1000000000000001</v>
      </c>
      <c r="U172" s="859"/>
      <c r="V172" s="649">
        <v>0.53</v>
      </c>
      <c r="W172" s="1153">
        <v>0.3</v>
      </c>
      <c r="X172" s="1153">
        <v>0.2</v>
      </c>
      <c r="Y172" s="1153">
        <v>0</v>
      </c>
      <c r="Z172" s="1153">
        <v>-0.2</v>
      </c>
      <c r="AA172" s="1153">
        <v>-2.2999999999999998</v>
      </c>
      <c r="AB172" s="1153">
        <v>-0.6</v>
      </c>
      <c r="AC172" s="1153">
        <v>0.1</v>
      </c>
      <c r="AD172" s="214"/>
    </row>
    <row r="173" spans="1:30" ht="14.25">
      <c r="A173" s="499"/>
      <c r="B173" s="500" t="s">
        <v>141</v>
      </c>
      <c r="C173" s="501">
        <v>11</v>
      </c>
      <c r="D173" s="655">
        <v>0.65</v>
      </c>
      <c r="E173" s="502">
        <v>0.9</v>
      </c>
      <c r="F173" s="502">
        <v>1.6</v>
      </c>
      <c r="G173" s="502">
        <v>1.6</v>
      </c>
      <c r="H173" s="502">
        <v>0.5</v>
      </c>
      <c r="I173" s="502">
        <v>-2.8</v>
      </c>
      <c r="J173" s="502">
        <v>2.8</v>
      </c>
      <c r="K173" s="502">
        <v>0.1</v>
      </c>
      <c r="L173" s="859"/>
      <c r="M173" s="502">
        <v>-0.48399999999999999</v>
      </c>
      <c r="N173" s="502">
        <v>0.3</v>
      </c>
      <c r="O173" s="1153">
        <v>1.3</v>
      </c>
      <c r="P173" s="1153">
        <v>1.3</v>
      </c>
      <c r="Q173" s="1153">
        <v>1.5</v>
      </c>
      <c r="R173" s="1153">
        <v>-0.5</v>
      </c>
      <c r="S173" s="1153">
        <v>1.5</v>
      </c>
      <c r="T173" s="1153">
        <v>-0.6</v>
      </c>
      <c r="U173" s="859"/>
      <c r="V173" s="649">
        <v>0.55000000000000004</v>
      </c>
      <c r="W173" s="1153">
        <v>1.3</v>
      </c>
      <c r="X173" s="1153">
        <v>-0.1</v>
      </c>
      <c r="Y173" s="1153">
        <v>0.52</v>
      </c>
      <c r="Z173" s="1153">
        <v>-0.1</v>
      </c>
      <c r="AA173" s="1153">
        <v>0.3</v>
      </c>
      <c r="AB173" s="1153">
        <v>-0.4</v>
      </c>
      <c r="AC173" s="1153">
        <v>0</v>
      </c>
      <c r="AD173" s="214"/>
    </row>
    <row r="174" spans="1:30" ht="14.25">
      <c r="A174" s="499"/>
      <c r="B174" s="500" t="s">
        <v>141</v>
      </c>
      <c r="C174" s="501">
        <v>12</v>
      </c>
      <c r="D174" s="657">
        <v>0.8</v>
      </c>
      <c r="E174" s="502">
        <v>0</v>
      </c>
      <c r="F174" s="502">
        <v>-0.5</v>
      </c>
      <c r="G174" s="502">
        <v>0.3</v>
      </c>
      <c r="H174" s="502">
        <v>1</v>
      </c>
      <c r="I174" s="502">
        <v>0.2</v>
      </c>
      <c r="J174" s="502">
        <v>-4.2</v>
      </c>
      <c r="K174" s="502">
        <v>0.1</v>
      </c>
      <c r="L174" s="859"/>
      <c r="M174" s="502">
        <v>-0.501</v>
      </c>
      <c r="N174" s="502">
        <v>0</v>
      </c>
      <c r="O174" s="1153">
        <v>-2</v>
      </c>
      <c r="P174" s="1153">
        <v>0</v>
      </c>
      <c r="Q174" s="1153">
        <v>0.1</v>
      </c>
      <c r="R174" s="1153">
        <v>0.7</v>
      </c>
      <c r="S174" s="1153">
        <v>-0.1</v>
      </c>
      <c r="T174" s="1153">
        <v>0.8</v>
      </c>
      <c r="U174" s="859"/>
      <c r="V174" s="651">
        <v>0.72</v>
      </c>
      <c r="W174" s="1153">
        <v>0.2</v>
      </c>
      <c r="X174" s="1153">
        <v>0.4</v>
      </c>
      <c r="Y174" s="1153">
        <v>-0.22</v>
      </c>
      <c r="Z174" s="1153">
        <v>0.4</v>
      </c>
      <c r="AA174" s="1153">
        <v>1.2</v>
      </c>
      <c r="AB174" s="1153">
        <v>-0.6</v>
      </c>
      <c r="AC174" s="1153">
        <v>0.9</v>
      </c>
      <c r="AD174" s="214"/>
    </row>
    <row r="175" spans="1:30" ht="14.25">
      <c r="A175" s="503" t="s">
        <v>377</v>
      </c>
      <c r="B175" s="504">
        <v>2007</v>
      </c>
      <c r="C175" s="505">
        <v>1</v>
      </c>
      <c r="D175" s="654">
        <v>0.8</v>
      </c>
      <c r="E175" s="506">
        <v>-2.2000000000000002</v>
      </c>
      <c r="F175" s="506">
        <v>-3.8</v>
      </c>
      <c r="G175" s="506">
        <v>-0.7</v>
      </c>
      <c r="H175" s="506">
        <v>-0.8</v>
      </c>
      <c r="I175" s="506">
        <v>-1.5</v>
      </c>
      <c r="J175" s="506">
        <v>0.8</v>
      </c>
      <c r="K175" s="506">
        <v>-2.8</v>
      </c>
      <c r="L175" s="858"/>
      <c r="M175" s="506">
        <v>-1.1719999999999999</v>
      </c>
      <c r="N175" s="506">
        <v>0.8</v>
      </c>
      <c r="O175" s="1154">
        <v>2.4</v>
      </c>
      <c r="P175" s="1154">
        <v>-0.8</v>
      </c>
      <c r="Q175" s="1154">
        <v>0.1</v>
      </c>
      <c r="R175" s="1154">
        <v>0.4</v>
      </c>
      <c r="S175" s="1154">
        <v>1.8</v>
      </c>
      <c r="T175" s="1154">
        <v>0.2</v>
      </c>
      <c r="U175" s="858"/>
      <c r="V175" s="648">
        <v>0.67</v>
      </c>
      <c r="W175" s="1154">
        <v>-2.9</v>
      </c>
      <c r="X175" s="1154">
        <v>-0.6</v>
      </c>
      <c r="Y175" s="1154">
        <v>-0.37</v>
      </c>
      <c r="Z175" s="1154">
        <v>0</v>
      </c>
      <c r="AA175" s="1154">
        <v>-2</v>
      </c>
      <c r="AB175" s="1154">
        <v>-0.6</v>
      </c>
      <c r="AC175" s="1154">
        <v>-1.3</v>
      </c>
      <c r="AD175" s="214"/>
    </row>
    <row r="176" spans="1:30" ht="14.25">
      <c r="A176" s="499"/>
      <c r="B176" s="500" t="s">
        <v>141</v>
      </c>
      <c r="C176" s="501">
        <v>2</v>
      </c>
      <c r="D176" s="655">
        <v>0.74</v>
      </c>
      <c r="E176" s="502">
        <v>0.1</v>
      </c>
      <c r="F176" s="502">
        <v>3.4</v>
      </c>
      <c r="G176" s="502">
        <v>0.7</v>
      </c>
      <c r="H176" s="502">
        <v>0.5</v>
      </c>
      <c r="I176" s="502">
        <v>2.9</v>
      </c>
      <c r="J176" s="502">
        <v>-0.4</v>
      </c>
      <c r="K176" s="502">
        <v>-2.6</v>
      </c>
      <c r="L176" s="859"/>
      <c r="M176" s="502">
        <v>-1.1779999999999999</v>
      </c>
      <c r="N176" s="502">
        <v>-0.9</v>
      </c>
      <c r="O176" s="1153">
        <v>0.6</v>
      </c>
      <c r="P176" s="1153">
        <v>1.2</v>
      </c>
      <c r="Q176" s="1153">
        <v>0.5</v>
      </c>
      <c r="R176" s="1153">
        <v>-0.3</v>
      </c>
      <c r="S176" s="1153">
        <v>0.1</v>
      </c>
      <c r="T176" s="1153">
        <v>0.5</v>
      </c>
      <c r="U176" s="859"/>
      <c r="V176" s="649">
        <v>0.66</v>
      </c>
      <c r="W176" s="1153">
        <v>1.1000000000000001</v>
      </c>
      <c r="X176" s="1153">
        <v>-0.6</v>
      </c>
      <c r="Y176" s="1153">
        <v>-0.19</v>
      </c>
      <c r="Z176" s="1153">
        <v>0.4</v>
      </c>
      <c r="AA176" s="1153">
        <v>-0.9</v>
      </c>
      <c r="AB176" s="1153">
        <v>-1.1000000000000001</v>
      </c>
      <c r="AC176" s="1153">
        <v>0.1</v>
      </c>
      <c r="AD176" s="214"/>
    </row>
    <row r="177" spans="1:30" ht="14.25">
      <c r="A177" s="499"/>
      <c r="B177" s="500" t="s">
        <v>141</v>
      </c>
      <c r="C177" s="501">
        <v>3</v>
      </c>
      <c r="D177" s="655">
        <v>0.59</v>
      </c>
      <c r="E177" s="502">
        <v>-0.6</v>
      </c>
      <c r="F177" s="502">
        <v>-0.6</v>
      </c>
      <c r="G177" s="502">
        <v>-1</v>
      </c>
      <c r="H177" s="502">
        <v>-1.2</v>
      </c>
      <c r="I177" s="502">
        <v>-0.5</v>
      </c>
      <c r="J177" s="502">
        <v>0</v>
      </c>
      <c r="K177" s="502">
        <v>-2.6</v>
      </c>
      <c r="L177" s="859"/>
      <c r="M177" s="502">
        <v>-1.8</v>
      </c>
      <c r="N177" s="502">
        <v>0.2</v>
      </c>
      <c r="O177" s="1153">
        <v>0.6</v>
      </c>
      <c r="P177" s="1153">
        <v>-0.9</v>
      </c>
      <c r="Q177" s="1153">
        <v>-1</v>
      </c>
      <c r="R177" s="1153">
        <v>0.7</v>
      </c>
      <c r="S177" s="1153">
        <v>-1</v>
      </c>
      <c r="T177" s="1153">
        <v>-0.5</v>
      </c>
      <c r="U177" s="859"/>
      <c r="V177" s="649">
        <v>0.59</v>
      </c>
      <c r="W177" s="1153">
        <v>-0.3</v>
      </c>
      <c r="X177" s="1153">
        <v>0.1</v>
      </c>
      <c r="Y177" s="1153">
        <v>-0.1</v>
      </c>
      <c r="Z177" s="1153">
        <v>-1.3</v>
      </c>
      <c r="AA177" s="1153">
        <v>2.4</v>
      </c>
      <c r="AB177" s="1153">
        <v>0.2</v>
      </c>
      <c r="AC177" s="1153">
        <v>1.1000000000000001</v>
      </c>
      <c r="AD177" s="214"/>
    </row>
    <row r="178" spans="1:30" ht="14.25">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3">
        <v>-0.2</v>
      </c>
      <c r="P178" s="1153">
        <v>0.3</v>
      </c>
      <c r="Q178" s="1153">
        <v>0.3</v>
      </c>
      <c r="R178" s="1153">
        <v>-0.6</v>
      </c>
      <c r="S178" s="1153">
        <v>0.4</v>
      </c>
      <c r="T178" s="1153">
        <v>1.1000000000000001</v>
      </c>
      <c r="U178" s="859"/>
      <c r="V178" s="649">
        <v>0.64</v>
      </c>
      <c r="W178" s="1153">
        <v>-0.3</v>
      </c>
      <c r="X178" s="1153">
        <v>0.3</v>
      </c>
      <c r="Y178" s="1153">
        <v>1.31</v>
      </c>
      <c r="Z178" s="1153">
        <v>-0.2</v>
      </c>
      <c r="AA178" s="1153">
        <v>-2</v>
      </c>
      <c r="AB178" s="1153">
        <v>-0.5</v>
      </c>
      <c r="AC178" s="1153">
        <v>-1.5</v>
      </c>
      <c r="AD178" s="214"/>
    </row>
    <row r="179" spans="1:30" ht="14.25">
      <c r="A179" s="499"/>
      <c r="B179" s="500" t="s">
        <v>141</v>
      </c>
      <c r="C179" s="501">
        <v>5</v>
      </c>
      <c r="D179" s="655">
        <v>0.6</v>
      </c>
      <c r="E179" s="502">
        <v>0.2</v>
      </c>
      <c r="F179" s="502">
        <v>2.2999999999999998</v>
      </c>
      <c r="G179" s="502">
        <v>0.9</v>
      </c>
      <c r="H179" s="502">
        <v>-0.1</v>
      </c>
      <c r="I179" s="502">
        <v>-1.1000000000000001</v>
      </c>
      <c r="J179" s="502">
        <v>-3.7</v>
      </c>
      <c r="K179" s="502">
        <v>-0.8</v>
      </c>
      <c r="L179" s="859"/>
      <c r="M179" s="502">
        <v>-0.435</v>
      </c>
      <c r="N179" s="502">
        <v>0.3</v>
      </c>
      <c r="O179" s="1153">
        <v>-1.7</v>
      </c>
      <c r="P179" s="1153">
        <v>0.1</v>
      </c>
      <c r="Q179" s="1153">
        <v>0.3</v>
      </c>
      <c r="R179" s="1153">
        <v>0.8</v>
      </c>
      <c r="S179" s="1153">
        <v>0.6</v>
      </c>
      <c r="T179" s="1153">
        <v>-0.3</v>
      </c>
      <c r="U179" s="859"/>
      <c r="V179" s="649">
        <v>0.51</v>
      </c>
      <c r="W179" s="1153">
        <v>-0.2</v>
      </c>
      <c r="X179" s="1153">
        <v>-0.3</v>
      </c>
      <c r="Y179" s="1153">
        <v>0.3</v>
      </c>
      <c r="Z179" s="1153">
        <v>0.6</v>
      </c>
      <c r="AA179" s="1153">
        <v>0.8</v>
      </c>
      <c r="AB179" s="1153">
        <v>0.5</v>
      </c>
      <c r="AC179" s="1153">
        <v>1.9</v>
      </c>
      <c r="AD179" s="214"/>
    </row>
    <row r="180" spans="1:30" ht="14.25">
      <c r="A180" s="499"/>
      <c r="B180" s="500" t="s">
        <v>141</v>
      </c>
      <c r="C180" s="501">
        <v>6</v>
      </c>
      <c r="D180" s="655">
        <v>0.67</v>
      </c>
      <c r="E180" s="502">
        <v>0</v>
      </c>
      <c r="F180" s="502">
        <v>-0.2</v>
      </c>
      <c r="G180" s="502">
        <v>0.9</v>
      </c>
      <c r="H180" s="502">
        <v>1.2</v>
      </c>
      <c r="I180" s="502">
        <v>-0.1</v>
      </c>
      <c r="J180" s="502">
        <v>3.4</v>
      </c>
      <c r="K180" s="502">
        <v>-0.7</v>
      </c>
      <c r="L180" s="859"/>
      <c r="M180" s="502">
        <v>-1.764</v>
      </c>
      <c r="N180" s="502">
        <v>-0.1</v>
      </c>
      <c r="O180" s="1153">
        <v>1.9</v>
      </c>
      <c r="P180" s="1153">
        <v>-0.7</v>
      </c>
      <c r="Q180" s="1153">
        <v>0.5</v>
      </c>
      <c r="R180" s="1153">
        <v>0.6</v>
      </c>
      <c r="S180" s="1153">
        <v>0.3</v>
      </c>
      <c r="T180" s="1153">
        <v>0.4</v>
      </c>
      <c r="U180" s="859"/>
      <c r="V180" s="649">
        <v>0.56000000000000005</v>
      </c>
      <c r="W180" s="1153">
        <v>1.7</v>
      </c>
      <c r="X180" s="1153">
        <v>-0.4</v>
      </c>
      <c r="Y180" s="1153">
        <v>0.93</v>
      </c>
      <c r="Z180" s="1153">
        <v>0.4</v>
      </c>
      <c r="AA180" s="1153">
        <v>0</v>
      </c>
      <c r="AB180" s="1153">
        <v>-0.5</v>
      </c>
      <c r="AC180" s="1153">
        <v>-1.4</v>
      </c>
      <c r="AD180" s="214"/>
    </row>
    <row r="181" spans="1:30" ht="14.25">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3">
        <v>-0.8</v>
      </c>
      <c r="P181" s="1153">
        <v>0.8</v>
      </c>
      <c r="Q181" s="1153">
        <v>0.4</v>
      </c>
      <c r="R181" s="1153">
        <v>1.1000000000000001</v>
      </c>
      <c r="S181" s="1153">
        <v>0.6</v>
      </c>
      <c r="T181" s="1153">
        <v>0.3</v>
      </c>
      <c r="U181" s="859"/>
      <c r="V181" s="649">
        <v>0.52</v>
      </c>
      <c r="W181" s="1153">
        <v>0.2</v>
      </c>
      <c r="X181" s="1153">
        <v>0.4</v>
      </c>
      <c r="Y181" s="1153">
        <v>0.19</v>
      </c>
      <c r="Z181" s="1153">
        <v>-1.5</v>
      </c>
      <c r="AA181" s="1153">
        <v>0.4</v>
      </c>
      <c r="AB181" s="1153">
        <v>0.6</v>
      </c>
      <c r="AC181" s="1153">
        <v>-1.3</v>
      </c>
      <c r="AD181" s="214"/>
    </row>
    <row r="182" spans="1:30" ht="14.25">
      <c r="A182" s="499"/>
      <c r="B182" s="500" t="s">
        <v>141</v>
      </c>
      <c r="C182" s="501">
        <v>8</v>
      </c>
      <c r="D182" s="655">
        <v>0.69</v>
      </c>
      <c r="E182" s="502">
        <v>-0.1</v>
      </c>
      <c r="F182" s="502">
        <v>-0.6</v>
      </c>
      <c r="G182" s="502">
        <v>2.7</v>
      </c>
      <c r="H182" s="502">
        <v>3.1</v>
      </c>
      <c r="I182" s="502">
        <v>-0.5</v>
      </c>
      <c r="J182" s="502">
        <v>-1.1000000000000001</v>
      </c>
      <c r="K182" s="502">
        <v>0</v>
      </c>
      <c r="L182" s="859"/>
      <c r="M182" s="502">
        <v>-1.0589999999999999</v>
      </c>
      <c r="N182" s="502">
        <v>-0.4</v>
      </c>
      <c r="O182" s="1153">
        <v>0</v>
      </c>
      <c r="P182" s="1153">
        <v>-0.6</v>
      </c>
      <c r="Q182" s="1153">
        <v>0.5</v>
      </c>
      <c r="R182" s="1153">
        <v>0.6</v>
      </c>
      <c r="S182" s="1153">
        <v>0.4</v>
      </c>
      <c r="T182" s="1153">
        <v>0</v>
      </c>
      <c r="U182" s="859"/>
      <c r="V182" s="649">
        <v>0.47</v>
      </c>
      <c r="W182" s="1153">
        <v>-0.2</v>
      </c>
      <c r="X182" s="1153">
        <v>-0.3</v>
      </c>
      <c r="Y182" s="1153">
        <v>-1.39</v>
      </c>
      <c r="Z182" s="1153">
        <v>1.3</v>
      </c>
      <c r="AA182" s="1153">
        <v>-1.1000000000000001</v>
      </c>
      <c r="AB182" s="1153">
        <v>-0.2</v>
      </c>
      <c r="AC182" s="1153">
        <v>2</v>
      </c>
      <c r="AD182" s="214"/>
    </row>
    <row r="183" spans="1:30" ht="14.25">
      <c r="A183" s="499"/>
      <c r="B183" s="500" t="s">
        <v>141</v>
      </c>
      <c r="C183" s="501">
        <v>9</v>
      </c>
      <c r="D183" s="655">
        <v>0.6</v>
      </c>
      <c r="E183" s="502">
        <v>-0.8</v>
      </c>
      <c r="F183" s="502">
        <v>-0.5</v>
      </c>
      <c r="G183" s="502">
        <v>-0.6</v>
      </c>
      <c r="H183" s="502">
        <v>-0.7</v>
      </c>
      <c r="I183" s="502">
        <v>1.2</v>
      </c>
      <c r="J183" s="502">
        <v>1.5</v>
      </c>
      <c r="K183" s="502">
        <v>-0.1</v>
      </c>
      <c r="L183" s="859"/>
      <c r="M183" s="502">
        <v>-3.6949999999999998</v>
      </c>
      <c r="N183" s="502">
        <v>0.5</v>
      </c>
      <c r="O183" s="1153">
        <v>0.8</v>
      </c>
      <c r="P183" s="1153">
        <v>-0.2</v>
      </c>
      <c r="Q183" s="1153">
        <v>-0.1</v>
      </c>
      <c r="R183" s="1153">
        <v>0.1</v>
      </c>
      <c r="S183" s="1153">
        <v>0.1</v>
      </c>
      <c r="T183" s="1153">
        <v>0.1</v>
      </c>
      <c r="U183" s="859"/>
      <c r="V183" s="649">
        <v>0.47</v>
      </c>
      <c r="W183" s="1153">
        <v>-0.7</v>
      </c>
      <c r="X183" s="1153">
        <v>0.3</v>
      </c>
      <c r="Y183" s="1153">
        <v>-2.17</v>
      </c>
      <c r="Z183" s="1153">
        <v>-0.2</v>
      </c>
      <c r="AA183" s="1153">
        <v>0.5</v>
      </c>
      <c r="AB183" s="1153">
        <v>-0.2</v>
      </c>
      <c r="AC183" s="1153">
        <v>-0.4</v>
      </c>
      <c r="AD183" s="214"/>
    </row>
    <row r="184" spans="1:30" ht="14.25">
      <c r="A184" s="499"/>
      <c r="B184" s="500" t="s">
        <v>141</v>
      </c>
      <c r="C184" s="501">
        <v>10</v>
      </c>
      <c r="D184" s="655">
        <v>0.59</v>
      </c>
      <c r="E184" s="502">
        <v>-0.8</v>
      </c>
      <c r="F184" s="502">
        <v>1.7</v>
      </c>
      <c r="G184" s="502">
        <v>0.8</v>
      </c>
      <c r="H184" s="502">
        <v>0.8</v>
      </c>
      <c r="I184" s="502">
        <v>0.3</v>
      </c>
      <c r="J184" s="502">
        <v>-3</v>
      </c>
      <c r="K184" s="502">
        <v>-0.6</v>
      </c>
      <c r="L184" s="859"/>
      <c r="M184" s="502">
        <v>-2.2559999999999998</v>
      </c>
      <c r="N184" s="502">
        <v>-1.2</v>
      </c>
      <c r="O184" s="1153">
        <v>-0.4</v>
      </c>
      <c r="P184" s="1153">
        <v>1.3</v>
      </c>
      <c r="Q184" s="1153">
        <v>0.3</v>
      </c>
      <c r="R184" s="1153">
        <v>-0.5</v>
      </c>
      <c r="S184" s="1153">
        <v>0.6</v>
      </c>
      <c r="T184" s="1153">
        <v>-0.1</v>
      </c>
      <c r="U184" s="859"/>
      <c r="V184" s="649">
        <v>0.44</v>
      </c>
      <c r="W184" s="1153">
        <v>-0.5</v>
      </c>
      <c r="X184" s="1153">
        <v>-0.1</v>
      </c>
      <c r="Y184" s="1153">
        <v>-0.57999999999999996</v>
      </c>
      <c r="Z184" s="1153">
        <v>0.3</v>
      </c>
      <c r="AA184" s="1153">
        <v>0.8</v>
      </c>
      <c r="AB184" s="1153">
        <v>-0.3</v>
      </c>
      <c r="AC184" s="1153">
        <v>-0.1</v>
      </c>
      <c r="AD184" s="214"/>
    </row>
    <row r="185" spans="1:30" ht="14.25">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3">
        <v>-0.2</v>
      </c>
      <c r="P185" s="1153">
        <v>-0.4</v>
      </c>
      <c r="Q185" s="1153">
        <v>-1</v>
      </c>
      <c r="R185" s="1153">
        <v>-1.8</v>
      </c>
      <c r="S185" s="1153">
        <v>-0.8</v>
      </c>
      <c r="T185" s="1153">
        <v>0.5</v>
      </c>
      <c r="U185" s="859"/>
      <c r="V185" s="649">
        <v>0.42</v>
      </c>
      <c r="W185" s="1153">
        <v>-1.6</v>
      </c>
      <c r="X185" s="1153">
        <v>0.8</v>
      </c>
      <c r="Y185" s="1153">
        <v>1.27</v>
      </c>
      <c r="Z185" s="1153">
        <v>0.7</v>
      </c>
      <c r="AA185" s="1153">
        <v>0.3</v>
      </c>
      <c r="AB185" s="1153">
        <v>1.9</v>
      </c>
      <c r="AC185" s="1153">
        <v>-0.2</v>
      </c>
      <c r="AD185" s="214"/>
    </row>
    <row r="186" spans="1:30" ht="14.25">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5">
        <v>1</v>
      </c>
      <c r="P186" s="1155">
        <v>0.9</v>
      </c>
      <c r="Q186" s="1155">
        <v>-0.1</v>
      </c>
      <c r="R186" s="1155">
        <v>0.9</v>
      </c>
      <c r="S186" s="1155">
        <v>-0.3</v>
      </c>
      <c r="T186" s="1155">
        <v>-0.3</v>
      </c>
      <c r="U186" s="860"/>
      <c r="V186" s="650">
        <v>0.42</v>
      </c>
      <c r="W186" s="1155">
        <v>-0.3</v>
      </c>
      <c r="X186" s="1155">
        <v>-1.2</v>
      </c>
      <c r="Y186" s="1155">
        <v>0.4</v>
      </c>
      <c r="Z186" s="1155">
        <v>-0.5</v>
      </c>
      <c r="AA186" s="1155">
        <v>-0.8</v>
      </c>
      <c r="AB186" s="1155">
        <v>1.3</v>
      </c>
      <c r="AC186" s="1155">
        <v>-0.8</v>
      </c>
      <c r="AD186" s="214"/>
    </row>
    <row r="187" spans="1:30" ht="14.25">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3">
        <v>-1</v>
      </c>
      <c r="P187" s="1153">
        <v>-1.6</v>
      </c>
      <c r="Q187" s="1153">
        <v>-1.3</v>
      </c>
      <c r="R187" s="1153">
        <v>0.1</v>
      </c>
      <c r="S187" s="1153">
        <v>-1</v>
      </c>
      <c r="T187" s="1153">
        <v>-0.2</v>
      </c>
      <c r="U187" s="859"/>
      <c r="V187" s="651">
        <v>0.43</v>
      </c>
      <c r="W187" s="1153">
        <v>0.5</v>
      </c>
      <c r="X187" s="1153">
        <v>-0.1</v>
      </c>
      <c r="Y187" s="1153">
        <v>-1.9</v>
      </c>
      <c r="Z187" s="1153">
        <v>-0.1</v>
      </c>
      <c r="AA187" s="1153">
        <v>-0.7</v>
      </c>
      <c r="AB187" s="1153">
        <v>-0.6</v>
      </c>
      <c r="AC187" s="1153">
        <v>1</v>
      </c>
      <c r="AD187" s="214"/>
    </row>
    <row r="188" spans="1:30" ht="14.25">
      <c r="A188" s="499"/>
      <c r="B188" s="500" t="s">
        <v>141</v>
      </c>
      <c r="C188" s="501">
        <v>2</v>
      </c>
      <c r="D188" s="655">
        <v>0.59</v>
      </c>
      <c r="E188" s="502">
        <v>0.2</v>
      </c>
      <c r="F188" s="502">
        <v>0.5</v>
      </c>
      <c r="G188" s="502">
        <v>-0.6</v>
      </c>
      <c r="H188" s="502">
        <v>0.4</v>
      </c>
      <c r="I188" s="502">
        <v>0.5</v>
      </c>
      <c r="J188" s="502">
        <v>1</v>
      </c>
      <c r="K188" s="502">
        <v>-0.3</v>
      </c>
      <c r="L188" s="859"/>
      <c r="M188" s="502">
        <v>-0.20100000000000001</v>
      </c>
      <c r="N188" s="502">
        <v>1</v>
      </c>
      <c r="O188" s="1153">
        <v>1.3</v>
      </c>
      <c r="P188" s="1153">
        <v>0</v>
      </c>
      <c r="Q188" s="1153">
        <v>0.2</v>
      </c>
      <c r="R188" s="1153">
        <v>-0.1</v>
      </c>
      <c r="S188" s="1153">
        <v>-0.1</v>
      </c>
      <c r="T188" s="1153">
        <v>0.7</v>
      </c>
      <c r="U188" s="859"/>
      <c r="V188" s="649">
        <v>0.54</v>
      </c>
      <c r="W188" s="1153">
        <v>2.2999999999999998</v>
      </c>
      <c r="X188" s="1153">
        <v>0.2</v>
      </c>
      <c r="Y188" s="1153">
        <v>-1.04</v>
      </c>
      <c r="Z188" s="1153">
        <v>0.6</v>
      </c>
      <c r="AA188" s="1153">
        <v>0.8</v>
      </c>
      <c r="AB188" s="1153">
        <v>1.1000000000000001</v>
      </c>
      <c r="AC188" s="1153">
        <v>0.5</v>
      </c>
      <c r="AD188" s="214"/>
    </row>
    <row r="189" spans="1:30" ht="14.25">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3">
        <v>-1.1000000000000001</v>
      </c>
      <c r="P189" s="1153">
        <v>0.4</v>
      </c>
      <c r="Q189" s="1153">
        <v>-0.4</v>
      </c>
      <c r="R189" s="1153">
        <v>-0.3</v>
      </c>
      <c r="S189" s="1153">
        <v>0.1</v>
      </c>
      <c r="T189" s="1153">
        <v>0.2</v>
      </c>
      <c r="U189" s="859"/>
      <c r="V189" s="649">
        <v>0.46</v>
      </c>
      <c r="W189" s="1153">
        <v>-1.8</v>
      </c>
      <c r="X189" s="1153">
        <v>0</v>
      </c>
      <c r="Y189" s="1153">
        <v>1.39</v>
      </c>
      <c r="Z189" s="1153">
        <v>0.8</v>
      </c>
      <c r="AA189" s="1153">
        <v>-0.8</v>
      </c>
      <c r="AB189" s="1153">
        <v>0.9</v>
      </c>
      <c r="AC189" s="1153">
        <v>-0.6</v>
      </c>
      <c r="AD189" s="214"/>
    </row>
    <row r="190" spans="1:30" ht="14.25">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3">
        <v>-0.8</v>
      </c>
      <c r="P190" s="1153">
        <v>-1.9</v>
      </c>
      <c r="Q190" s="1153">
        <v>-0.2</v>
      </c>
      <c r="R190" s="1153">
        <v>-0.2</v>
      </c>
      <c r="S190" s="1153">
        <v>-0.3</v>
      </c>
      <c r="T190" s="1153">
        <v>-0.7</v>
      </c>
      <c r="U190" s="859"/>
      <c r="V190" s="649">
        <v>0.45</v>
      </c>
      <c r="W190" s="1153">
        <v>2.1</v>
      </c>
      <c r="X190" s="1153">
        <v>-1.9</v>
      </c>
      <c r="Y190" s="1153">
        <v>-1.1100000000000001</v>
      </c>
      <c r="Z190" s="1153">
        <v>-1.1000000000000001</v>
      </c>
      <c r="AA190" s="1153">
        <v>-0.3</v>
      </c>
      <c r="AB190" s="1153">
        <v>0</v>
      </c>
      <c r="AC190" s="1153">
        <v>0.2</v>
      </c>
      <c r="AD190" s="214"/>
    </row>
    <row r="191" spans="1:30" ht="14.25">
      <c r="A191" s="499"/>
      <c r="B191" s="500" t="s">
        <v>141</v>
      </c>
      <c r="C191" s="501">
        <v>5</v>
      </c>
      <c r="D191" s="655">
        <v>0.33</v>
      </c>
      <c r="E191" s="502">
        <v>-0.3</v>
      </c>
      <c r="F191" s="502">
        <v>0</v>
      </c>
      <c r="G191" s="502">
        <v>0</v>
      </c>
      <c r="H191" s="502">
        <v>-2.2000000000000002</v>
      </c>
      <c r="I191" s="502">
        <v>0.2</v>
      </c>
      <c r="J191" s="502">
        <v>2.4</v>
      </c>
      <c r="K191" s="502">
        <v>-2.6</v>
      </c>
      <c r="L191" s="859"/>
      <c r="M191" s="502">
        <v>-0.14099999999999999</v>
      </c>
      <c r="N191" s="502">
        <v>-1</v>
      </c>
      <c r="O191" s="1153">
        <v>-1.2</v>
      </c>
      <c r="P191" s="1153">
        <v>0.1</v>
      </c>
      <c r="Q191" s="1153">
        <v>-0.6</v>
      </c>
      <c r="R191" s="1153">
        <v>-0.6</v>
      </c>
      <c r="S191" s="1153">
        <v>-0.3</v>
      </c>
      <c r="T191" s="1153">
        <v>0</v>
      </c>
      <c r="U191" s="859"/>
      <c r="V191" s="649">
        <v>0.28000000000000003</v>
      </c>
      <c r="W191" s="1153">
        <v>1.5</v>
      </c>
      <c r="X191" s="1153">
        <v>0</v>
      </c>
      <c r="Y191" s="1153">
        <v>-0.43</v>
      </c>
      <c r="Z191" s="1153">
        <v>-0.4</v>
      </c>
      <c r="AA191" s="1153">
        <v>-0.8</v>
      </c>
      <c r="AB191" s="1153">
        <v>0.9</v>
      </c>
      <c r="AC191" s="1153">
        <v>-0.8</v>
      </c>
      <c r="AD191" s="214"/>
    </row>
    <row r="192" spans="1:30" ht="14.25">
      <c r="A192" s="499"/>
      <c r="B192" s="500" t="s">
        <v>141</v>
      </c>
      <c r="C192" s="501">
        <v>6</v>
      </c>
      <c r="D192" s="655">
        <v>0.36</v>
      </c>
      <c r="E192" s="502">
        <v>-0.4</v>
      </c>
      <c r="F192" s="502">
        <v>-0.4</v>
      </c>
      <c r="G192" s="502">
        <v>-0.5</v>
      </c>
      <c r="H192" s="502">
        <v>0.3</v>
      </c>
      <c r="I192" s="502">
        <v>-0.6</v>
      </c>
      <c r="J192" s="502">
        <v>-0.3</v>
      </c>
      <c r="K192" s="502">
        <v>-2.5</v>
      </c>
      <c r="L192" s="859"/>
      <c r="M192" s="502">
        <v>-2.4569999999999999</v>
      </c>
      <c r="N192" s="502">
        <v>-0.3</v>
      </c>
      <c r="O192" s="1153">
        <v>-0.4</v>
      </c>
      <c r="P192" s="1153">
        <v>0.1</v>
      </c>
      <c r="Q192" s="1153">
        <v>-1.2</v>
      </c>
      <c r="R192" s="1153">
        <v>-0.4</v>
      </c>
      <c r="S192" s="1153">
        <v>-0.5</v>
      </c>
      <c r="T192" s="1153">
        <v>0.5</v>
      </c>
      <c r="U192" s="859"/>
      <c r="V192" s="649">
        <v>0.3</v>
      </c>
      <c r="W192" s="1153">
        <v>-0.2</v>
      </c>
      <c r="X192" s="1153">
        <v>0.1</v>
      </c>
      <c r="Y192" s="1153">
        <v>-0.61</v>
      </c>
      <c r="Z192" s="1153">
        <v>-0.7</v>
      </c>
      <c r="AA192" s="1153">
        <v>0.1</v>
      </c>
      <c r="AB192" s="1153">
        <v>1.9</v>
      </c>
      <c r="AC192" s="1153">
        <v>0.5</v>
      </c>
      <c r="AD192" s="214"/>
    </row>
    <row r="193" spans="1:30" ht="14.25">
      <c r="A193" s="499"/>
      <c r="B193" s="500" t="s">
        <v>141</v>
      </c>
      <c r="C193" s="501">
        <v>7</v>
      </c>
      <c r="D193" s="655">
        <v>0.39</v>
      </c>
      <c r="E193" s="502">
        <v>-0.7</v>
      </c>
      <c r="F193" s="502">
        <v>-0.4</v>
      </c>
      <c r="G193" s="502">
        <v>-0.3</v>
      </c>
      <c r="H193" s="502">
        <v>-1</v>
      </c>
      <c r="I193" s="502">
        <v>1.3</v>
      </c>
      <c r="J193" s="502">
        <v>-0.7</v>
      </c>
      <c r="K193" s="502">
        <v>0.5</v>
      </c>
      <c r="L193" s="859"/>
      <c r="M193" s="502">
        <v>-1.7689999999999999</v>
      </c>
      <c r="N193" s="502">
        <v>-0.4</v>
      </c>
      <c r="O193" s="1153">
        <v>0.2</v>
      </c>
      <c r="P193" s="1153">
        <v>-0.1</v>
      </c>
      <c r="Q193" s="1153">
        <v>0.5</v>
      </c>
      <c r="R193" s="1153">
        <v>0</v>
      </c>
      <c r="S193" s="1153">
        <v>1</v>
      </c>
      <c r="T193" s="1153">
        <v>0</v>
      </c>
      <c r="U193" s="859"/>
      <c r="V193" s="649">
        <v>0.33</v>
      </c>
      <c r="W193" s="1153">
        <v>-2.2000000000000002</v>
      </c>
      <c r="X193" s="1153">
        <v>0.1</v>
      </c>
      <c r="Y193" s="1153">
        <v>0.28000000000000003</v>
      </c>
      <c r="Z193" s="1153">
        <v>1.5</v>
      </c>
      <c r="AA193" s="1153">
        <v>0.2</v>
      </c>
      <c r="AB193" s="1153">
        <v>0.7</v>
      </c>
      <c r="AC193" s="1153">
        <v>-0.4</v>
      </c>
      <c r="AD193" s="214"/>
    </row>
    <row r="194" spans="1:30" ht="14.25">
      <c r="A194" s="499"/>
      <c r="B194" s="500" t="s">
        <v>141</v>
      </c>
      <c r="C194" s="501">
        <v>8</v>
      </c>
      <c r="D194" s="655">
        <v>0.2</v>
      </c>
      <c r="E194" s="502">
        <v>-0.8</v>
      </c>
      <c r="F194" s="502">
        <v>-0.1</v>
      </c>
      <c r="G194" s="502">
        <v>-0.9</v>
      </c>
      <c r="H194" s="502">
        <v>0.1</v>
      </c>
      <c r="I194" s="502">
        <v>0.2</v>
      </c>
      <c r="J194" s="502">
        <v>-1.9</v>
      </c>
      <c r="K194" s="502">
        <v>0.5</v>
      </c>
      <c r="L194" s="859"/>
      <c r="M194" s="502">
        <v>-1.133</v>
      </c>
      <c r="N194" s="502">
        <v>-0.8</v>
      </c>
      <c r="O194" s="1153">
        <v>-0.9</v>
      </c>
      <c r="P194" s="1153">
        <v>-1.2</v>
      </c>
      <c r="Q194" s="1153">
        <v>-1.5</v>
      </c>
      <c r="R194" s="1153">
        <v>-1.5</v>
      </c>
      <c r="S194" s="1153">
        <v>-1.1000000000000001</v>
      </c>
      <c r="T194" s="1153">
        <v>-0.7</v>
      </c>
      <c r="U194" s="859"/>
      <c r="V194" s="649">
        <v>0.15</v>
      </c>
      <c r="W194" s="1153">
        <v>0.2</v>
      </c>
      <c r="X194" s="1153">
        <v>-1.8</v>
      </c>
      <c r="Y194" s="1153">
        <v>-1.32</v>
      </c>
      <c r="Z194" s="1153">
        <v>-0.5</v>
      </c>
      <c r="AA194" s="1153">
        <v>0.6</v>
      </c>
      <c r="AB194" s="1153">
        <v>-0.3</v>
      </c>
      <c r="AC194" s="1153">
        <v>-0.1</v>
      </c>
      <c r="AD194" s="214"/>
    </row>
    <row r="195" spans="1:30" ht="14.25">
      <c r="A195" s="499"/>
      <c r="B195" s="500" t="s">
        <v>141</v>
      </c>
      <c r="C195" s="501">
        <v>9</v>
      </c>
      <c r="D195" s="655">
        <v>0.23</v>
      </c>
      <c r="E195" s="502">
        <v>0.1</v>
      </c>
      <c r="F195" s="502">
        <v>-0.2</v>
      </c>
      <c r="G195" s="502">
        <v>0.3</v>
      </c>
      <c r="H195" s="502">
        <v>0.3</v>
      </c>
      <c r="I195" s="502">
        <v>-0.9</v>
      </c>
      <c r="J195" s="502">
        <v>1</v>
      </c>
      <c r="K195" s="502">
        <v>0.5</v>
      </c>
      <c r="L195" s="859"/>
      <c r="M195" s="502">
        <v>-0.54100000000000004</v>
      </c>
      <c r="N195" s="502">
        <v>-0.8</v>
      </c>
      <c r="O195" s="1153">
        <v>0.4</v>
      </c>
      <c r="P195" s="1153">
        <v>0.2</v>
      </c>
      <c r="Q195" s="1153">
        <v>0.4</v>
      </c>
      <c r="R195" s="1153">
        <v>0.5</v>
      </c>
      <c r="S195" s="1153">
        <v>0.5</v>
      </c>
      <c r="T195" s="1153">
        <v>1.6</v>
      </c>
      <c r="U195" s="859"/>
      <c r="V195" s="649">
        <v>0.16</v>
      </c>
      <c r="W195" s="1153">
        <v>-0.2</v>
      </c>
      <c r="X195" s="1153">
        <v>0.8</v>
      </c>
      <c r="Y195" s="1153">
        <v>0.67</v>
      </c>
      <c r="Z195" s="1153">
        <v>-0.5</v>
      </c>
      <c r="AA195" s="1153">
        <v>-0.7</v>
      </c>
      <c r="AB195" s="1153">
        <v>0.1</v>
      </c>
      <c r="AC195" s="1153">
        <v>0.6</v>
      </c>
      <c r="AD195" s="214"/>
    </row>
    <row r="196" spans="1:30" ht="14.25">
      <c r="A196" s="499"/>
      <c r="B196" s="500" t="s">
        <v>141</v>
      </c>
      <c r="C196" s="501">
        <v>10</v>
      </c>
      <c r="D196" s="655">
        <v>0.2</v>
      </c>
      <c r="E196" s="502">
        <v>-0.6</v>
      </c>
      <c r="F196" s="502">
        <v>1.1000000000000001</v>
      </c>
      <c r="G196" s="502">
        <v>-0.4</v>
      </c>
      <c r="H196" s="502">
        <v>1.3</v>
      </c>
      <c r="I196" s="502">
        <v>0</v>
      </c>
      <c r="J196" s="502">
        <v>-0.6</v>
      </c>
      <c r="K196" s="502">
        <v>0.9</v>
      </c>
      <c r="L196" s="859"/>
      <c r="M196" s="502">
        <v>-2.645</v>
      </c>
      <c r="N196" s="502">
        <v>-0.7</v>
      </c>
      <c r="O196" s="1153">
        <v>-0.9</v>
      </c>
      <c r="P196" s="1153">
        <v>0.7</v>
      </c>
      <c r="Q196" s="1153">
        <v>0.5</v>
      </c>
      <c r="R196" s="1153">
        <v>-0.1</v>
      </c>
      <c r="S196" s="1153">
        <v>0.1</v>
      </c>
      <c r="T196" s="1153">
        <v>-0.3</v>
      </c>
      <c r="U196" s="859"/>
      <c r="V196" s="649">
        <v>0.15</v>
      </c>
      <c r="W196" s="1153">
        <v>-0.3</v>
      </c>
      <c r="X196" s="1153">
        <v>0.5</v>
      </c>
      <c r="Y196" s="1153">
        <v>1.51</v>
      </c>
      <c r="Z196" s="1153">
        <v>-0.5</v>
      </c>
      <c r="AA196" s="1153">
        <v>-0.1</v>
      </c>
      <c r="AB196" s="1153">
        <v>-0.9</v>
      </c>
      <c r="AC196" s="1153">
        <v>-1.7</v>
      </c>
      <c r="AD196" s="214"/>
    </row>
    <row r="197" spans="1:30" ht="14.25">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3">
        <v>0.2</v>
      </c>
      <c r="P197" s="1153">
        <v>-0.8</v>
      </c>
      <c r="Q197" s="1153">
        <v>-2</v>
      </c>
      <c r="R197" s="1153">
        <v>-1.4</v>
      </c>
      <c r="S197" s="1153">
        <v>-1.7</v>
      </c>
      <c r="T197" s="1153">
        <v>0.2</v>
      </c>
      <c r="U197" s="859"/>
      <c r="V197" s="649">
        <v>0.12</v>
      </c>
      <c r="W197" s="1153">
        <v>-3</v>
      </c>
      <c r="X197" s="1153">
        <v>-0.8</v>
      </c>
      <c r="Y197" s="1153">
        <v>-2.0099999999999998</v>
      </c>
      <c r="Z197" s="1153">
        <v>1.1000000000000001</v>
      </c>
      <c r="AA197" s="1153">
        <v>0.3</v>
      </c>
      <c r="AB197" s="1153">
        <v>-2.4</v>
      </c>
      <c r="AC197" s="1153">
        <v>1.5</v>
      </c>
      <c r="AD197" s="214"/>
    </row>
    <row r="198" spans="1:30" ht="14.25">
      <c r="A198" s="499"/>
      <c r="B198" s="500" t="s">
        <v>141</v>
      </c>
      <c r="C198" s="501">
        <v>12</v>
      </c>
      <c r="D198" s="657">
        <v>-0.09</v>
      </c>
      <c r="E198" s="502">
        <v>-1.1000000000000001</v>
      </c>
      <c r="F198" s="502">
        <v>-1</v>
      </c>
      <c r="G198" s="502">
        <v>-2.1</v>
      </c>
      <c r="H198" s="502">
        <v>-3.7</v>
      </c>
      <c r="I198" s="502">
        <v>2</v>
      </c>
      <c r="J198" s="502">
        <v>-1.9</v>
      </c>
      <c r="K198" s="502">
        <v>1</v>
      </c>
      <c r="L198" s="859"/>
      <c r="M198" s="502">
        <v>-0.85499999999999998</v>
      </c>
      <c r="N198" s="502">
        <v>-0.9</v>
      </c>
      <c r="O198" s="1153">
        <v>-1</v>
      </c>
      <c r="P198" s="1153">
        <v>-0.7</v>
      </c>
      <c r="Q198" s="1153">
        <v>-2.2000000000000002</v>
      </c>
      <c r="R198" s="1153">
        <v>-2.7</v>
      </c>
      <c r="S198" s="1153">
        <v>-2.2999999999999998</v>
      </c>
      <c r="T198" s="1153">
        <v>-1.3</v>
      </c>
      <c r="U198" s="859"/>
      <c r="V198" s="651">
        <v>-0.08</v>
      </c>
      <c r="W198" s="1153">
        <v>1.9</v>
      </c>
      <c r="X198" s="1153">
        <v>-0.3</v>
      </c>
      <c r="Y198" s="1153">
        <v>-2.86</v>
      </c>
      <c r="Z198" s="1153">
        <v>-1.3</v>
      </c>
      <c r="AA198" s="1153">
        <v>0.3</v>
      </c>
      <c r="AB198" s="1153">
        <v>-2.1</v>
      </c>
      <c r="AC198" s="1153">
        <v>0.4</v>
      </c>
      <c r="AD198" s="214"/>
    </row>
    <row r="199" spans="1:30" ht="14.25">
      <c r="A199" s="503" t="s">
        <v>379</v>
      </c>
      <c r="B199" s="504">
        <v>2009</v>
      </c>
      <c r="C199" s="505">
        <v>1</v>
      </c>
      <c r="D199" s="659">
        <v>-0.26</v>
      </c>
      <c r="E199" s="511">
        <v>0.3</v>
      </c>
      <c r="F199" s="511">
        <v>-0.6</v>
      </c>
      <c r="G199" s="511">
        <v>-1.3</v>
      </c>
      <c r="H199" s="511">
        <v>1.8</v>
      </c>
      <c r="I199" s="511">
        <v>-1.2</v>
      </c>
      <c r="J199" s="511">
        <v>0.6</v>
      </c>
      <c r="K199" s="511">
        <v>-2.4</v>
      </c>
      <c r="L199" s="858"/>
      <c r="M199" s="511">
        <v>-2.3450000000000002</v>
      </c>
      <c r="N199" s="511">
        <v>-1.8</v>
      </c>
      <c r="O199" s="1156">
        <v>-3.4</v>
      </c>
      <c r="P199" s="1156">
        <v>-0.3</v>
      </c>
      <c r="Q199" s="1156">
        <v>-1.2</v>
      </c>
      <c r="R199" s="1156">
        <v>-1.6</v>
      </c>
      <c r="S199" s="1156">
        <v>-2.7</v>
      </c>
      <c r="T199" s="1156">
        <v>-1.1000000000000001</v>
      </c>
      <c r="U199" s="858"/>
      <c r="V199" s="424">
        <v>-0.21</v>
      </c>
      <c r="W199" s="1156">
        <v>-2.5</v>
      </c>
      <c r="X199" s="1156">
        <v>-0.4</v>
      </c>
      <c r="Y199" s="1156">
        <v>0.82</v>
      </c>
      <c r="Z199" s="1156">
        <v>0.5</v>
      </c>
      <c r="AA199" s="1156">
        <v>1.1000000000000001</v>
      </c>
      <c r="AB199" s="1156">
        <v>-0.7</v>
      </c>
      <c r="AC199" s="1156">
        <v>-2</v>
      </c>
      <c r="AD199" s="214"/>
    </row>
    <row r="200" spans="1:30" ht="14.25">
      <c r="A200" s="499"/>
      <c r="B200" s="500"/>
      <c r="C200" s="501">
        <v>2</v>
      </c>
      <c r="D200" s="425">
        <v>-0.31</v>
      </c>
      <c r="E200" s="512">
        <v>-2.1</v>
      </c>
      <c r="F200" s="512">
        <v>1</v>
      </c>
      <c r="G200" s="512">
        <v>-2.9</v>
      </c>
      <c r="H200" s="512">
        <v>-0.5</v>
      </c>
      <c r="I200" s="512">
        <v>0.4</v>
      </c>
      <c r="J200" s="512">
        <v>0</v>
      </c>
      <c r="K200" s="512">
        <v>-2.2999999999999998</v>
      </c>
      <c r="L200" s="859"/>
      <c r="M200" s="512">
        <v>-1.292</v>
      </c>
      <c r="N200" s="512">
        <v>-3</v>
      </c>
      <c r="O200" s="889">
        <v>-2</v>
      </c>
      <c r="P200" s="889">
        <v>0</v>
      </c>
      <c r="Q200" s="889">
        <v>-1.6</v>
      </c>
      <c r="R200" s="889">
        <v>-1.4</v>
      </c>
      <c r="S200" s="889">
        <v>-0.7</v>
      </c>
      <c r="T200" s="889">
        <v>0.3</v>
      </c>
      <c r="U200" s="859"/>
      <c r="V200" s="652">
        <v>-0.23</v>
      </c>
      <c r="W200" s="889">
        <v>-2.6</v>
      </c>
      <c r="X200" s="889">
        <v>0</v>
      </c>
      <c r="Y200" s="889">
        <v>-2.2799999999999998</v>
      </c>
      <c r="Z200" s="889">
        <v>-0.8</v>
      </c>
      <c r="AA200" s="889">
        <v>0.2</v>
      </c>
      <c r="AB200" s="889">
        <v>0.2</v>
      </c>
      <c r="AC200" s="889">
        <v>-0.7</v>
      </c>
      <c r="AD200" s="214"/>
    </row>
    <row r="201" spans="1:30" ht="14.25">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25">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25">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25">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25">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57">
        <v>1.4</v>
      </c>
      <c r="P205" s="1157">
        <v>0</v>
      </c>
      <c r="Q205" s="1157">
        <v>0</v>
      </c>
      <c r="R205" s="1157">
        <v>-0.3</v>
      </c>
      <c r="S205" s="1157">
        <v>0.2</v>
      </c>
      <c r="T205" s="1157">
        <v>0.4</v>
      </c>
      <c r="U205" s="844"/>
      <c r="V205" s="863">
        <v>-0.24</v>
      </c>
      <c r="W205" s="1157">
        <v>-0.5</v>
      </c>
      <c r="X205" s="1157">
        <v>-0.3</v>
      </c>
      <c r="Y205" s="1157">
        <v>-1.59</v>
      </c>
      <c r="Z205" s="1157">
        <v>-0.1</v>
      </c>
      <c r="AA205" s="1157">
        <v>-0.9</v>
      </c>
      <c r="AB205" s="1157">
        <v>-0.9</v>
      </c>
      <c r="AC205" s="1157">
        <v>0.2</v>
      </c>
      <c r="AD205" s="214"/>
    </row>
    <row r="206" spans="1:30" ht="14.25">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57">
        <v>1.9</v>
      </c>
      <c r="P206" s="1157">
        <v>0.2</v>
      </c>
      <c r="Q206" s="1157">
        <v>0.3</v>
      </c>
      <c r="R206" s="1157">
        <v>0.3</v>
      </c>
      <c r="S206" s="1157">
        <v>-0.1</v>
      </c>
      <c r="T206" s="1157">
        <v>-0.3</v>
      </c>
      <c r="U206" s="844"/>
      <c r="V206" s="863">
        <v>-0.24</v>
      </c>
      <c r="W206" s="1157">
        <v>1.2</v>
      </c>
      <c r="X206" s="1157">
        <v>0.3</v>
      </c>
      <c r="Y206" s="1157">
        <v>0.68</v>
      </c>
      <c r="Z206" s="1157">
        <v>-0.2</v>
      </c>
      <c r="AA206" s="1157">
        <v>0</v>
      </c>
      <c r="AB206" s="1157">
        <v>0.2</v>
      </c>
      <c r="AC206" s="1157">
        <v>-0.2</v>
      </c>
      <c r="AD206" s="214"/>
    </row>
    <row r="207" spans="1:30" ht="14.25">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57">
        <v>0</v>
      </c>
      <c r="P207" s="1157">
        <v>-0.2</v>
      </c>
      <c r="Q207" s="1157">
        <v>0.8</v>
      </c>
      <c r="R207" s="1157">
        <v>0.9</v>
      </c>
      <c r="S207" s="1157">
        <v>0.4</v>
      </c>
      <c r="T207" s="1157">
        <v>-0.3</v>
      </c>
      <c r="U207" s="844"/>
      <c r="V207" s="863">
        <v>-0.21</v>
      </c>
      <c r="W207" s="1157">
        <v>-0.2</v>
      </c>
      <c r="X207" s="1157">
        <v>0.1</v>
      </c>
      <c r="Y207" s="1157">
        <v>0.26</v>
      </c>
      <c r="Z207" s="1157">
        <v>0.5</v>
      </c>
      <c r="AA207" s="1157">
        <v>-0.2</v>
      </c>
      <c r="AB207" s="1157">
        <v>-0.1</v>
      </c>
      <c r="AC207" s="1157">
        <v>-0.4</v>
      </c>
      <c r="AD207" s="214"/>
    </row>
    <row r="208" spans="1:30" ht="14.25">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58">
        <v>0.8</v>
      </c>
      <c r="P208" s="1158">
        <v>0.6</v>
      </c>
      <c r="Q208" s="1158">
        <v>0.8</v>
      </c>
      <c r="R208" s="1158">
        <v>0.4</v>
      </c>
      <c r="S208" s="1158">
        <v>0.8</v>
      </c>
      <c r="T208" s="1158">
        <v>-0.4</v>
      </c>
      <c r="U208" s="844"/>
      <c r="V208" s="863">
        <v>-0.15</v>
      </c>
      <c r="W208" s="1158">
        <v>0.3</v>
      </c>
      <c r="X208" s="1158">
        <v>0.7</v>
      </c>
      <c r="Y208" s="1158">
        <v>1.22</v>
      </c>
      <c r="Z208" s="1158">
        <v>-0.2</v>
      </c>
      <c r="AA208" s="1158">
        <v>1.6</v>
      </c>
      <c r="AB208" s="1158">
        <v>-0.1</v>
      </c>
      <c r="AC208" s="1158">
        <v>0.5</v>
      </c>
      <c r="AD208" s="214"/>
    </row>
    <row r="209" spans="1:30" ht="14.25">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58">
        <v>-0.6</v>
      </c>
      <c r="P209" s="1158">
        <v>-0.1</v>
      </c>
      <c r="Q209" s="1158">
        <v>0.3</v>
      </c>
      <c r="R209" s="1158">
        <v>0.5</v>
      </c>
      <c r="S209" s="1158">
        <v>0.1</v>
      </c>
      <c r="T209" s="1158">
        <v>0.6</v>
      </c>
      <c r="U209" s="844"/>
      <c r="V209" s="863">
        <v>-0.13</v>
      </c>
      <c r="W209" s="1158">
        <v>0.9</v>
      </c>
      <c r="X209" s="1158">
        <v>-0.2</v>
      </c>
      <c r="Y209" s="1158">
        <v>-0.19</v>
      </c>
      <c r="Z209" s="1158">
        <v>-0.5</v>
      </c>
      <c r="AA209" s="1158">
        <v>-1.7</v>
      </c>
      <c r="AB209" s="1158">
        <v>1</v>
      </c>
      <c r="AC209" s="1158">
        <v>0.3</v>
      </c>
      <c r="AD209" s="214"/>
    </row>
    <row r="210" spans="1:30" ht="14.25">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25">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25">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25">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25">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25">
      <c r="A215" s="762"/>
      <c r="B215" s="763"/>
      <c r="C215" s="764">
        <v>5</v>
      </c>
      <c r="D215" s="838">
        <v>0.03</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25">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25">
      <c r="A217" s="762"/>
      <c r="B217" s="763"/>
      <c r="C217" s="764">
        <v>7</v>
      </c>
      <c r="D217" s="838">
        <v>-0.11</v>
      </c>
      <c r="E217" s="852">
        <v>-1.4</v>
      </c>
      <c r="F217" s="852">
        <v>-1.3</v>
      </c>
      <c r="G217" s="852">
        <v>-0.4</v>
      </c>
      <c r="H217" s="852">
        <v>1.1000000000000001</v>
      </c>
      <c r="I217" s="852">
        <v>-0.9</v>
      </c>
      <c r="J217" s="852">
        <v>-1.5</v>
      </c>
      <c r="K217" s="852">
        <v>0.7</v>
      </c>
      <c r="L217" s="426"/>
      <c r="M217" s="852">
        <v>1.5449999999999999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25">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25">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25">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25">
      <c r="A221" s="762"/>
      <c r="B221" s="763"/>
      <c r="C221" s="764">
        <v>11</v>
      </c>
      <c r="D221" s="838">
        <v>-0.11</v>
      </c>
      <c r="E221" s="852">
        <v>-1.2</v>
      </c>
      <c r="F221" s="852">
        <v>1.1000000000000001</v>
      </c>
      <c r="G221" s="852">
        <v>2.4</v>
      </c>
      <c r="H221" s="852">
        <v>-1.4</v>
      </c>
      <c r="I221" s="852">
        <v>1.7</v>
      </c>
      <c r="J221" s="852">
        <v>-1.4</v>
      </c>
      <c r="K221" s="852">
        <v>-0.2</v>
      </c>
      <c r="L221" s="426"/>
      <c r="M221" s="852">
        <v>1.679</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-0.90300000000000002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-0.03</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-3.363</v>
      </c>
      <c r="N225" s="852">
        <v>-4</v>
      </c>
      <c r="O225" s="889">
        <v>-7.3</v>
      </c>
      <c r="P225" s="889">
        <v>-5.0999999999999996</v>
      </c>
      <c r="Q225" s="889">
        <v>-7.1</v>
      </c>
      <c r="R225" s="889">
        <v>-7.6</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-0.11700000000000001</v>
      </c>
      <c r="N226" s="852">
        <v>0</v>
      </c>
      <c r="O226" s="889">
        <v>3.3</v>
      </c>
      <c r="P226" s="889">
        <v>1.2</v>
      </c>
      <c r="Q226" s="889">
        <v>2.6</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-0.28000000000000003</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2.7</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3.036</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2.3340000000000001</v>
      </c>
      <c r="N231" s="852">
        <v>3.4</v>
      </c>
      <c r="O231" s="889">
        <v>1.9</v>
      </c>
      <c r="P231" s="889">
        <v>-1.3</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2.9540000000000002</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4.0999999999999996</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-0.21</v>
      </c>
      <c r="E237" s="891">
        <v>-0.5</v>
      </c>
      <c r="F237" s="891">
        <v>0.5</v>
      </c>
      <c r="G237" s="891">
        <v>1.2</v>
      </c>
      <c r="H237" s="891">
        <v>-4.5999999999999996</v>
      </c>
      <c r="I237" s="891">
        <v>-4.0999999999999996</v>
      </c>
      <c r="J237" s="891">
        <v>-0.5</v>
      </c>
      <c r="K237" s="891">
        <v>0.7</v>
      </c>
      <c r="L237" s="426"/>
      <c r="M237" s="889">
        <v>2.7189999999999999</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6.1</v>
      </c>
      <c r="I238" s="891">
        <v>6.5</v>
      </c>
      <c r="J238" s="891">
        <v>-1</v>
      </c>
      <c r="K238" s="891">
        <v>0.9</v>
      </c>
      <c r="L238" s="426"/>
      <c r="M238" s="889">
        <v>3.3290000000000002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-0.23</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3.5</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-0.98699999999999999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-1.0049999999999999</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-1.694</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0.35599999999999998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1.0289999999999999</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1.7250000000000001</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-0.42299999999999999</v>
      </c>
      <c r="N249" s="889">
        <v>-0.4</v>
      </c>
      <c r="O249" s="889">
        <v>-0.2</v>
      </c>
      <c r="P249" s="889">
        <v>1.9</v>
      </c>
      <c r="Q249" s="889">
        <v>1.8</v>
      </c>
      <c r="R249" s="889">
        <v>0.6</v>
      </c>
      <c r="S249" s="889">
        <v>1.1000000000000001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-0.40600000000000003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0.27900000000000003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0.876</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0.05</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0.10199999999999999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2.8000000000000001E-2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-8.0000000000000002E-3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-0.129</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-1.5780000000000001</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-0.17599999999999999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-2.1989999999999998</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-0.16</v>
      </c>
      <c r="N266" s="889">
        <v>-0.1</v>
      </c>
      <c r="O266" s="889">
        <v>0.2</v>
      </c>
      <c r="P266" s="889">
        <v>-0.6</v>
      </c>
      <c r="Q266" s="889">
        <v>-2.2000000000000002</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-3.1</v>
      </c>
      <c r="I268" s="891">
        <v>1.8</v>
      </c>
      <c r="J268" s="891">
        <v>0.4</v>
      </c>
      <c r="K268" s="891">
        <v>1</v>
      </c>
      <c r="L268" s="426"/>
      <c r="M268" s="889">
        <v>1.8420000000000001</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0.64</v>
      </c>
      <c r="E269" s="891">
        <v>0.6</v>
      </c>
      <c r="F269" s="891">
        <v>0.1</v>
      </c>
      <c r="G269" s="891">
        <v>0</v>
      </c>
      <c r="H269" s="891">
        <v>2.1</v>
      </c>
      <c r="I269" s="891">
        <v>-3.5</v>
      </c>
      <c r="J269" s="891">
        <v>-2.1</v>
      </c>
      <c r="K269" s="891">
        <v>0.9</v>
      </c>
      <c r="L269" s="426"/>
      <c r="M269" s="889">
        <v>0.47499999999999998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0.46100000000000002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-0.89700000000000002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-3.6</v>
      </c>
      <c r="I274" s="891">
        <v>0.2</v>
      </c>
      <c r="J274" s="891">
        <v>0.4</v>
      </c>
      <c r="K274" s="891">
        <v>-0.3</v>
      </c>
      <c r="L274" s="426"/>
      <c r="M274" s="889">
        <v>1.1379999999999999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-0.91400000000000003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-0.218</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0.45800000000000002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-2.7989999999999999</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-0.80200000000000005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-0.747</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0.35099999999999998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-0.83699999999999997</v>
      </c>
      <c r="N287" s="889">
        <v>0.1</v>
      </c>
      <c r="O287" s="889">
        <v>0</v>
      </c>
      <c r="P287" s="889">
        <v>-0.3</v>
      </c>
      <c r="Q287" s="889">
        <v>-0.3</v>
      </c>
      <c r="R287" s="889">
        <v>-0.3</v>
      </c>
      <c r="S287" s="1137">
        <v>-0.6</v>
      </c>
      <c r="T287" s="889">
        <v>-0.2</v>
      </c>
      <c r="U287" s="426"/>
      <c r="V287" s="843">
        <v>0.27</v>
      </c>
      <c r="W287" s="1137">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0.39300000000000002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0.23</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0.66800000000000004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-0.57499999999999996</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2.2000000000000002</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-0.7</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1.4</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-2.1469999999999998</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-3.3860000000000001</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-4.4249999999999998</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0.11600000000000001</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0.13</v>
      </c>
      <c r="E343" s="891">
        <v>0.6</v>
      </c>
      <c r="F343" s="891">
        <v>-1.4</v>
      </c>
      <c r="G343" s="891">
        <v>0.4</v>
      </c>
      <c r="H343" s="891">
        <v>-0.9</v>
      </c>
      <c r="I343" s="891">
        <v>0.9</v>
      </c>
      <c r="J343" s="891">
        <v>1.7</v>
      </c>
      <c r="K343" s="891">
        <v>1.6</v>
      </c>
      <c r="L343" s="861"/>
      <c r="M343" s="889">
        <v>0.628</v>
      </c>
      <c r="N343" s="889">
        <v>-0.9</v>
      </c>
      <c r="O343" s="889">
        <v>0.7</v>
      </c>
      <c r="P343" s="889">
        <v>2</v>
      </c>
      <c r="Q343" s="889">
        <v>2.5</v>
      </c>
      <c r="R343" s="889">
        <v>3.1</v>
      </c>
      <c r="S343" s="889">
        <v>2.7</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0.18</v>
      </c>
      <c r="E344" s="891">
        <v>-0.3</v>
      </c>
      <c r="F344" s="891">
        <v>-0.4</v>
      </c>
      <c r="G344" s="891">
        <v>-0.5</v>
      </c>
      <c r="H344" s="891">
        <v>0.1</v>
      </c>
      <c r="I344" s="891">
        <v>0.1</v>
      </c>
      <c r="J344" s="891">
        <v>-1.1000000000000001</v>
      </c>
      <c r="K344" s="891">
        <v>1.6</v>
      </c>
      <c r="L344" s="426"/>
      <c r="M344" s="889">
        <v>1.734</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2.7509999999999999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0.19</v>
      </c>
      <c r="E346" s="891">
        <v>0</v>
      </c>
      <c r="F346" s="891">
        <v>0.1</v>
      </c>
      <c r="G346" s="891">
        <v>0.9</v>
      </c>
      <c r="H346" s="891">
        <v>-1</v>
      </c>
      <c r="I346" s="891">
        <v>2.6</v>
      </c>
      <c r="J346" s="891">
        <v>1.4</v>
      </c>
      <c r="K346" s="891">
        <v>0</v>
      </c>
      <c r="L346" s="426"/>
      <c r="M346" s="889">
        <v>0.64100000000000001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1.7729999999999999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1.2529999999999999</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v>
      </c>
      <c r="N349" s="889">
        <v>1.2</v>
      </c>
      <c r="O349" s="889">
        <v>0.6</v>
      </c>
      <c r="P349" s="889">
        <v>-1.7</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0.39</v>
      </c>
      <c r="E350" s="891">
        <v>-0.4</v>
      </c>
      <c r="F350" s="891">
        <v>1.3</v>
      </c>
      <c r="G350" s="891">
        <v>-1.5</v>
      </c>
      <c r="H350" s="891">
        <v>0.7</v>
      </c>
      <c r="I350" s="891">
        <v>-0.3</v>
      </c>
      <c r="J350" s="891">
        <v>0</v>
      </c>
      <c r="K350" s="891">
        <v>-0.8</v>
      </c>
      <c r="L350" s="426"/>
      <c r="M350" s="889">
        <v>0.66500000000000004</v>
      </c>
      <c r="N350" s="889">
        <v>-0.9</v>
      </c>
      <c r="O350" s="889">
        <v>0.4</v>
      </c>
      <c r="P350" s="889">
        <v>0.3</v>
      </c>
      <c r="Q350" s="889">
        <v>2.2000000000000002</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0.23</v>
      </c>
      <c r="E351" s="891">
        <v>-0.2</v>
      </c>
      <c r="F351" s="891">
        <v>0</v>
      </c>
      <c r="G351" s="891">
        <v>-3.2</v>
      </c>
      <c r="H351" s="891">
        <v>-3.2</v>
      </c>
      <c r="I351" s="891">
        <v>0.4</v>
      </c>
      <c r="J351" s="891">
        <v>0.7</v>
      </c>
      <c r="K351" s="891">
        <v>-0.8</v>
      </c>
      <c r="L351" s="426"/>
      <c r="M351" s="889">
        <v>-0.59699999999999998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0.28000000000000003</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0.35</v>
      </c>
      <c r="E354" s="892">
        <v>1.3</v>
      </c>
      <c r="F354" s="892">
        <v>0.3</v>
      </c>
      <c r="G354" s="892">
        <v>3.4</v>
      </c>
      <c r="H354" s="892">
        <v>1.6</v>
      </c>
      <c r="I354" s="892">
        <v>-0.4</v>
      </c>
      <c r="J354" s="892">
        <v>-2.6</v>
      </c>
      <c r="K354" s="892">
        <v>0.2</v>
      </c>
      <c r="L354" s="845"/>
      <c r="M354" s="890">
        <v>2.6749999999999998</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2.7730000000000001</v>
      </c>
      <c r="N355" s="889">
        <v>1.4</v>
      </c>
      <c r="O355" s="889">
        <v>2.8</v>
      </c>
      <c r="P355" s="889">
        <v>-1.7</v>
      </c>
      <c r="Q355" s="889">
        <v>-0.7</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0.35</v>
      </c>
      <c r="E356" s="891">
        <v>-0.3</v>
      </c>
      <c r="F356" s="891">
        <v>0.7</v>
      </c>
      <c r="G356" s="891">
        <v>-0.2</v>
      </c>
      <c r="H356" s="891">
        <v>0.3</v>
      </c>
      <c r="I356" s="891">
        <v>-2.9</v>
      </c>
      <c r="J356" s="891">
        <v>-0.7</v>
      </c>
      <c r="K356" s="891">
        <v>-1.8</v>
      </c>
      <c r="L356" s="426"/>
      <c r="M356" s="889">
        <v>2.1139999999999999</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v>
      </c>
      <c r="E357" s="891">
        <v>-0.9</v>
      </c>
      <c r="F357" s="891">
        <v>0.1</v>
      </c>
      <c r="G357" s="891">
        <v>0.5</v>
      </c>
      <c r="H357" s="891">
        <v>0.4</v>
      </c>
      <c r="I357" s="891">
        <v>1.3</v>
      </c>
      <c r="J357" s="891">
        <v>0.4</v>
      </c>
      <c r="K357" s="891">
        <v>-0.1</v>
      </c>
      <c r="L357" s="426"/>
      <c r="M357" s="889">
        <v>1.7999999999999999E-2</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0.25</v>
      </c>
      <c r="E358" s="891">
        <v>1.5</v>
      </c>
      <c r="F358" s="891">
        <v>0.8</v>
      </c>
      <c r="G358" s="891">
        <v>0</v>
      </c>
      <c r="H358" s="891">
        <v>0.5</v>
      </c>
      <c r="I358" s="891">
        <v>0.7</v>
      </c>
      <c r="J358" s="891">
        <v>0</v>
      </c>
      <c r="K358" s="891">
        <v>1.6</v>
      </c>
      <c r="L358" s="426"/>
      <c r="M358" s="889">
        <v>-1.329</v>
      </c>
      <c r="N358" s="889">
        <v>0</v>
      </c>
      <c r="O358" s="889">
        <v>0</v>
      </c>
      <c r="P358" s="889">
        <v>-2.2999999999999998</v>
      </c>
      <c r="Q358" s="889">
        <v>0.8</v>
      </c>
      <c r="R358" s="889">
        <v>2.2999999999999998</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-1.304</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0.38</v>
      </c>
      <c r="E360" s="891">
        <v>-1.1000000000000001</v>
      </c>
      <c r="F360" s="891">
        <v>1.3</v>
      </c>
      <c r="G360" s="891">
        <v>-1.2</v>
      </c>
      <c r="H360" s="891">
        <v>0.8</v>
      </c>
      <c r="I360" s="891">
        <v>0.2</v>
      </c>
      <c r="J360" s="891">
        <v>0</v>
      </c>
      <c r="K360" s="891">
        <v>1.7</v>
      </c>
      <c r="L360" s="426"/>
      <c r="M360" s="889">
        <v>1.498</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0.47</v>
      </c>
      <c r="E361" s="891">
        <v>0.8</v>
      </c>
      <c r="F361" s="891">
        <v>-2.2000000000000002</v>
      </c>
      <c r="G361" s="891">
        <v>1.2</v>
      </c>
      <c r="H361" s="891">
        <v>2.4</v>
      </c>
      <c r="I361" s="891">
        <v>-1</v>
      </c>
      <c r="J361" s="891">
        <v>-0.4</v>
      </c>
      <c r="K361" s="891">
        <v>0.1</v>
      </c>
      <c r="L361" s="426"/>
      <c r="M361" s="889">
        <v>-0.622</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0.48</v>
      </c>
      <c r="E362" s="891">
        <v>-0.5</v>
      </c>
      <c r="F362" s="891">
        <v>0.6</v>
      </c>
      <c r="G362" s="891">
        <v>0</v>
      </c>
      <c r="H362" s="891">
        <v>-2.8</v>
      </c>
      <c r="I362" s="891">
        <v>-0.5</v>
      </c>
      <c r="J362" s="891">
        <v>0.4</v>
      </c>
      <c r="K362" s="891">
        <v>0.1</v>
      </c>
      <c r="L362" s="426"/>
      <c r="M362" s="889">
        <v>-0.629</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2.2690000000000001</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0.36</v>
      </c>
      <c r="E364" s="891">
        <v>0.5</v>
      </c>
      <c r="F364" s="891">
        <v>-1.2</v>
      </c>
      <c r="G364" s="891">
        <v>1.3</v>
      </c>
      <c r="H364" s="891">
        <v>1.8</v>
      </c>
      <c r="I364" s="891">
        <v>0.5</v>
      </c>
      <c r="J364" s="891">
        <v>2</v>
      </c>
      <c r="K364" s="891">
        <v>0.1</v>
      </c>
      <c r="L364" s="426"/>
      <c r="M364" s="889">
        <v>1.4850000000000001</v>
      </c>
      <c r="N364" s="889">
        <v>0.8</v>
      </c>
      <c r="O364" s="889">
        <v>-1.5</v>
      </c>
      <c r="P364" s="889">
        <v>-4.4000000000000004</v>
      </c>
      <c r="Q364" s="889">
        <v>-3.3</v>
      </c>
      <c r="R364" s="889">
        <v>-1.8</v>
      </c>
      <c r="S364" s="889">
        <v>-3</v>
      </c>
      <c r="T364" s="889">
        <v>0.3</v>
      </c>
      <c r="U364" s="426"/>
      <c r="V364" s="843">
        <v>0.45</v>
      </c>
      <c r="W364" s="889">
        <v>2.2999999999999998</v>
      </c>
      <c r="X364" s="889">
        <v>-3</v>
      </c>
      <c r="Y364" s="889">
        <v>-0.01</v>
      </c>
      <c r="Z364" s="889">
        <v>-0.6</v>
      </c>
      <c r="AA364" s="889">
        <v>-0.5</v>
      </c>
      <c r="AB364" s="889">
        <v>1.2</v>
      </c>
      <c r="AC364" s="889">
        <v>-0.4</v>
      </c>
      <c r="AD364" s="214"/>
    </row>
    <row r="365" spans="1:30" ht="15" customHeight="1">
      <c r="A365" s="762"/>
      <c r="B365" s="763"/>
      <c r="C365" s="764">
        <v>11</v>
      </c>
      <c r="D365" s="838">
        <v>0.38</v>
      </c>
      <c r="E365" s="891">
        <v>0.4</v>
      </c>
      <c r="F365" s="891">
        <v>0.5</v>
      </c>
      <c r="G365" s="891">
        <v>-1.2</v>
      </c>
      <c r="H365" s="891">
        <v>-0.2</v>
      </c>
      <c r="I365" s="891">
        <v>-0.9</v>
      </c>
      <c r="J365" s="891">
        <v>-0.8</v>
      </c>
      <c r="K365" s="891">
        <v>0.1</v>
      </c>
      <c r="L365" s="426"/>
      <c r="M365" s="889">
        <v>2.1560000000000001</v>
      </c>
      <c r="N365" s="889">
        <v>0</v>
      </c>
      <c r="O365" s="889">
        <v>-1</v>
      </c>
      <c r="P365" s="889">
        <v>1.9</v>
      </c>
      <c r="Q365" s="889">
        <v>0.8</v>
      </c>
      <c r="R365" s="889">
        <v>0.4</v>
      </c>
      <c r="S365" s="889">
        <v>1</v>
      </c>
      <c r="T365" s="889">
        <v>0.8</v>
      </c>
      <c r="U365" s="426"/>
      <c r="V365" s="843">
        <v>0.45</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-4.1479999999999997</v>
      </c>
      <c r="N366" s="890">
        <v>-0.1</v>
      </c>
      <c r="O366" s="890">
        <v>0.8</v>
      </c>
      <c r="P366" s="890">
        <v>-0.2</v>
      </c>
      <c r="Q366" s="890">
        <v>-0.2</v>
      </c>
      <c r="R366" s="890">
        <v>-0.2</v>
      </c>
      <c r="S366" s="890">
        <v>-0.3</v>
      </c>
      <c r="T366" s="890">
        <v>-2</v>
      </c>
      <c r="U366" s="845"/>
      <c r="V366" s="842">
        <v>0.27</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0.37</v>
      </c>
      <c r="E367" s="891">
        <v>-0.2</v>
      </c>
      <c r="F367" s="891">
        <v>0.5</v>
      </c>
      <c r="G367" s="891">
        <v>-1.9</v>
      </c>
      <c r="H367" s="891">
        <v>1.4</v>
      </c>
      <c r="I367" s="891">
        <v>-0.8</v>
      </c>
      <c r="J367" s="891">
        <v>1.2</v>
      </c>
      <c r="K367" s="891">
        <v>0.2</v>
      </c>
      <c r="L367" s="861"/>
      <c r="M367" s="889">
        <v>-1.2609999999999999</v>
      </c>
      <c r="N367" s="889">
        <v>-0.1</v>
      </c>
      <c r="O367" s="889">
        <v>-1</v>
      </c>
      <c r="P367" s="889">
        <v>-2.2999999999999998</v>
      </c>
      <c r="Q367" s="889">
        <v>2</v>
      </c>
      <c r="R367" s="889">
        <v>2.2000000000000002</v>
      </c>
      <c r="S367" s="889">
        <v>1.3</v>
      </c>
      <c r="T367" s="889">
        <v>1.2</v>
      </c>
      <c r="U367" s="426"/>
      <c r="V367" s="864">
        <v>0.44</v>
      </c>
      <c r="W367" s="889">
        <v>1.8</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-1.2549999999999999</v>
      </c>
      <c r="N368" s="889">
        <v>-0.2</v>
      </c>
      <c r="O368" s="889">
        <v>0</v>
      </c>
      <c r="P368" s="889">
        <v>2.6</v>
      </c>
      <c r="Q368" s="889">
        <v>0.3</v>
      </c>
      <c r="R368" s="889">
        <v>-0.8</v>
      </c>
      <c r="S368" s="889">
        <v>0.5</v>
      </c>
      <c r="T368" s="889">
        <v>-1.9</v>
      </c>
      <c r="U368" s="426"/>
      <c r="V368" s="843">
        <v>0.34</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-1.8779999999999999</v>
      </c>
      <c r="N369" s="889">
        <v>-1.2</v>
      </c>
      <c r="O369" s="889">
        <v>-0.2</v>
      </c>
      <c r="P369" s="889">
        <v>-0.2</v>
      </c>
      <c r="Q369" s="889">
        <v>-0.3</v>
      </c>
      <c r="R369" s="889">
        <v>-0.4</v>
      </c>
      <c r="S369" s="889">
        <v>-0.1</v>
      </c>
      <c r="T369" s="889">
        <v>0.3</v>
      </c>
      <c r="U369" s="426"/>
      <c r="V369" s="843">
        <v>0.27</v>
      </c>
      <c r="W369" s="889">
        <v>2.1</v>
      </c>
      <c r="X369" s="889">
        <v>-0.7</v>
      </c>
      <c r="Y369" s="889">
        <v>-0.67</v>
      </c>
      <c r="Z369" s="889">
        <v>-1.1000000000000001</v>
      </c>
      <c r="AA369" s="889">
        <v>-1.7</v>
      </c>
      <c r="AB369" s="889">
        <v>-0.5</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-1.784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0.16</v>
      </c>
      <c r="E371" s="891">
        <v>-0.4</v>
      </c>
      <c r="F371" s="891">
        <v>-0.8</v>
      </c>
      <c r="G371" s="891">
        <v>-0.4</v>
      </c>
      <c r="H371" s="891">
        <v>0.2</v>
      </c>
      <c r="I371" s="891">
        <v>1.4</v>
      </c>
      <c r="J371" s="891">
        <v>-1.2</v>
      </c>
      <c r="K371" s="891">
        <v>1.4</v>
      </c>
      <c r="L371" s="426"/>
      <c r="M371" s="889">
        <v>1.5309999999999999</v>
      </c>
      <c r="N371" s="889">
        <v>-1.1000000000000001</v>
      </c>
      <c r="O371" s="889">
        <v>1.5</v>
      </c>
      <c r="P371" s="889">
        <v>-0.3</v>
      </c>
      <c r="Q371" s="889">
        <v>-0.3</v>
      </c>
      <c r="R371" s="889">
        <v>-0.1</v>
      </c>
      <c r="S371" s="889">
        <v>-0.4</v>
      </c>
      <c r="T371" s="889">
        <v>-2.6</v>
      </c>
      <c r="U371" s="426"/>
      <c r="V371" s="843">
        <v>0.17</v>
      </c>
      <c r="W371" s="889">
        <v>-0.3</v>
      </c>
      <c r="X371" s="889">
        <v>-0.2</v>
      </c>
      <c r="Y371" s="889">
        <v>0.71</v>
      </c>
      <c r="Z371" s="889">
        <v>-1.3</v>
      </c>
      <c r="AA371" s="889">
        <v>0.3</v>
      </c>
      <c r="AB371" s="889">
        <v>-1.4</v>
      </c>
      <c r="AC371" s="889">
        <v>0.5</v>
      </c>
      <c r="AD371" s="214"/>
    </row>
    <row r="372" spans="1:30" ht="15" customHeight="1">
      <c r="A372" s="762"/>
      <c r="B372" s="763"/>
      <c r="C372" s="764">
        <v>6</v>
      </c>
      <c r="D372" s="838">
        <v>0.15</v>
      </c>
      <c r="E372" s="891">
        <v>1.1000000000000001</v>
      </c>
      <c r="F372" s="891">
        <v>2.8</v>
      </c>
      <c r="G372" s="891">
        <v>2.8</v>
      </c>
      <c r="H372" s="891">
        <v>0</v>
      </c>
      <c r="I372" s="891">
        <v>-0.7</v>
      </c>
      <c r="J372" s="891">
        <v>2.2000000000000002</v>
      </c>
      <c r="K372" s="891">
        <v>1.3</v>
      </c>
      <c r="L372" s="426"/>
      <c r="M372" s="889">
        <v>-0.42199999999999999</v>
      </c>
      <c r="N372" s="889">
        <v>-0.8</v>
      </c>
      <c r="O372" s="889">
        <v>-0.2</v>
      </c>
      <c r="P372" s="889">
        <v>-0.2</v>
      </c>
      <c r="Q372" s="889">
        <v>0.9</v>
      </c>
      <c r="R372" s="889">
        <v>0.8</v>
      </c>
      <c r="S372" s="889">
        <v>0.3</v>
      </c>
      <c r="T372" s="889">
        <v>0.9</v>
      </c>
      <c r="U372" s="426"/>
      <c r="V372" s="843">
        <v>0.16</v>
      </c>
      <c r="W372" s="889">
        <v>-1.1000000000000001</v>
      </c>
      <c r="X372" s="889">
        <v>-0.2</v>
      </c>
      <c r="Y372" s="889">
        <v>0.01</v>
      </c>
      <c r="Z372" s="889">
        <v>0.6</v>
      </c>
      <c r="AA372" s="889">
        <v>-1.3</v>
      </c>
      <c r="AB372" s="889">
        <v>0.6</v>
      </c>
      <c r="AC372" s="889">
        <v>-0.7</v>
      </c>
      <c r="AD372" s="214"/>
    </row>
    <row r="373" spans="1:30" ht="15" customHeight="1">
      <c r="A373" s="762"/>
      <c r="B373" s="763"/>
      <c r="C373" s="764">
        <v>7</v>
      </c>
      <c r="D373" s="838">
        <v>0.05</v>
      </c>
      <c r="E373" s="891">
        <v>-0.9</v>
      </c>
      <c r="F373" s="891">
        <v>-3.9</v>
      </c>
      <c r="G373" s="891">
        <v>-4.3</v>
      </c>
      <c r="H373" s="891">
        <v>-2.2999999999999998</v>
      </c>
      <c r="I373" s="891">
        <v>0.2</v>
      </c>
      <c r="J373" s="891">
        <v>-0.4</v>
      </c>
      <c r="K373" s="891">
        <v>2.1</v>
      </c>
      <c r="L373" s="426"/>
      <c r="M373" s="889">
        <v>-0.41499999999999998</v>
      </c>
      <c r="N373" s="889">
        <v>0.3</v>
      </c>
      <c r="O373" s="889">
        <v>-0.5</v>
      </c>
      <c r="P373" s="889">
        <v>0.4</v>
      </c>
      <c r="Q373" s="889">
        <v>-2</v>
      </c>
      <c r="R373" s="889">
        <v>-1.9</v>
      </c>
      <c r="S373" s="889">
        <v>-1.4</v>
      </c>
      <c r="T373" s="889">
        <v>-0.4</v>
      </c>
      <c r="U373" s="426"/>
      <c r="V373" s="843">
        <v>0.05</v>
      </c>
      <c r="W373" s="889">
        <v>1.3</v>
      </c>
      <c r="X373" s="889">
        <v>0.8</v>
      </c>
      <c r="Y373" s="889">
        <v>-0.66</v>
      </c>
      <c r="Z373" s="889">
        <v>0.5</v>
      </c>
      <c r="AA373" s="889">
        <v>1.2</v>
      </c>
      <c r="AB373" s="889">
        <v>-0.1</v>
      </c>
      <c r="AC373" s="889">
        <v>0.6</v>
      </c>
      <c r="AD373" s="214"/>
    </row>
    <row r="374" spans="1:30" ht="15" customHeight="1">
      <c r="A374" s="762"/>
      <c r="B374" s="763"/>
      <c r="C374" s="764">
        <v>8</v>
      </c>
      <c r="D374" s="838">
        <v>0.1</v>
      </c>
      <c r="E374" s="891">
        <v>0.4</v>
      </c>
      <c r="F374" s="891">
        <v>-2.9</v>
      </c>
      <c r="G374" s="891">
        <v>-0.8</v>
      </c>
      <c r="H374" s="891">
        <v>1.6</v>
      </c>
      <c r="I374" s="891">
        <v>2.1</v>
      </c>
      <c r="J374" s="891">
        <v>-0.8</v>
      </c>
      <c r="K374" s="891">
        <v>1.9</v>
      </c>
      <c r="L374" s="426"/>
      <c r="M374" s="889">
        <v>-0.38800000000000001</v>
      </c>
      <c r="N374" s="889">
        <v>-0.1</v>
      </c>
      <c r="O374" s="889">
        <v>0</v>
      </c>
      <c r="P374" s="889">
        <v>-0.7</v>
      </c>
      <c r="Q374" s="889">
        <v>-1.7</v>
      </c>
      <c r="R374" s="889">
        <v>-2</v>
      </c>
      <c r="S374" s="889">
        <v>-1.2</v>
      </c>
      <c r="T374" s="889">
        <v>0.5</v>
      </c>
      <c r="U374" s="426"/>
      <c r="V374" s="843">
        <v>0.1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-0.36799999999999999</v>
      </c>
      <c r="N375" s="889">
        <v>0.1</v>
      </c>
      <c r="O375" s="889">
        <v>1.1000000000000001</v>
      </c>
      <c r="P375" s="889">
        <v>0.9</v>
      </c>
      <c r="Q375" s="889">
        <v>-0.7</v>
      </c>
      <c r="R375" s="889">
        <v>-1</v>
      </c>
      <c r="S375" s="889">
        <v>-0.7</v>
      </c>
      <c r="T375" s="889">
        <v>-0.7</v>
      </c>
      <c r="U375" s="426"/>
      <c r="V375" s="843">
        <v>0.06</v>
      </c>
      <c r="W375" s="889">
        <v>-0.1</v>
      </c>
      <c r="X375" s="889">
        <v>0.4</v>
      </c>
      <c r="Y375" s="889">
        <v>0.03</v>
      </c>
      <c r="Z375" s="889">
        <v>-0.3</v>
      </c>
      <c r="AA375" s="889">
        <v>0.4</v>
      </c>
      <c r="AB375" s="889">
        <v>-0.4</v>
      </c>
      <c r="AC375" s="889">
        <v>0</v>
      </c>
      <c r="AD375" s="214"/>
    </row>
    <row r="376" spans="1:30" ht="15" customHeight="1">
      <c r="A376" s="762"/>
      <c r="B376" s="763"/>
      <c r="C376" s="764">
        <v>10</v>
      </c>
      <c r="D376" s="838">
        <v>0.11</v>
      </c>
      <c r="E376" s="891">
        <v>-2.2000000000000002</v>
      </c>
      <c r="F376" s="891">
        <v>0.8</v>
      </c>
      <c r="G376" s="891">
        <v>0.4</v>
      </c>
      <c r="H376" s="891">
        <v>1.8</v>
      </c>
      <c r="I376" s="891">
        <v>-1.6</v>
      </c>
      <c r="J376" s="891">
        <v>-2.2000000000000002</v>
      </c>
      <c r="K376" s="891">
        <v>-1.1000000000000001</v>
      </c>
      <c r="L376" s="426"/>
      <c r="M376" s="889">
        <v>0.83499999999999996</v>
      </c>
      <c r="N376" s="889">
        <v>-1.2</v>
      </c>
      <c r="O376" s="889">
        <v>0</v>
      </c>
      <c r="P376" s="889">
        <v>-0.3</v>
      </c>
      <c r="Q376" s="889">
        <v>-0.7</v>
      </c>
      <c r="R376" s="889">
        <v>-0.1</v>
      </c>
      <c r="S376" s="889">
        <v>-0.8</v>
      </c>
      <c r="T376" s="889">
        <v>2.1</v>
      </c>
      <c r="U376" s="426"/>
      <c r="V376" s="843">
        <v>0.1</v>
      </c>
      <c r="W376" s="889">
        <v>1.5</v>
      </c>
      <c r="X376" s="889">
        <v>-0.2</v>
      </c>
      <c r="Y376" s="889">
        <v>0.02</v>
      </c>
      <c r="Z376" s="889">
        <v>-0.6</v>
      </c>
      <c r="AA376" s="889">
        <v>1.9</v>
      </c>
      <c r="AB376" s="889">
        <v>-0.4</v>
      </c>
      <c r="AC376" s="889">
        <v>-0.3</v>
      </c>
      <c r="AD376" s="214"/>
    </row>
    <row r="377" spans="1:30" ht="15" customHeight="1">
      <c r="A377" s="762"/>
      <c r="B377" s="763"/>
      <c r="C377" s="764">
        <v>11</v>
      </c>
      <c r="D377" s="838">
        <v>0.11</v>
      </c>
      <c r="E377" s="891">
        <v>0.4</v>
      </c>
      <c r="F377" s="891">
        <v>0.3</v>
      </c>
      <c r="G377" s="891">
        <v>0.7</v>
      </c>
      <c r="H377" s="891">
        <v>0.9</v>
      </c>
      <c r="I377" s="891">
        <v>1.3</v>
      </c>
      <c r="J377" s="891">
        <v>0.5</v>
      </c>
      <c r="K377" s="891">
        <v>-1.1000000000000001</v>
      </c>
      <c r="L377" s="426"/>
      <c r="M377" s="889">
        <v>0.23200000000000001</v>
      </c>
      <c r="N377" s="889">
        <v>0.2</v>
      </c>
      <c r="O377" s="889">
        <v>0.6</v>
      </c>
      <c r="P377" s="889">
        <v>-1.8</v>
      </c>
      <c r="Q377" s="889">
        <v>-0.4</v>
      </c>
      <c r="R377" s="889">
        <v>-0.7</v>
      </c>
      <c r="S377" s="889">
        <v>0.1</v>
      </c>
      <c r="T377" s="889">
        <v>-1.2</v>
      </c>
      <c r="U377" s="426"/>
      <c r="V377" s="843">
        <v>0.1</v>
      </c>
      <c r="W377" s="889">
        <v>0.1</v>
      </c>
      <c r="X377" s="889">
        <v>-2.2000000000000002</v>
      </c>
      <c r="Y377" s="889">
        <v>0.01</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-0.36099999999999999</v>
      </c>
      <c r="N378" s="890">
        <v>-0.2</v>
      </c>
      <c r="O378" s="890">
        <v>-1.5</v>
      </c>
      <c r="P378" s="890">
        <v>2.6</v>
      </c>
      <c r="Q378" s="890">
        <v>1</v>
      </c>
      <c r="R378" s="890">
        <v>0.4</v>
      </c>
      <c r="S378" s="890">
        <v>0.6</v>
      </c>
      <c r="T378" s="890">
        <v>0.4</v>
      </c>
      <c r="U378" s="845"/>
      <c r="V378" s="842">
        <v>0.11</v>
      </c>
      <c r="W378" s="890">
        <v>-0.6</v>
      </c>
      <c r="X378" s="890">
        <v>2.8</v>
      </c>
      <c r="Y378" s="890">
        <v>0.69</v>
      </c>
      <c r="Z378" s="890">
        <v>0.5</v>
      </c>
      <c r="AA378" s="890">
        <v>-0.1</v>
      </c>
      <c r="AB378" s="890">
        <v>-1.5</v>
      </c>
      <c r="AC378" s="890">
        <v>0.2</v>
      </c>
      <c r="AD378" s="214"/>
    </row>
    <row r="379" spans="1:30" ht="15" customHeight="1">
      <c r="A379" s="1079" t="s">
        <v>710</v>
      </c>
      <c r="B379" s="854">
        <v>2024</v>
      </c>
      <c r="C379" s="855">
        <v>1</v>
      </c>
      <c r="D379" s="839">
        <v>0.12</v>
      </c>
      <c r="E379" s="891">
        <v>-2.1</v>
      </c>
      <c r="F379" s="891">
        <v>-0.2</v>
      </c>
      <c r="G379" s="891">
        <v>-3.8</v>
      </c>
      <c r="H379" s="891">
        <v>-4.4000000000000004</v>
      </c>
      <c r="I379" s="891">
        <v>-1.2</v>
      </c>
      <c r="J379" s="891">
        <v>0.4</v>
      </c>
      <c r="K379" s="891">
        <v>-0.5</v>
      </c>
      <c r="L379" s="861"/>
      <c r="M379" s="889">
        <v>-0.95899999999999996</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0.18</v>
      </c>
      <c r="E380" s="891">
        <v>0.5</v>
      </c>
      <c r="F380" s="891">
        <v>-0.1</v>
      </c>
      <c r="G380" s="891">
        <v>2.5</v>
      </c>
      <c r="H380" s="891">
        <v>-3.1</v>
      </c>
      <c r="I380" s="891">
        <v>0.9</v>
      </c>
      <c r="J380" s="891">
        <v>-2.4</v>
      </c>
      <c r="K380" s="891">
        <v>-0.6</v>
      </c>
      <c r="L380" s="426"/>
      <c r="M380" s="889">
        <v>0.79200000000000004</v>
      </c>
      <c r="N380" s="889">
        <v>-0.6</v>
      </c>
      <c r="O380" s="889">
        <v>-1.4</v>
      </c>
      <c r="P380" s="889">
        <v>1.3</v>
      </c>
      <c r="Q380" s="889">
        <v>1.5</v>
      </c>
      <c r="R380" s="889">
        <v>0.9</v>
      </c>
      <c r="S380" s="889">
        <v>1</v>
      </c>
      <c r="T380" s="889">
        <v>1.4</v>
      </c>
      <c r="U380" s="426"/>
      <c r="V380" s="843">
        <v>0.18</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0.82899999999999996</v>
      </c>
      <c r="N381" s="889">
        <v>0.6</v>
      </c>
      <c r="O381" s="889">
        <v>-0.2</v>
      </c>
      <c r="P381" s="889">
        <v>0.6</v>
      </c>
      <c r="Q381" s="889">
        <v>0.8</v>
      </c>
      <c r="R381" s="889">
        <v>0.4</v>
      </c>
      <c r="S381" s="889">
        <v>0.6</v>
      </c>
      <c r="T381" s="889">
        <v>-0.1</v>
      </c>
      <c r="U381" s="426"/>
      <c r="V381" s="843">
        <v>0.23</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0.8</v>
      </c>
      <c r="H382" s="891">
        <v>1.4</v>
      </c>
      <c r="I382" s="891">
        <v>2.9</v>
      </c>
      <c r="J382" s="891">
        <v>0.4</v>
      </c>
      <c r="K382" s="891">
        <v>0</v>
      </c>
      <c r="L382" s="426"/>
      <c r="M382" s="889">
        <v>-0.40200000000000002</v>
      </c>
      <c r="N382" s="889">
        <v>-0.5</v>
      </c>
      <c r="O382" s="889">
        <v>0.5</v>
      </c>
      <c r="P382" s="889">
        <v>0.7</v>
      </c>
      <c r="Q382" s="889">
        <v>1.4</v>
      </c>
      <c r="R382" s="889">
        <v>0.4</v>
      </c>
      <c r="S382" s="889">
        <v>1.6</v>
      </c>
      <c r="T382" s="889">
        <v>-0.2</v>
      </c>
      <c r="U382" s="426"/>
      <c r="V382" s="843">
        <v>0.25</v>
      </c>
      <c r="W382" s="889">
        <v>-0.4</v>
      </c>
      <c r="X382" s="889">
        <v>0.5</v>
      </c>
      <c r="Y382" s="889">
        <v>0.02</v>
      </c>
      <c r="Z382" s="889">
        <v>-1.3</v>
      </c>
      <c r="AA382" s="889">
        <v>-1.9</v>
      </c>
      <c r="AB382" s="889">
        <v>-0.3</v>
      </c>
      <c r="AC382" s="889">
        <v>1.2</v>
      </c>
      <c r="AD382" s="214"/>
    </row>
    <row r="383" spans="1:30" ht="15" customHeight="1">
      <c r="A383" s="762"/>
      <c r="B383" s="763"/>
      <c r="C383" s="764">
        <v>5</v>
      </c>
      <c r="D383" s="838">
        <v>0.35</v>
      </c>
      <c r="E383" s="891">
        <v>1</v>
      </c>
      <c r="F383" s="891">
        <v>1.5</v>
      </c>
      <c r="G383" s="891">
        <v>0.5</v>
      </c>
      <c r="H383" s="891">
        <v>1.6</v>
      </c>
      <c r="I383" s="891">
        <v>-3.7</v>
      </c>
      <c r="J383" s="891">
        <v>-2.2000000000000002</v>
      </c>
      <c r="K383" s="891">
        <v>-0.1</v>
      </c>
      <c r="L383" s="426"/>
      <c r="M383" s="889">
        <v>0.218</v>
      </c>
      <c r="N383" s="889">
        <v>1.3</v>
      </c>
      <c r="O383" s="889">
        <v>-0.8</v>
      </c>
      <c r="P383" s="889">
        <v>-1.1000000000000001</v>
      </c>
      <c r="Q383" s="889">
        <v>-0.2</v>
      </c>
      <c r="R383" s="889">
        <v>0.9</v>
      </c>
      <c r="S383" s="889">
        <v>-0.4</v>
      </c>
      <c r="T383" s="889">
        <v>1.7</v>
      </c>
      <c r="U383" s="426"/>
      <c r="V383" s="843">
        <v>0.35</v>
      </c>
      <c r="W383" s="889">
        <v>0.1</v>
      </c>
      <c r="X383" s="889">
        <v>-1.2</v>
      </c>
      <c r="Y383" s="889">
        <v>0.03</v>
      </c>
      <c r="Z383" s="889">
        <v>0.5</v>
      </c>
      <c r="AA383" s="889">
        <v>0.7</v>
      </c>
      <c r="AB383" s="889">
        <v>1.2</v>
      </c>
      <c r="AC383" s="889">
        <v>-0.3</v>
      </c>
      <c r="AD383" s="214"/>
    </row>
    <row r="384" spans="1:30" ht="15" customHeight="1">
      <c r="A384" s="762"/>
      <c r="B384" s="763"/>
      <c r="C384" s="764">
        <v>6</v>
      </c>
      <c r="D384" s="838">
        <v>0.3</v>
      </c>
      <c r="E384" s="891">
        <v>-1.1000000000000001</v>
      </c>
      <c r="F384" s="891">
        <v>-1.4</v>
      </c>
      <c r="G384" s="891">
        <v>-0.9</v>
      </c>
      <c r="H384" s="891">
        <v>0.8</v>
      </c>
      <c r="I384" s="891">
        <v>0.4</v>
      </c>
      <c r="J384" s="891">
        <v>0.9</v>
      </c>
      <c r="K384" s="891">
        <v>0</v>
      </c>
      <c r="L384" s="426"/>
      <c r="M384" s="889">
        <v>-1.696</v>
      </c>
      <c r="N384" s="889">
        <v>0.3</v>
      </c>
      <c r="O384" s="889">
        <v>0.8</v>
      </c>
      <c r="P384" s="889">
        <v>-0.1</v>
      </c>
      <c r="Q384" s="889">
        <v>-0.1</v>
      </c>
      <c r="R384" s="889">
        <v>-0.2</v>
      </c>
      <c r="S384" s="889">
        <v>-0.4</v>
      </c>
      <c r="T384" s="889">
        <v>-0.3</v>
      </c>
      <c r="U384" s="426"/>
      <c r="V384" s="843">
        <v>0.3</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1.429</v>
      </c>
      <c r="N385" s="889">
        <v>0.1</v>
      </c>
      <c r="O385" s="889">
        <v>-0.2</v>
      </c>
      <c r="P385" s="889">
        <v>-2.5</v>
      </c>
      <c r="Q385" s="889">
        <v>-1.2</v>
      </c>
      <c r="R385" s="889">
        <v>-0.2</v>
      </c>
      <c r="S385" s="889">
        <v>-0.4</v>
      </c>
      <c r="T385" s="889">
        <v>-1.5</v>
      </c>
      <c r="U385" s="426"/>
      <c r="V385" s="843">
        <v>0.19</v>
      </c>
      <c r="W385" s="889">
        <v>0</v>
      </c>
      <c r="X385" s="889">
        <v>-2.7</v>
      </c>
      <c r="Y385" s="889">
        <v>-0.65</v>
      </c>
      <c r="Z385" s="889">
        <v>-2.9</v>
      </c>
      <c r="AA385" s="889">
        <v>-3.3</v>
      </c>
      <c r="AB385" s="889">
        <v>0.1</v>
      </c>
      <c r="AC385" s="889">
        <v>2.1</v>
      </c>
      <c r="AD385" s="214"/>
    </row>
    <row r="386" spans="1:30" ht="15" customHeight="1">
      <c r="A386" s="762"/>
      <c r="B386" s="763"/>
      <c r="C386" s="764">
        <v>8</v>
      </c>
      <c r="D386" s="838">
        <v>0.26</v>
      </c>
      <c r="E386" s="891">
        <v>0.5</v>
      </c>
      <c r="F386" s="891">
        <v>-0.3</v>
      </c>
      <c r="G386" s="891">
        <v>-2.2000000000000002</v>
      </c>
      <c r="H386" s="891">
        <v>-0.2</v>
      </c>
      <c r="I386" s="891">
        <v>1</v>
      </c>
      <c r="J386" s="891">
        <v>0.5</v>
      </c>
      <c r="K386" s="891">
        <v>0.8</v>
      </c>
      <c r="L386" s="426"/>
      <c r="M386" s="889">
        <v>0.79800000000000004</v>
      </c>
      <c r="N386" s="889">
        <v>0.8</v>
      </c>
      <c r="O386" s="889">
        <v>-0.2</v>
      </c>
      <c r="P386" s="889">
        <v>2.2999999999999998</v>
      </c>
      <c r="Q386" s="889">
        <v>-0.4</v>
      </c>
      <c r="R386" s="889">
        <v>-1.4</v>
      </c>
      <c r="S386" s="889">
        <v>-0.2</v>
      </c>
      <c r="T386" s="889">
        <v>0.2</v>
      </c>
      <c r="U386" s="426"/>
      <c r="V386" s="843">
        <v>0.25</v>
      </c>
      <c r="W386" s="889">
        <v>0.7</v>
      </c>
      <c r="X386" s="889">
        <v>2.1</v>
      </c>
      <c r="Y386" s="889">
        <v>0.69</v>
      </c>
      <c r="Z386" s="889">
        <v>2.4</v>
      </c>
      <c r="AA386" s="889">
        <v>2.2000000000000002</v>
      </c>
      <c r="AB386" s="889">
        <v>-1.4</v>
      </c>
      <c r="AC386" s="889">
        <v>-2.1</v>
      </c>
      <c r="AD386" s="214"/>
    </row>
    <row r="387" spans="1:30" ht="15" customHeight="1">
      <c r="A387" s="762"/>
      <c r="B387" s="763"/>
      <c r="C387" s="764">
        <v>9</v>
      </c>
      <c r="D387" s="838">
        <v>0.24</v>
      </c>
      <c r="E387" s="891">
        <v>-1.4</v>
      </c>
      <c r="F387" s="891">
        <v>1.5</v>
      </c>
      <c r="G387" s="891">
        <v>3.3</v>
      </c>
      <c r="H387" s="891">
        <v>0.4</v>
      </c>
      <c r="I387" s="891">
        <v>-3.5</v>
      </c>
      <c r="J387" s="891">
        <v>1.4</v>
      </c>
      <c r="K387" s="891">
        <v>0.7</v>
      </c>
      <c r="L387" s="426"/>
      <c r="M387" s="889">
        <v>0.17399999999999999</v>
      </c>
      <c r="N387" s="889">
        <v>0.1</v>
      </c>
      <c r="O387" s="889">
        <v>-1</v>
      </c>
      <c r="P387" s="889">
        <v>1.2</v>
      </c>
      <c r="Q387" s="889">
        <v>1.5</v>
      </c>
      <c r="R387" s="889">
        <v>1.2</v>
      </c>
      <c r="S387" s="889">
        <v>0.5</v>
      </c>
      <c r="T387" s="889">
        <v>1.2</v>
      </c>
      <c r="U387" s="426"/>
      <c r="V387" s="843">
        <v>0.24</v>
      </c>
      <c r="W387" s="889">
        <v>0.3</v>
      </c>
      <c r="X387" s="889">
        <v>1</v>
      </c>
      <c r="Y387" s="889">
        <v>0.68</v>
      </c>
      <c r="Z387" s="889">
        <v>-0.8</v>
      </c>
      <c r="AA387" s="889">
        <v>-1.2</v>
      </c>
      <c r="AB387" s="889">
        <v>-1.4</v>
      </c>
      <c r="AC387" s="889">
        <v>-0.2</v>
      </c>
      <c r="AD387" s="214"/>
    </row>
    <row r="388" spans="1:30" ht="15" customHeight="1">
      <c r="A388" s="762"/>
      <c r="B388" s="763"/>
      <c r="C388" s="764">
        <v>10</v>
      </c>
      <c r="D388" s="838">
        <v>0.4</v>
      </c>
      <c r="E388" s="891">
        <v>0.1</v>
      </c>
      <c r="F388" s="891">
        <v>-1.1000000000000001</v>
      </c>
      <c r="G388" s="891">
        <v>0.5</v>
      </c>
      <c r="H388" s="891">
        <v>-2</v>
      </c>
      <c r="I388" s="891">
        <v>3.2</v>
      </c>
      <c r="J388" s="891">
        <v>-0.9</v>
      </c>
      <c r="K388" s="891">
        <v>0.2</v>
      </c>
      <c r="L388" s="426"/>
      <c r="M388" s="889">
        <v>-1.1399999999999999</v>
      </c>
      <c r="N388" s="889">
        <v>0.7</v>
      </c>
      <c r="O388" s="889">
        <v>2.2999999999999998</v>
      </c>
      <c r="P388" s="889">
        <v>0.9</v>
      </c>
      <c r="Q388" s="889">
        <v>2.2999999999999998</v>
      </c>
      <c r="R388" s="889">
        <v>3.3</v>
      </c>
      <c r="S388" s="889">
        <v>1.9</v>
      </c>
      <c r="T388" s="889">
        <v>-0.7</v>
      </c>
      <c r="U388" s="426"/>
      <c r="V388" s="843">
        <v>0.41</v>
      </c>
      <c r="W388" s="889">
        <v>-0.7</v>
      </c>
      <c r="X388" s="889">
        <v>1.2</v>
      </c>
      <c r="Y388" s="889">
        <v>-0.67</v>
      </c>
      <c r="Z388" s="889">
        <v>-0.9</v>
      </c>
      <c r="AA388" s="889">
        <v>0.6</v>
      </c>
      <c r="AB388" s="889">
        <v>0.6</v>
      </c>
      <c r="AC388" s="889">
        <v>-0.1</v>
      </c>
      <c r="AD388" s="214"/>
    </row>
    <row r="389" spans="1:30" ht="15" customHeight="1">
      <c r="A389" s="762"/>
      <c r="B389" s="763"/>
      <c r="C389" s="764">
        <v>11</v>
      </c>
      <c r="D389" s="838">
        <v>0.38</v>
      </c>
      <c r="E389" s="891">
        <v>0.3</v>
      </c>
      <c r="F389" s="891">
        <v>0.4</v>
      </c>
      <c r="G389" s="891">
        <v>-0.7</v>
      </c>
      <c r="H389" s="891">
        <v>-0.6</v>
      </c>
      <c r="I389" s="891">
        <v>-0.3</v>
      </c>
      <c r="J389" s="891">
        <v>-0.4</v>
      </c>
      <c r="K389" s="891">
        <v>0.3</v>
      </c>
      <c r="L389" s="426"/>
      <c r="M389" s="889">
        <v>-0.52300000000000002</v>
      </c>
      <c r="N389" s="889">
        <v>0.8</v>
      </c>
      <c r="O389" s="889">
        <v>-1.6</v>
      </c>
      <c r="P389" s="889">
        <v>-0.6</v>
      </c>
      <c r="Q389" s="889">
        <v>-1.9</v>
      </c>
      <c r="R389" s="889">
        <v>-1.2</v>
      </c>
      <c r="S389" s="889">
        <v>-2</v>
      </c>
      <c r="T389" s="889">
        <v>0.6</v>
      </c>
      <c r="U389" s="426"/>
      <c r="V389" s="843">
        <v>0.39</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0.48</v>
      </c>
      <c r="E390" s="892">
        <v>-0.8</v>
      </c>
      <c r="F390" s="892">
        <v>0.3</v>
      </c>
      <c r="G390" s="892">
        <v>-0.2</v>
      </c>
      <c r="H390" s="892">
        <v>-0.2</v>
      </c>
      <c r="I390" s="892">
        <v>0.3</v>
      </c>
      <c r="J390" s="892">
        <v>0.9</v>
      </c>
      <c r="K390" s="892">
        <v>0.2</v>
      </c>
      <c r="L390" s="845"/>
      <c r="M390" s="890">
        <v>8.2000000000000003E-2</v>
      </c>
      <c r="N390" s="890">
        <v>-1.5</v>
      </c>
      <c r="O390" s="890">
        <v>-0.2</v>
      </c>
      <c r="P390" s="890">
        <v>-0.3</v>
      </c>
      <c r="Q390" s="890">
        <v>-0.6</v>
      </c>
      <c r="R390" s="890">
        <v>-0.5</v>
      </c>
      <c r="S390" s="890">
        <v>-0.2</v>
      </c>
      <c r="T390" s="890">
        <v>1.5</v>
      </c>
      <c r="U390" s="845"/>
      <c r="V390" s="842">
        <v>0.48</v>
      </c>
      <c r="W390" s="890">
        <v>0.7</v>
      </c>
      <c r="X390" s="890">
        <v>-0.6</v>
      </c>
      <c r="Y390" s="890">
        <v>0.03</v>
      </c>
      <c r="Z390" s="890">
        <v>-0.7</v>
      </c>
      <c r="AA390" s="890">
        <v>-2.8</v>
      </c>
      <c r="AB390" s="890">
        <v>1.3</v>
      </c>
      <c r="AC390" s="890">
        <v>-0.2</v>
      </c>
      <c r="AD390" s="214"/>
    </row>
    <row r="391" spans="1:30" ht="15" customHeight="1">
      <c r="A391" s="1079" t="s">
        <v>814</v>
      </c>
      <c r="B391" s="854">
        <v>2025</v>
      </c>
      <c r="C391" s="855">
        <v>1</v>
      </c>
      <c r="D391" s="839">
        <v>0.64</v>
      </c>
      <c r="E391" s="891">
        <v>0.9</v>
      </c>
      <c r="F391" s="891">
        <v>1.5</v>
      </c>
      <c r="G391" s="891">
        <v>1.5</v>
      </c>
      <c r="H391" s="891">
        <v>-0.2</v>
      </c>
      <c r="I391" s="891">
        <v>-0.4</v>
      </c>
      <c r="J391" s="891">
        <v>0.9</v>
      </c>
      <c r="K391" s="891">
        <v>0.4</v>
      </c>
      <c r="L391" s="861"/>
      <c r="M391" s="889">
        <v>0.69799999999999995</v>
      </c>
      <c r="N391" s="889">
        <v>1</v>
      </c>
      <c r="O391" s="889">
        <v>2</v>
      </c>
      <c r="P391" s="889">
        <v>0.2</v>
      </c>
      <c r="Q391" s="889">
        <v>1.7</v>
      </c>
      <c r="R391" s="889">
        <v>0.4</v>
      </c>
      <c r="S391" s="889">
        <v>0.7</v>
      </c>
      <c r="T391" s="889">
        <v>1.2</v>
      </c>
      <c r="U391" s="426"/>
      <c r="V391" s="864">
        <v>0.63</v>
      </c>
      <c r="W391" s="889">
        <v>-0.4</v>
      </c>
      <c r="X391" s="889">
        <v>0.2</v>
      </c>
      <c r="Y391" s="889">
        <v>0.01</v>
      </c>
      <c r="Z391" s="889">
        <v>0.8</v>
      </c>
      <c r="AA391" s="889">
        <v>-0.2</v>
      </c>
      <c r="AB391" s="889">
        <v>0.6</v>
      </c>
      <c r="AC391" s="889">
        <v>-0.1</v>
      </c>
      <c r="AD391" s="214"/>
    </row>
    <row r="392" spans="1:30" ht="15" customHeight="1">
      <c r="A392" s="762"/>
      <c r="B392" s="763"/>
      <c r="C392" s="764">
        <v>2</v>
      </c>
      <c r="D392" s="838">
        <v>0.45</v>
      </c>
      <c r="E392" s="891">
        <v>-0.4</v>
      </c>
      <c r="F392" s="891">
        <v>0.4</v>
      </c>
      <c r="G392" s="891">
        <v>0.8</v>
      </c>
      <c r="H392" s="891">
        <v>0.6</v>
      </c>
      <c r="I392" s="891">
        <v>1.5</v>
      </c>
      <c r="J392" s="891">
        <v>-2.2999999999999998</v>
      </c>
      <c r="K392" s="891">
        <v>0.3</v>
      </c>
      <c r="L392" s="426"/>
      <c r="M392" s="889">
        <v>6.4000000000000001E-2</v>
      </c>
      <c r="N392" s="889">
        <v>0.4</v>
      </c>
      <c r="O392" s="889">
        <v>0.8</v>
      </c>
      <c r="P392" s="889">
        <v>-0.4</v>
      </c>
      <c r="Q392" s="889">
        <v>0.9</v>
      </c>
      <c r="R392" s="889">
        <v>0.9</v>
      </c>
      <c r="S392" s="889">
        <v>0.8</v>
      </c>
      <c r="T392" s="889">
        <v>-1.9</v>
      </c>
      <c r="U392" s="426"/>
      <c r="V392" s="843">
        <v>0.45</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2.097</v>
      </c>
      <c r="N393" s="889">
        <v>0.4</v>
      </c>
      <c r="O393" s="889">
        <v>0.3</v>
      </c>
      <c r="P393" s="889">
        <v>3.1</v>
      </c>
      <c r="Q393" s="889">
        <v>0.3</v>
      </c>
      <c r="R393" s="889">
        <v>-2.1</v>
      </c>
      <c r="S393" s="889">
        <v>0.1</v>
      </c>
      <c r="T393" s="889">
        <v>1.3</v>
      </c>
      <c r="U393" s="426"/>
      <c r="V393" s="843">
        <v>0.63</v>
      </c>
      <c r="W393" s="889">
        <v>-2.9</v>
      </c>
      <c r="X393" s="889">
        <v>2.2000000000000002</v>
      </c>
      <c r="Y393" s="889">
        <v>-0.71</v>
      </c>
      <c r="Z393" s="889">
        <v>0.2</v>
      </c>
      <c r="AA393" s="889">
        <v>1.8</v>
      </c>
      <c r="AB393" s="889">
        <v>0.4</v>
      </c>
      <c r="AC393" s="889">
        <v>-1.6</v>
      </c>
      <c r="AD393" s="214"/>
    </row>
    <row r="394" spans="1:30" ht="15" customHeight="1">
      <c r="A394" s="762"/>
      <c r="B394" s="763"/>
      <c r="C394" s="764">
        <v>4</v>
      </c>
      <c r="D394" s="838">
        <v>0.37</v>
      </c>
      <c r="E394" s="891">
        <v>1.6</v>
      </c>
      <c r="F394" s="891">
        <v>1.8</v>
      </c>
      <c r="G394" s="891">
        <v>-1.8</v>
      </c>
      <c r="H394" s="891">
        <v>3.6</v>
      </c>
      <c r="I394" s="891">
        <v>-1.1000000000000001</v>
      </c>
      <c r="J394" s="891">
        <v>0.5</v>
      </c>
      <c r="K394" s="891">
        <v>0</v>
      </c>
      <c r="L394" s="426"/>
      <c r="M394" s="889">
        <v>-1.4550000000000001</v>
      </c>
      <c r="N394" s="889">
        <v>-0.5</v>
      </c>
      <c r="O394" s="889">
        <v>0</v>
      </c>
      <c r="P394" s="889">
        <v>-4.3</v>
      </c>
      <c r="Q394" s="889">
        <v>-3.2</v>
      </c>
      <c r="R394" s="889">
        <v>-0.5</v>
      </c>
      <c r="S394" s="889">
        <v>-3.2</v>
      </c>
      <c r="T394" s="889">
        <v>-1.7</v>
      </c>
      <c r="U394" s="426"/>
      <c r="V394" s="843">
        <v>0.37</v>
      </c>
      <c r="W394" s="889">
        <v>0.1</v>
      </c>
      <c r="X394" s="889">
        <v>-2.9</v>
      </c>
      <c r="Y394" s="889">
        <v>-0.01</v>
      </c>
      <c r="Z394" s="889">
        <v>-0.3</v>
      </c>
      <c r="AA394" s="889">
        <v>-0.1</v>
      </c>
      <c r="AB394" s="889">
        <v>-0.8</v>
      </c>
      <c r="AC394" s="889">
        <v>1.4</v>
      </c>
      <c r="AD394" s="214"/>
    </row>
    <row r="395" spans="1:30" ht="15" customHeight="1">
      <c r="A395" s="762"/>
      <c r="B395" s="763"/>
      <c r="C395" s="764">
        <v>5</v>
      </c>
      <c r="D395" s="838">
        <v>0.69</v>
      </c>
      <c r="E395" s="891">
        <v>-0.3</v>
      </c>
      <c r="F395" s="891">
        <v>1.5</v>
      </c>
      <c r="G395" s="891">
        <v>-0.9</v>
      </c>
      <c r="H395" s="891">
        <v>-2.2999999999999998</v>
      </c>
      <c r="I395" s="891">
        <v>-5.4</v>
      </c>
      <c r="J395" s="891">
        <v>-2.2999999999999998</v>
      </c>
      <c r="K395" s="891">
        <v>-0.1</v>
      </c>
      <c r="L395" s="426"/>
      <c r="M395" s="889">
        <v>-0.186</v>
      </c>
      <c r="N395" s="889">
        <v>-0.2</v>
      </c>
      <c r="O395" s="889">
        <v>0.5</v>
      </c>
      <c r="P395" s="889">
        <v>0.9</v>
      </c>
      <c r="Q395" s="889">
        <v>0.2</v>
      </c>
      <c r="R395" s="889">
        <v>0.4</v>
      </c>
      <c r="S395" s="889">
        <v>0.2</v>
      </c>
      <c r="T395" s="889">
        <v>0.5</v>
      </c>
      <c r="U395" s="426"/>
      <c r="V395" s="843">
        <v>0.66</v>
      </c>
      <c r="W395" s="889">
        <v>-0.5</v>
      </c>
      <c r="X395" s="889">
        <v>0.7</v>
      </c>
      <c r="Y395" s="889">
        <v>-0.04</v>
      </c>
      <c r="Z395" s="889">
        <v>-0.7</v>
      </c>
      <c r="AA395" s="889">
        <v>-1.1000000000000001</v>
      </c>
      <c r="AB395" s="889">
        <v>-0.3</v>
      </c>
      <c r="AC395" s="889">
        <v>0.1</v>
      </c>
      <c r="AD395" s="214"/>
    </row>
    <row r="396" spans="1:30" ht="15" customHeight="1">
      <c r="A396" s="762"/>
      <c r="B396" s="763"/>
      <c r="C396" s="764">
        <v>6</v>
      </c>
      <c r="D396" s="838">
        <v>0.71</v>
      </c>
      <c r="E396" s="891">
        <v>-1.8</v>
      </c>
      <c r="F396" s="891">
        <v>5.7</v>
      </c>
      <c r="G396" s="891">
        <v>5.2</v>
      </c>
      <c r="H396" s="891">
        <v>0.1</v>
      </c>
      <c r="I396" s="891">
        <v>3.3</v>
      </c>
      <c r="J396" s="891">
        <v>1.5</v>
      </c>
      <c r="K396" s="891">
        <v>-0.2</v>
      </c>
      <c r="L396" s="426"/>
      <c r="M396" s="889">
        <v>-0.187</v>
      </c>
      <c r="N396" s="889">
        <v>-1.9</v>
      </c>
      <c r="O396" s="889">
        <v>-0.8</v>
      </c>
      <c r="P396" s="889">
        <v>2.2000000000000002</v>
      </c>
      <c r="Q396" s="889">
        <v>1.1000000000000001</v>
      </c>
      <c r="R396" s="889">
        <v>-0.4</v>
      </c>
      <c r="S396" s="889">
        <v>0.5</v>
      </c>
      <c r="T396" s="889">
        <v>-0.3</v>
      </c>
      <c r="U396" s="426"/>
      <c r="V396" s="843">
        <v>0.68</v>
      </c>
      <c r="W396" s="889">
        <v>-0.8</v>
      </c>
      <c r="X396" s="889">
        <v>1.4</v>
      </c>
      <c r="Y396" s="889">
        <v>-0.04</v>
      </c>
      <c r="Z396" s="889">
        <v>0.6</v>
      </c>
      <c r="AA396" s="889">
        <v>-0.5</v>
      </c>
      <c r="AB396" s="889">
        <v>-0.1</v>
      </c>
      <c r="AC396" s="889">
        <v>-1.2</v>
      </c>
      <c r="AD396" s="214"/>
    </row>
    <row r="397" spans="1:30" ht="15" customHeight="1">
      <c r="A397" s="762"/>
      <c r="B397" s="763"/>
      <c r="C397" s="764">
        <v>7</v>
      </c>
      <c r="D397" s="838">
        <v>0.56000000000000005</v>
      </c>
      <c r="E397" s="891">
        <v>-0.3</v>
      </c>
      <c r="F397" s="891">
        <v>-2.9</v>
      </c>
      <c r="G397" s="891">
        <v>-2.5</v>
      </c>
      <c r="H397" s="891">
        <v>-0.7</v>
      </c>
      <c r="I397" s="891">
        <v>-1.3</v>
      </c>
      <c r="J397" s="891">
        <v>1</v>
      </c>
      <c r="K397" s="891">
        <v>-0.8</v>
      </c>
      <c r="L397" s="426"/>
      <c r="M397" s="889">
        <v>-2.7320000000000002</v>
      </c>
      <c r="N397" s="889">
        <v>-0.9</v>
      </c>
      <c r="O397" s="889">
        <v>-1.3</v>
      </c>
      <c r="P397" s="889">
        <v>-2.9</v>
      </c>
      <c r="Q397" s="889">
        <v>-1.2</v>
      </c>
      <c r="R397" s="889">
        <v>0.6</v>
      </c>
      <c r="S397" s="889">
        <v>-0.1</v>
      </c>
      <c r="T397" s="889">
        <v>0.6</v>
      </c>
      <c r="U397" s="426"/>
      <c r="V397" s="843">
        <v>0.51</v>
      </c>
      <c r="W397" s="889">
        <v>0.4</v>
      </c>
      <c r="X397" s="889">
        <v>-2.4</v>
      </c>
      <c r="Y397" s="889">
        <v>1.3</v>
      </c>
      <c r="Z397" s="889">
        <v>0.9</v>
      </c>
      <c r="AA397" s="889">
        <v>3.1</v>
      </c>
      <c r="AB397" s="889">
        <v>-0.6</v>
      </c>
      <c r="AC397" s="889">
        <v>-1.9</v>
      </c>
      <c r="AD397" s="214"/>
    </row>
    <row r="398" spans="1:30" ht="15" customHeight="1">
      <c r="A398" s="762"/>
      <c r="B398" s="763"/>
      <c r="C398" s="764">
        <v>8</v>
      </c>
      <c r="D398" s="840">
        <v>0.5</v>
      </c>
      <c r="E398" s="891">
        <v>-1</v>
      </c>
      <c r="F398" s="891">
        <v>-1.4</v>
      </c>
      <c r="G398" s="891">
        <v>0.4</v>
      </c>
      <c r="H398" s="891">
        <v>-1.6</v>
      </c>
      <c r="I398" s="891">
        <v>0</v>
      </c>
      <c r="J398" s="891">
        <v>1.4</v>
      </c>
      <c r="K398" s="891">
        <v>-0.7</v>
      </c>
      <c r="L398" s="426"/>
      <c r="M398" s="889">
        <v>-3.2149999999999999</v>
      </c>
      <c r="N398" s="889">
        <v>-1.3</v>
      </c>
      <c r="O398" s="889">
        <v>0.7</v>
      </c>
      <c r="P398" s="889">
        <v>2.2000000000000002</v>
      </c>
      <c r="Q398" s="889">
        <v>0.2</v>
      </c>
      <c r="R398" s="889">
        <v>-0.3</v>
      </c>
      <c r="S398" s="889">
        <v>0.5</v>
      </c>
      <c r="T398" s="889">
        <v>-0.9</v>
      </c>
      <c r="U398" s="426"/>
      <c r="V398" s="843">
        <v>0.44</v>
      </c>
      <c r="W398" s="889">
        <v>-1.7</v>
      </c>
      <c r="X398" s="889">
        <v>1.3</v>
      </c>
      <c r="Y398" s="889">
        <v>-2.0699999999999998</v>
      </c>
      <c r="Z398" s="889">
        <v>-1.2</v>
      </c>
      <c r="AA398" s="889">
        <v>-3.7</v>
      </c>
      <c r="AB398" s="889">
        <v>-1</v>
      </c>
      <c r="AC398" s="889">
        <v>1.6</v>
      </c>
      <c r="AD398" s="214"/>
    </row>
    <row r="399" spans="1:30" ht="15" customHeight="1">
      <c r="A399" s="762"/>
      <c r="B399" s="763"/>
      <c r="C399" s="764">
        <v>9</v>
      </c>
      <c r="D399" s="840">
        <v>0.55000000000000004</v>
      </c>
      <c r="E399" s="891">
        <v>1.5</v>
      </c>
      <c r="F399" s="891">
        <v>0.8</v>
      </c>
      <c r="G399" s="891">
        <v>-0.4</v>
      </c>
      <c r="H399" s="891">
        <v>1.9</v>
      </c>
      <c r="I399" s="891">
        <v>1.6</v>
      </c>
      <c r="J399" s="891">
        <v>-0.9</v>
      </c>
      <c r="K399" s="891">
        <v>-0.7</v>
      </c>
      <c r="L399" s="426"/>
      <c r="M399" s="889">
        <v>-0.69099999999999995</v>
      </c>
      <c r="N399" s="889">
        <v>-1.1000000000000001</v>
      </c>
      <c r="O399" s="889">
        <v>-1</v>
      </c>
      <c r="P399" s="889">
        <v>-0.8</v>
      </c>
      <c r="Q399" s="889">
        <v>1.3</v>
      </c>
      <c r="R399" s="889">
        <v>1.9</v>
      </c>
      <c r="S399" s="889">
        <v>0.6</v>
      </c>
      <c r="T399" s="889">
        <v>0.6</v>
      </c>
      <c r="U399" s="426"/>
      <c r="V399" s="843">
        <v>0.49</v>
      </c>
      <c r="W399" s="889">
        <v>-0.9</v>
      </c>
      <c r="X399" s="889">
        <v>-0.9</v>
      </c>
      <c r="Y399" s="889">
        <v>-0.05</v>
      </c>
      <c r="Z399" s="889">
        <v>-0.5</v>
      </c>
      <c r="AA399" s="889">
        <v>2.2000000000000002</v>
      </c>
      <c r="AB399" s="889">
        <v>1.9</v>
      </c>
      <c r="AC399" s="889">
        <v>-0.9</v>
      </c>
      <c r="AD399" s="214"/>
    </row>
    <row r="400" spans="1:30" ht="15" customHeight="1">
      <c r="A400" s="762"/>
      <c r="B400" s="763"/>
      <c r="C400" s="764">
        <v>10</v>
      </c>
      <c r="D400" s="840">
        <v>0.53</v>
      </c>
      <c r="E400" s="891">
        <v>-1.4</v>
      </c>
      <c r="F400" s="891">
        <v>2.9</v>
      </c>
      <c r="G400" s="891">
        <v>-0.3</v>
      </c>
      <c r="H400" s="891">
        <v>-2.7</v>
      </c>
      <c r="I400" s="891">
        <v>0.6</v>
      </c>
      <c r="J400" s="891">
        <v>-1.4</v>
      </c>
      <c r="K400" s="891">
        <v>1.5</v>
      </c>
      <c r="L400" s="426"/>
      <c r="M400" s="889">
        <v>-1.2849999999999999</v>
      </c>
      <c r="N400" s="889">
        <v>-0.6</v>
      </c>
      <c r="O400" s="889">
        <v>-0.3</v>
      </c>
      <c r="P400" s="889">
        <v>-0.2</v>
      </c>
      <c r="Q400" s="889">
        <v>0</v>
      </c>
      <c r="R400" s="889">
        <v>1.8</v>
      </c>
      <c r="S400" s="889">
        <v>0.1</v>
      </c>
      <c r="T400" s="889">
        <v>1.1000000000000001</v>
      </c>
      <c r="U400" s="426"/>
      <c r="V400" s="843">
        <v>0.47</v>
      </c>
      <c r="W400" s="889">
        <v>0.8</v>
      </c>
      <c r="X400" s="889">
        <v>-0.4</v>
      </c>
      <c r="Y400" s="889">
        <v>-0.06</v>
      </c>
      <c r="Z400" s="889">
        <v>1.1000000000000001</v>
      </c>
      <c r="AA400" s="889">
        <v>-0.4</v>
      </c>
      <c r="AB400" s="889">
        <v>0.1</v>
      </c>
      <c r="AC400" s="889">
        <v>0.7</v>
      </c>
      <c r="AD400" s="214"/>
    </row>
    <row r="401" spans="1:31" ht="15" customHeight="1">
      <c r="A401" s="762"/>
      <c r="B401" s="763"/>
      <c r="C401" s="764">
        <v>11</v>
      </c>
      <c r="D401" s="840">
        <v>0.54</v>
      </c>
      <c r="E401" s="891">
        <v>-2.1</v>
      </c>
      <c r="F401" s="891">
        <v>-0.1</v>
      </c>
      <c r="G401" s="891">
        <v>0.3</v>
      </c>
      <c r="H401" s="891">
        <v>1.4</v>
      </c>
      <c r="I401" s="891">
        <v>1.3</v>
      </c>
      <c r="J401" s="891">
        <v>0.5</v>
      </c>
      <c r="K401" s="891">
        <v>1.5</v>
      </c>
      <c r="L401" s="426"/>
      <c r="M401" s="889">
        <v>-0.64700000000000002</v>
      </c>
      <c r="N401" s="889">
        <v>1.7</v>
      </c>
      <c r="O401" s="889">
        <v>2.5</v>
      </c>
      <c r="P401" s="889">
        <v>1.8</v>
      </c>
      <c r="Q401" s="889">
        <v>0.7</v>
      </c>
      <c r="R401" s="889">
        <v>0</v>
      </c>
      <c r="S401" s="889">
        <v>-0.2</v>
      </c>
      <c r="T401" s="889">
        <v>-0.3</v>
      </c>
      <c r="U401" s="426"/>
      <c r="V401" s="843">
        <v>0.48</v>
      </c>
      <c r="W401" s="889">
        <v>1.3</v>
      </c>
      <c r="X401" s="889">
        <v>1.5</v>
      </c>
      <c r="Y401" s="889">
        <v>-0.05</v>
      </c>
      <c r="Z401" s="889">
        <v>-0.2</v>
      </c>
      <c r="AA401" s="889">
        <v>1.5</v>
      </c>
      <c r="AB401" s="889">
        <v>0.1</v>
      </c>
      <c r="AC401" s="889">
        <v>-0.9</v>
      </c>
      <c r="AD401" s="214"/>
    </row>
    <row r="402" spans="1:31" ht="15" customHeight="1">
      <c r="A402" s="848"/>
      <c r="B402" s="849"/>
      <c r="C402" s="850">
        <v>12</v>
      </c>
      <c r="D402" s="868"/>
      <c r="E402" s="892"/>
      <c r="F402" s="892"/>
      <c r="G402" s="892"/>
      <c r="H402" s="892"/>
      <c r="I402" s="892"/>
      <c r="J402" s="892"/>
      <c r="K402" s="892"/>
      <c r="L402" s="845"/>
      <c r="M402" s="890"/>
      <c r="N402" s="890"/>
      <c r="O402" s="890"/>
      <c r="P402" s="890"/>
      <c r="Q402" s="890"/>
      <c r="R402" s="890"/>
      <c r="S402" s="890"/>
      <c r="T402" s="890"/>
      <c r="U402" s="845"/>
      <c r="V402" s="842" t="s">
        <v>141</v>
      </c>
      <c r="W402" s="890"/>
      <c r="X402" s="890"/>
      <c r="Y402" s="890"/>
      <c r="Z402" s="890"/>
      <c r="AA402" s="890"/>
      <c r="AB402" s="890"/>
      <c r="AC402" s="890"/>
      <c r="AD402" s="214"/>
    </row>
    <row r="403" spans="1:31" ht="15" customHeight="1">
      <c r="A403" s="427"/>
      <c r="B403" s="428"/>
      <c r="C403" s="214"/>
      <c r="D403" s="214"/>
      <c r="E403" s="214"/>
      <c r="F403" s="214"/>
      <c r="G403" s="214"/>
      <c r="H403" s="214"/>
      <c r="I403" s="214"/>
      <c r="J403" s="214"/>
      <c r="K403" s="214"/>
      <c r="L403" s="214"/>
      <c r="M403" s="214"/>
      <c r="N403" s="214"/>
      <c r="O403" s="214"/>
      <c r="P403" s="214"/>
      <c r="Q403" s="214"/>
      <c r="R403" s="214"/>
      <c r="S403" s="214"/>
      <c r="T403" s="214"/>
      <c r="U403" s="214"/>
      <c r="V403" s="244" t="s">
        <v>734</v>
      </c>
      <c r="W403" s="214"/>
      <c r="X403" s="214"/>
      <c r="Y403" s="214"/>
      <c r="Z403" s="426"/>
      <c r="AA403" s="426"/>
      <c r="AB403" s="426"/>
      <c r="AC403" s="426"/>
      <c r="AD403" s="214"/>
    </row>
    <row r="404" spans="1:31" ht="14.25">
      <c r="A404" s="427"/>
      <c r="B404" s="428"/>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429"/>
      <c r="AA404" s="429"/>
      <c r="AB404" s="429"/>
      <c r="AC404" s="429"/>
      <c r="AD404" s="214"/>
    </row>
    <row r="405" spans="1:31" ht="15" thickBot="1">
      <c r="A405" s="427"/>
      <c r="B405" s="428"/>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430"/>
      <c r="AA405" s="430"/>
      <c r="AB405" s="430"/>
      <c r="AC405" s="430"/>
      <c r="AD405" s="214"/>
    </row>
    <row r="406" spans="1:31" ht="15" thickBot="1">
      <c r="A406" s="1747" t="s">
        <v>312</v>
      </c>
      <c r="B406" s="1748"/>
      <c r="C406" s="1748"/>
      <c r="D406" s="756">
        <f ca="1">INDIRECT("R"&amp;(初期登録!$B$10+30)*12+初期登録!$D$10+5-64&amp;"C"&amp;COLUMN(),FALSE)</f>
        <v>0.71</v>
      </c>
      <c r="E406" s="205">
        <f ca="1">INDIRECT("R"&amp;(初期登録!$B$10+30)*12+初期登録!$D$10+5-64&amp;"C"&amp;COLUMN(),FALSE)</f>
        <v>-1.8</v>
      </c>
      <c r="F406" s="204">
        <f ca="1">INDIRECT("R"&amp;(初期登録!$B$10+30)*12+初期登録!$D$10+5-64&amp;"C"&amp;COLUMN(),FALSE)</f>
        <v>5.7</v>
      </c>
      <c r="G406" s="204">
        <f ca="1">INDIRECT("R"&amp;(初期登録!$B$10+30)*12+初期登録!$D$10+5-64&amp;"C"&amp;COLUMN(),FALSE)</f>
        <v>5.2</v>
      </c>
      <c r="H406" s="204">
        <f ca="1">INDIRECT("R"&amp;(初期登録!$B$10+30)*12+初期登録!$D$10+5-64&amp;"C"&amp;COLUMN(),FALSE)</f>
        <v>0.1</v>
      </c>
      <c r="I406" s="204">
        <f ca="1">INDIRECT("R"&amp;(初期登録!$B$10+30)*12+初期登録!$D$10+5-64&amp;"C"&amp;COLUMN(),FALSE)</f>
        <v>3.3</v>
      </c>
      <c r="J406" s="204">
        <f ca="1">INDIRECT("R"&amp;(初期登録!$B$10+30)*12+初期登録!$D$10+5-64&amp;"C"&amp;COLUMN(),FALSE)</f>
        <v>1.5</v>
      </c>
      <c r="K406" s="204">
        <f ca="1">INDIRECT("R"&amp;(初期登録!$B$10+30)*12+初期登録!$D$10+5-64&amp;"C"&amp;COLUMN(),FALSE)</f>
        <v>-0.2</v>
      </c>
      <c r="L406" s="862"/>
      <c r="M406" s="204">
        <f ca="1">INDIRECT("R"&amp;(初期登録!$B$10+30)*12+初期登録!$D$10+5-64&amp;"C"&amp;COLUMN(),FALSE)</f>
        <v>-0.187</v>
      </c>
      <c r="N406" s="204">
        <f ca="1">INDIRECT("R"&amp;(初期登録!$B$10+30)*12+初期登録!$D$10+5-64&amp;"C"&amp;COLUMN(),FALSE)</f>
        <v>-1.9</v>
      </c>
      <c r="O406" s="204">
        <f ca="1">INDIRECT("R"&amp;(初期登録!$B$10+30)*12+初期登録!$D$10+5-64&amp;"C"&amp;COLUMN(),FALSE)</f>
        <v>-0.8</v>
      </c>
      <c r="P406" s="204">
        <f ca="1">INDIRECT("R"&amp;(初期登録!$B$10+30)*12+初期登録!$D$10+5-64&amp;"C"&amp;COLUMN(),FALSE)</f>
        <v>2.2000000000000002</v>
      </c>
      <c r="Q406" s="204">
        <f ca="1">INDIRECT("R"&amp;(初期登録!$B$10+30)*12+初期登録!$D$10+5-64&amp;"C"&amp;COLUMN(),FALSE)</f>
        <v>1.1000000000000001</v>
      </c>
      <c r="R406" s="204">
        <f ca="1">INDIRECT("R"&amp;(初期登録!$B$10+30)*12+初期登録!$D$10+5-64&amp;"C"&amp;COLUMN(),FALSE)</f>
        <v>-0.4</v>
      </c>
      <c r="S406" s="204">
        <f ca="1">INDIRECT("R"&amp;(初期登録!$B$10+30)*12+初期登録!$D$10+5-64&amp;"C"&amp;COLUMN(),FALSE)</f>
        <v>0.5</v>
      </c>
      <c r="T406" s="204">
        <f ca="1">INDIRECT("R"&amp;(初期登録!$B$10+30)*12+初期登録!$D$10+5-64&amp;"C"&amp;COLUMN(),FALSE)</f>
        <v>-0.3</v>
      </c>
      <c r="U406" s="862"/>
      <c r="V406" s="757">
        <f ca="1">INDIRECT("R"&amp;(初期登録!$B$10+30)*12+初期登録!$D$10+5-64&amp;"C"&amp;COLUMN(),FALSE)</f>
        <v>0.68</v>
      </c>
      <c r="W406" s="205">
        <f ca="1">INDIRECT("R"&amp;(初期登録!$B$10+30)*12+初期登録!$D$10+5-64&amp;"C"&amp;COLUMN(),FALSE)</f>
        <v>-0.8</v>
      </c>
      <c r="X406" s="204">
        <f ca="1">INDIRECT("R"&amp;(初期登録!$B$10+30)*12+初期登録!$D$10+5-64&amp;"C"&amp;COLUMN(),FALSE)</f>
        <v>1.4</v>
      </c>
      <c r="Y406" s="204">
        <f ca="1">INDIRECT("R"&amp;(初期登録!$B$10+30)*12+初期登録!$D$10+5-64&amp;"C"&amp;COLUMN(),FALSE)</f>
        <v>-0.04</v>
      </c>
      <c r="Z406" s="204">
        <f ca="1">INDIRECT("R"&amp;(初期登録!$B$10+30)*12+初期登録!$D$10+5-64&amp;"C"&amp;COLUMN(),FALSE)</f>
        <v>0.6</v>
      </c>
      <c r="AA406" s="204">
        <f ca="1">INDIRECT("R"&amp;(初期登録!$B$10+30)*12+初期登録!$D$10+5-64&amp;"C"&amp;COLUMN(),FALSE)</f>
        <v>-0.5</v>
      </c>
      <c r="AB406" s="204">
        <f ca="1">INDIRECT("R"&amp;(初期登録!$B$10+30)*12+初期登録!$D$10+5-64&amp;"C"&amp;COLUMN(),FALSE)</f>
        <v>-0.1</v>
      </c>
      <c r="AC406" s="204">
        <f ca="1">INDIRECT("R"&amp;(初期登録!$B$10+30)*12+初期登録!$D$10+5-64&amp;"C"&amp;COLUMN(),FALSE)</f>
        <v>-1.2</v>
      </c>
      <c r="AD406" s="214"/>
      <c r="AE406">
        <v>-59</v>
      </c>
    </row>
    <row r="407" spans="1:31" ht="15" thickBot="1">
      <c r="A407" s="1747" t="s">
        <v>311</v>
      </c>
      <c r="B407" s="1748"/>
      <c r="C407" s="1748"/>
      <c r="D407" s="756">
        <f ca="1">INDIRECT("R"&amp;(初期登録!$B$10+30)*12+初期登録!$D$10+5-63&amp;"C"&amp;COLUMN(),FALSE)</f>
        <v>0.56000000000000005</v>
      </c>
      <c r="E407" s="205">
        <f ca="1">INDIRECT("R"&amp;(初期登録!$B$10+30)*12+初期登録!$D$10+5-63&amp;"C"&amp;COLUMN(),FALSE)</f>
        <v>-0.3</v>
      </c>
      <c r="F407" s="204">
        <f ca="1">INDIRECT("R"&amp;(初期登録!$B$10+30)*12+初期登録!$D$10+5-63&amp;"C"&amp;COLUMN(),FALSE)</f>
        <v>-2.9</v>
      </c>
      <c r="G407" s="204">
        <f ca="1">INDIRECT("R"&amp;(初期登録!$B$10+30)*12+初期登録!$D$10+5-63&amp;"C"&amp;COLUMN(),FALSE)</f>
        <v>-2.5</v>
      </c>
      <c r="H407" s="204">
        <f ca="1">INDIRECT("R"&amp;(初期登録!$B$10+30)*12+初期登録!$D$10+5-63&amp;"C"&amp;COLUMN(),FALSE)</f>
        <v>-0.7</v>
      </c>
      <c r="I407" s="204">
        <f ca="1">INDIRECT("R"&amp;(初期登録!$B$10+30)*12+初期登録!$D$10+5-63&amp;"C"&amp;COLUMN(),FALSE)</f>
        <v>-1.3</v>
      </c>
      <c r="J407" s="204">
        <f ca="1">INDIRECT("R"&amp;(初期登録!$B$10+30)*12+初期登録!$D$10+5-63&amp;"C"&amp;COLUMN(),FALSE)</f>
        <v>1</v>
      </c>
      <c r="K407" s="204">
        <f ca="1">INDIRECT("R"&amp;(初期登録!$B$10+30)*12+初期登録!$D$10+5-63&amp;"C"&amp;COLUMN(),FALSE)</f>
        <v>-0.8</v>
      </c>
      <c r="M407" s="204">
        <f ca="1">INDIRECT("R"&amp;(初期登録!$B$10+30)*12+初期登録!$D$10+5-63&amp;"C"&amp;COLUMN(),FALSE)</f>
        <v>-2.7320000000000002</v>
      </c>
      <c r="N407" s="204">
        <f ca="1">INDIRECT("R"&amp;(初期登録!$B$10+30)*12+初期登録!$D$10+5-63&amp;"C"&amp;COLUMN(),FALSE)</f>
        <v>-0.9</v>
      </c>
      <c r="O407" s="204">
        <f ca="1">INDIRECT("R"&amp;(初期登録!$B$10+30)*12+初期登録!$D$10+5-63&amp;"C"&amp;COLUMN(),FALSE)</f>
        <v>-1.3</v>
      </c>
      <c r="P407" s="204">
        <f ca="1">INDIRECT("R"&amp;(初期登録!$B$10+30)*12+初期登録!$D$10+5-63&amp;"C"&amp;COLUMN(),FALSE)</f>
        <v>-2.9</v>
      </c>
      <c r="Q407" s="204">
        <f ca="1">INDIRECT("R"&amp;(初期登録!$B$10+30)*12+初期登録!$D$10+5-63&amp;"C"&amp;COLUMN(),FALSE)</f>
        <v>-1.2</v>
      </c>
      <c r="R407" s="204">
        <f ca="1">INDIRECT("R"&amp;(初期登録!$B$10+30)*12+初期登録!$D$10+5-63&amp;"C"&amp;COLUMN(),FALSE)</f>
        <v>0.6</v>
      </c>
      <c r="S407" s="204">
        <f ca="1">INDIRECT("R"&amp;(初期登録!$B$10+30)*12+初期登録!$D$10+5-63&amp;"C"&amp;COLUMN(),FALSE)</f>
        <v>-0.1</v>
      </c>
      <c r="T407" s="204">
        <f ca="1">INDIRECT("R"&amp;(初期登録!$B$10+30)*12+初期登録!$D$10+5-63&amp;"C"&amp;COLUMN(),FALSE)</f>
        <v>0.6</v>
      </c>
      <c r="V407" s="757">
        <f ca="1">INDIRECT("R"&amp;(初期登録!$B$10+30)*12+初期登録!$D$10+5-63&amp;"C"&amp;COLUMN(),FALSE)</f>
        <v>0.51</v>
      </c>
      <c r="W407" s="205">
        <f ca="1">INDIRECT("R"&amp;(初期登録!$B$10+30)*12+初期登録!$D$10+5-63&amp;"C"&amp;COLUMN(),FALSE)</f>
        <v>0.4</v>
      </c>
      <c r="X407" s="204">
        <f ca="1">INDIRECT("R"&amp;(初期登録!$B$10+30)*12+初期登録!$D$10+5-63&amp;"C"&amp;COLUMN(),FALSE)</f>
        <v>-2.4</v>
      </c>
      <c r="Y407" s="204">
        <f ca="1">INDIRECT("R"&amp;(初期登録!$B$10+30)*12+初期登録!$D$10+5-63&amp;"C"&amp;COLUMN(),FALSE)</f>
        <v>1.3</v>
      </c>
      <c r="Z407" s="204">
        <f ca="1">INDIRECT("R"&amp;(初期登録!$B$10+30)*12+初期登録!$D$10+5-63&amp;"C"&amp;COLUMN(),FALSE)</f>
        <v>0.9</v>
      </c>
      <c r="AA407" s="204">
        <f ca="1">INDIRECT("R"&amp;(初期登録!$B$10+30)*12+初期登録!$D$10+5-63&amp;"C"&amp;COLUMN(),FALSE)</f>
        <v>3.1</v>
      </c>
      <c r="AB407" s="204">
        <f ca="1">INDIRECT("R"&amp;(初期登録!$B$10+30)*12+初期登録!$D$10+5-63&amp;"C"&amp;COLUMN(),FALSE)</f>
        <v>-0.6</v>
      </c>
      <c r="AC407" s="204">
        <f ca="1">INDIRECT("R"&amp;(初期登録!$B$10+30)*12+初期登録!$D$10+5-63&amp;"C"&amp;COLUMN(),FALSE)</f>
        <v>-1.9</v>
      </c>
      <c r="AD407" s="214"/>
      <c r="AE407">
        <v>-58</v>
      </c>
    </row>
    <row r="408" spans="1:31" ht="15" thickBot="1">
      <c r="A408" s="1747" t="s">
        <v>310</v>
      </c>
      <c r="B408" s="1748"/>
      <c r="C408" s="1748"/>
      <c r="D408" s="756">
        <f ca="1">INDIRECT("R"&amp;(初期登録!$B$10+30)*12+初期登録!$D$10+5-62&amp;"C"&amp;COLUMN(),FALSE)</f>
        <v>0.5</v>
      </c>
      <c r="E408" s="205">
        <f ca="1">INDIRECT("R"&amp;(初期登録!$B$10+30)*12+初期登録!$D$10+5-62&amp;"C"&amp;COLUMN(),FALSE)</f>
        <v>-1</v>
      </c>
      <c r="F408" s="204">
        <f ca="1">INDIRECT("R"&amp;(初期登録!$B$10+30)*12+初期登録!$D$10+5-62&amp;"C"&amp;COLUMN(),FALSE)</f>
        <v>-1.4</v>
      </c>
      <c r="G408" s="204">
        <f ca="1">INDIRECT("R"&amp;(初期登録!$B$10+30)*12+初期登録!$D$10+5-62&amp;"C"&amp;COLUMN(),FALSE)</f>
        <v>0.4</v>
      </c>
      <c r="H408" s="204">
        <f ca="1">INDIRECT("R"&amp;(初期登録!$B$10+30)*12+初期登録!$D$10+5-62&amp;"C"&amp;COLUMN(),FALSE)</f>
        <v>-1.6</v>
      </c>
      <c r="I408" s="204">
        <f ca="1">INDIRECT("R"&amp;(初期登録!$B$10+30)*12+初期登録!$D$10+5-62&amp;"C"&amp;COLUMN(),FALSE)</f>
        <v>0</v>
      </c>
      <c r="J408" s="204">
        <f ca="1">INDIRECT("R"&amp;(初期登録!$B$10+30)*12+初期登録!$D$10+5-62&amp;"C"&amp;COLUMN(),FALSE)</f>
        <v>1.4</v>
      </c>
      <c r="K408" s="204">
        <f ca="1">INDIRECT("R"&amp;(初期登録!$B$10+30)*12+初期登録!$D$10+5-62&amp;"C"&amp;COLUMN(),FALSE)</f>
        <v>-0.7</v>
      </c>
      <c r="M408" s="204">
        <f ca="1">INDIRECT("R"&amp;(初期登録!$B$10+30)*12+初期登録!$D$10+5-62&amp;"C"&amp;COLUMN(),FALSE)</f>
        <v>-3.2149999999999999</v>
      </c>
      <c r="N408" s="204">
        <f ca="1">INDIRECT("R"&amp;(初期登録!$B$10+30)*12+初期登録!$D$10+5-62&amp;"C"&amp;COLUMN(),FALSE)</f>
        <v>-1.3</v>
      </c>
      <c r="O408" s="204">
        <f ca="1">INDIRECT("R"&amp;(初期登録!$B$10+30)*12+初期登録!$D$10+5-62&amp;"C"&amp;COLUMN(),FALSE)</f>
        <v>0.7</v>
      </c>
      <c r="P408" s="204">
        <f ca="1">INDIRECT("R"&amp;(初期登録!$B$10+30)*12+初期登録!$D$10+5-62&amp;"C"&amp;COLUMN(),FALSE)</f>
        <v>2.2000000000000002</v>
      </c>
      <c r="Q408" s="204">
        <f ca="1">INDIRECT("R"&amp;(初期登録!$B$10+30)*12+初期登録!$D$10+5-62&amp;"C"&amp;COLUMN(),FALSE)</f>
        <v>0.2</v>
      </c>
      <c r="R408" s="204">
        <f ca="1">INDIRECT("R"&amp;(初期登録!$B$10+30)*12+初期登録!$D$10+5-62&amp;"C"&amp;COLUMN(),FALSE)</f>
        <v>-0.3</v>
      </c>
      <c r="S408" s="204">
        <f ca="1">INDIRECT("R"&amp;(初期登録!$B$10+30)*12+初期登録!$D$10+5-62&amp;"C"&amp;COLUMN(),FALSE)</f>
        <v>0.5</v>
      </c>
      <c r="T408" s="204">
        <f ca="1">INDIRECT("R"&amp;(初期登録!$B$10+30)*12+初期登録!$D$10+5-62&amp;"C"&amp;COLUMN(),FALSE)</f>
        <v>-0.9</v>
      </c>
      <c r="V408" s="757">
        <f ca="1">INDIRECT("R"&amp;(初期登録!$B$10+30)*12+初期登録!$D$10+5-62&amp;"C"&amp;COLUMN(),FALSE)</f>
        <v>0.44</v>
      </c>
      <c r="W408" s="205">
        <f ca="1">INDIRECT("R"&amp;(初期登録!$B$10+30)*12+初期登録!$D$10+5-62&amp;"C"&amp;COLUMN(),FALSE)</f>
        <v>-1.7</v>
      </c>
      <c r="X408" s="204">
        <f ca="1">INDIRECT("R"&amp;(初期登録!$B$10+30)*12+初期登録!$D$10+5-62&amp;"C"&amp;COLUMN(),FALSE)</f>
        <v>1.3</v>
      </c>
      <c r="Y408" s="204">
        <f ca="1">INDIRECT("R"&amp;(初期登録!$B$10+30)*12+初期登録!$D$10+5-62&amp;"C"&amp;COLUMN(),FALSE)</f>
        <v>-2.0699999999999998</v>
      </c>
      <c r="Z408" s="204">
        <f ca="1">INDIRECT("R"&amp;(初期登録!$B$10+30)*12+初期登録!$D$10+5-62&amp;"C"&amp;COLUMN(),FALSE)</f>
        <v>-1.2</v>
      </c>
      <c r="AA408" s="204">
        <f ca="1">INDIRECT("R"&amp;(初期登録!$B$10+30)*12+初期登録!$D$10+5-62&amp;"C"&amp;COLUMN(),FALSE)</f>
        <v>-3.7</v>
      </c>
      <c r="AB408" s="204">
        <f ca="1">INDIRECT("R"&amp;(初期登録!$B$10+30)*12+初期登録!$D$10+5-62&amp;"C"&amp;COLUMN(),FALSE)</f>
        <v>-1</v>
      </c>
      <c r="AC408" s="204">
        <f ca="1">INDIRECT("R"&amp;(初期登録!$B$10+30)*12+初期登録!$D$10+5-62&amp;"C"&amp;COLUMN(),FALSE)</f>
        <v>1.6</v>
      </c>
      <c r="AD408" s="214"/>
      <c r="AE408">
        <v>-57</v>
      </c>
    </row>
    <row r="409" spans="1:31" ht="15" thickBot="1">
      <c r="A409" s="1747" t="s">
        <v>309</v>
      </c>
      <c r="B409" s="1748"/>
      <c r="C409" s="1748"/>
      <c r="D409" s="756">
        <f ca="1">INDIRECT("R"&amp;(初期登録!$B$10+30)*12+初期登録!$D$10+5-61&amp;"C"&amp;COLUMN(),FALSE)</f>
        <v>0.55000000000000004</v>
      </c>
      <c r="E409" s="205">
        <f ca="1">INDIRECT("R"&amp;(初期登録!$B$10+30)*12+初期登録!$D$10+5-61&amp;"C"&amp;COLUMN(),FALSE)</f>
        <v>1.5</v>
      </c>
      <c r="F409" s="204">
        <f ca="1">INDIRECT("R"&amp;(初期登録!$B$10+30)*12+初期登録!$D$10+5-61&amp;"C"&amp;COLUMN(),FALSE)</f>
        <v>0.8</v>
      </c>
      <c r="G409" s="204">
        <f ca="1">INDIRECT("R"&amp;(初期登録!$B$10+30)*12+初期登録!$D$10+5-61&amp;"C"&amp;COLUMN(),FALSE)</f>
        <v>-0.4</v>
      </c>
      <c r="H409" s="204">
        <f ca="1">INDIRECT("R"&amp;(初期登録!$B$10+30)*12+初期登録!$D$10+5-61&amp;"C"&amp;COLUMN(),FALSE)</f>
        <v>1.9</v>
      </c>
      <c r="I409" s="204">
        <f ca="1">INDIRECT("R"&amp;(初期登録!$B$10+30)*12+初期登録!$D$10+5-61&amp;"C"&amp;COLUMN(),FALSE)</f>
        <v>1.6</v>
      </c>
      <c r="J409" s="204">
        <f ca="1">INDIRECT("R"&amp;(初期登録!$B$10+30)*12+初期登録!$D$10+5-61&amp;"C"&amp;COLUMN(),FALSE)</f>
        <v>-0.9</v>
      </c>
      <c r="K409" s="204">
        <f ca="1">INDIRECT("R"&amp;(初期登録!$B$10+30)*12+初期登録!$D$10+5-61&amp;"C"&amp;COLUMN(),FALSE)</f>
        <v>-0.7</v>
      </c>
      <c r="M409" s="204">
        <f ca="1">INDIRECT("R"&amp;(初期登録!$B$10+30)*12+初期登録!$D$10+5-61&amp;"C"&amp;COLUMN(),FALSE)</f>
        <v>-0.69099999999999995</v>
      </c>
      <c r="N409" s="204">
        <f ca="1">INDIRECT("R"&amp;(初期登録!$B$10+30)*12+初期登録!$D$10+5-61&amp;"C"&amp;COLUMN(),FALSE)</f>
        <v>-1.1000000000000001</v>
      </c>
      <c r="O409" s="204">
        <f ca="1">INDIRECT("R"&amp;(初期登録!$B$10+30)*12+初期登録!$D$10+5-61&amp;"C"&amp;COLUMN(),FALSE)</f>
        <v>-1</v>
      </c>
      <c r="P409" s="204">
        <f ca="1">INDIRECT("R"&amp;(初期登録!$B$10+30)*12+初期登録!$D$10+5-61&amp;"C"&amp;COLUMN(),FALSE)</f>
        <v>-0.8</v>
      </c>
      <c r="Q409" s="204">
        <f ca="1">INDIRECT("R"&amp;(初期登録!$B$10+30)*12+初期登録!$D$10+5-61&amp;"C"&amp;COLUMN(),FALSE)</f>
        <v>1.3</v>
      </c>
      <c r="R409" s="204">
        <f ca="1">INDIRECT("R"&amp;(初期登録!$B$10+30)*12+初期登録!$D$10+5-61&amp;"C"&amp;COLUMN(),FALSE)</f>
        <v>1.9</v>
      </c>
      <c r="S409" s="204">
        <f ca="1">INDIRECT("R"&amp;(初期登録!$B$10+30)*12+初期登録!$D$10+5-61&amp;"C"&amp;COLUMN(),FALSE)</f>
        <v>0.6</v>
      </c>
      <c r="T409" s="204">
        <f ca="1">INDIRECT("R"&amp;(初期登録!$B$10+30)*12+初期登録!$D$10+5-61&amp;"C"&amp;COLUMN(),FALSE)</f>
        <v>0.6</v>
      </c>
      <c r="V409" s="757">
        <f ca="1">INDIRECT("R"&amp;(初期登録!$B$10+30)*12+初期登録!$D$10+5-61&amp;"C"&amp;COLUMN(),FALSE)</f>
        <v>0.49</v>
      </c>
      <c r="W409" s="205">
        <f ca="1">INDIRECT("R"&amp;(初期登録!$B$10+30)*12+初期登録!$D$10+5-61&amp;"C"&amp;COLUMN(),FALSE)</f>
        <v>-0.9</v>
      </c>
      <c r="X409" s="204">
        <f ca="1">INDIRECT("R"&amp;(初期登録!$B$10+30)*12+初期登録!$D$10+5-61&amp;"C"&amp;COLUMN(),FALSE)</f>
        <v>-0.9</v>
      </c>
      <c r="Y409" s="204">
        <f ca="1">INDIRECT("R"&amp;(初期登録!$B$10+30)*12+初期登録!$D$10+5-61&amp;"C"&amp;COLUMN(),FALSE)</f>
        <v>-0.05</v>
      </c>
      <c r="Z409" s="204">
        <f ca="1">INDIRECT("R"&amp;(初期登録!$B$10+30)*12+初期登録!$D$10+5-61&amp;"C"&amp;COLUMN(),FALSE)</f>
        <v>-0.5</v>
      </c>
      <c r="AA409" s="204">
        <f ca="1">INDIRECT("R"&amp;(初期登録!$B$10+30)*12+初期登録!$D$10+5-61&amp;"C"&amp;COLUMN(),FALSE)</f>
        <v>2.2000000000000002</v>
      </c>
      <c r="AB409" s="204">
        <f ca="1">INDIRECT("R"&amp;(初期登録!$B$10+30)*12+初期登録!$D$10+5-61&amp;"C"&amp;COLUMN(),FALSE)</f>
        <v>1.9</v>
      </c>
      <c r="AC409" s="204">
        <f ca="1">INDIRECT("R"&amp;(初期登録!$B$10+30)*12+初期登録!$D$10+5-61&amp;"C"&amp;COLUMN(),FALSE)</f>
        <v>-0.9</v>
      </c>
      <c r="AD409" s="214"/>
      <c r="AE409">
        <v>-56</v>
      </c>
    </row>
    <row r="410" spans="1:31" ht="15" thickBot="1">
      <c r="A410" s="1747" t="s">
        <v>308</v>
      </c>
      <c r="B410" s="1748"/>
      <c r="C410" s="1748"/>
      <c r="D410" s="756">
        <f ca="1">INDIRECT("R"&amp;(初期登録!$B$10+30)*12+初期登録!$D$10+5-60&amp;"C"&amp;COLUMN(),FALSE)</f>
        <v>0.53</v>
      </c>
      <c r="E410" s="205">
        <f ca="1">INDIRECT("R"&amp;(初期登録!$B$10+30)*12+初期登録!$D$10+5-60&amp;"C"&amp;COLUMN(),FALSE)</f>
        <v>-1.4</v>
      </c>
      <c r="F410" s="204">
        <f ca="1">INDIRECT("R"&amp;(初期登録!$B$10+30)*12+初期登録!$D$10+5-60&amp;"C"&amp;COLUMN(),FALSE)</f>
        <v>2.9</v>
      </c>
      <c r="G410" s="204">
        <f ca="1">INDIRECT("R"&amp;(初期登録!$B$10+30)*12+初期登録!$D$10+5-60&amp;"C"&amp;COLUMN(),FALSE)</f>
        <v>-0.3</v>
      </c>
      <c r="H410" s="204">
        <f ca="1">INDIRECT("R"&amp;(初期登録!$B$10+30)*12+初期登録!$D$10+5-60&amp;"C"&amp;COLUMN(),FALSE)</f>
        <v>-2.7</v>
      </c>
      <c r="I410" s="204">
        <f ca="1">INDIRECT("R"&amp;(初期登録!$B$10+30)*12+初期登録!$D$10+5-60&amp;"C"&amp;COLUMN(),FALSE)</f>
        <v>0.6</v>
      </c>
      <c r="J410" s="204">
        <f ca="1">INDIRECT("R"&amp;(初期登録!$B$10+30)*12+初期登録!$D$10+5-60&amp;"C"&amp;COLUMN(),FALSE)</f>
        <v>-1.4</v>
      </c>
      <c r="K410" s="204">
        <f ca="1">INDIRECT("R"&amp;(初期登録!$B$10+30)*12+初期登録!$D$10+5-60&amp;"C"&amp;COLUMN(),FALSE)</f>
        <v>1.5</v>
      </c>
      <c r="M410" s="204">
        <f ca="1">INDIRECT("R"&amp;(初期登録!$B$10+30)*12+初期登録!$D$10+5-60&amp;"C"&amp;COLUMN(),FALSE)</f>
        <v>-1.2849999999999999</v>
      </c>
      <c r="N410" s="204">
        <f ca="1">INDIRECT("R"&amp;(初期登録!$B$10+30)*12+初期登録!$D$10+5-60&amp;"C"&amp;COLUMN(),FALSE)</f>
        <v>-0.6</v>
      </c>
      <c r="O410" s="204">
        <f ca="1">INDIRECT("R"&amp;(初期登録!$B$10+30)*12+初期登録!$D$10+5-60&amp;"C"&amp;COLUMN(),FALSE)</f>
        <v>-0.3</v>
      </c>
      <c r="P410" s="204">
        <f ca="1">INDIRECT("R"&amp;(初期登録!$B$10+30)*12+初期登録!$D$10+5-60&amp;"C"&amp;COLUMN(),FALSE)</f>
        <v>-0.2</v>
      </c>
      <c r="Q410" s="204">
        <f ca="1">INDIRECT("R"&amp;(初期登録!$B$10+30)*12+初期登録!$D$10+5-60&amp;"C"&amp;COLUMN(),FALSE)</f>
        <v>0</v>
      </c>
      <c r="R410" s="204">
        <f ca="1">INDIRECT("R"&amp;(初期登録!$B$10+30)*12+初期登録!$D$10+5-60&amp;"C"&amp;COLUMN(),FALSE)</f>
        <v>1.8</v>
      </c>
      <c r="S410" s="204">
        <f ca="1">INDIRECT("R"&amp;(初期登録!$B$10+30)*12+初期登録!$D$10+5-60&amp;"C"&amp;COLUMN(),FALSE)</f>
        <v>0.1</v>
      </c>
      <c r="T410" s="204">
        <f ca="1">INDIRECT("R"&amp;(初期登録!$B$10+30)*12+初期登録!$D$10+5-60&amp;"C"&amp;COLUMN(),FALSE)</f>
        <v>1.1000000000000001</v>
      </c>
      <c r="V410" s="757">
        <f ca="1">INDIRECT("R"&amp;(初期登録!$B$10+30)*12+初期登録!$D$10+5-60&amp;"C"&amp;COLUMN(),FALSE)</f>
        <v>0.47</v>
      </c>
      <c r="W410" s="205">
        <f ca="1">INDIRECT("R"&amp;(初期登録!$B$10+30)*12+初期登録!$D$10+5-60&amp;"C"&amp;COLUMN(),FALSE)</f>
        <v>0.8</v>
      </c>
      <c r="X410" s="204">
        <f ca="1">INDIRECT("R"&amp;(初期登録!$B$10+30)*12+初期登録!$D$10+5-60&amp;"C"&amp;COLUMN(),FALSE)</f>
        <v>-0.4</v>
      </c>
      <c r="Y410" s="204">
        <f ca="1">INDIRECT("R"&amp;(初期登録!$B$10+30)*12+初期登録!$D$10+5-60&amp;"C"&amp;COLUMN(),FALSE)</f>
        <v>-0.06</v>
      </c>
      <c r="Z410" s="204">
        <f ca="1">INDIRECT("R"&amp;(初期登録!$B$10+30)*12+初期登録!$D$10+5-60&amp;"C"&amp;COLUMN(),FALSE)</f>
        <v>1.1000000000000001</v>
      </c>
      <c r="AA410" s="204">
        <f ca="1">INDIRECT("R"&amp;(初期登録!$B$10+30)*12+初期登録!$D$10+5-60&amp;"C"&amp;COLUMN(),FALSE)</f>
        <v>-0.4</v>
      </c>
      <c r="AB410" s="204">
        <f ca="1">INDIRECT("R"&amp;(初期登録!$B$10+30)*12+初期登録!$D$10+5-60&amp;"C"&amp;COLUMN(),FALSE)</f>
        <v>0.1</v>
      </c>
      <c r="AC410" s="204">
        <f ca="1">INDIRECT("R"&amp;(初期登録!$B$10+30)*12+初期登録!$D$10+5-60&amp;"C"&amp;COLUMN(),FALSE)</f>
        <v>0.7</v>
      </c>
      <c r="AD410" s="214"/>
      <c r="AE410">
        <v>-55</v>
      </c>
    </row>
    <row r="411" spans="1:31" ht="15" thickBot="1">
      <c r="A411" s="1749" t="s">
        <v>307</v>
      </c>
      <c r="B411" s="1750"/>
      <c r="C411" s="1750"/>
      <c r="D411" s="756">
        <f ca="1">INDIRECT("R"&amp;(初期登録!$B$10+30)*12+初期登録!$D$10+5-59&amp;"C"&amp;COLUMN(),FALSE)</f>
        <v>0.54</v>
      </c>
      <c r="E411" s="754">
        <f ca="1">INDIRECT("R"&amp;(初期登録!$B$10+30)*12+初期登録!$D$10+5-59&amp;"C"&amp;COLUMN(),FALSE)</f>
        <v>-2.1</v>
      </c>
      <c r="F411" s="209">
        <f ca="1">INDIRECT("R"&amp;(初期登録!$B$10+30)*12+初期登録!$D$10+5-59&amp;"C"&amp;COLUMN(),FALSE)</f>
        <v>-0.1</v>
      </c>
      <c r="G411" s="209">
        <f ca="1">INDIRECT("R"&amp;(初期登録!$B$10+30)*12+初期登録!$D$10+5-59&amp;"C"&amp;COLUMN(),FALSE)</f>
        <v>0.3</v>
      </c>
      <c r="H411" s="209">
        <f ca="1">INDIRECT("R"&amp;(初期登録!$B$10+30)*12+初期登録!$D$10+5-59&amp;"C"&amp;COLUMN(),FALSE)</f>
        <v>1.4</v>
      </c>
      <c r="I411" s="209">
        <f ca="1">INDIRECT("R"&amp;(初期登録!$B$10+30)*12+初期登録!$D$10+5-59&amp;"C"&amp;COLUMN(),FALSE)</f>
        <v>1.3</v>
      </c>
      <c r="J411" s="209">
        <f ca="1">INDIRECT("R"&amp;(初期登録!$B$10+30)*12+初期登録!$D$10+5-59&amp;"C"&amp;COLUMN(),FALSE)</f>
        <v>0.5</v>
      </c>
      <c r="K411" s="209">
        <f ca="1">INDIRECT("R"&amp;(初期登録!$B$10+30)*12+初期登録!$D$10+5-59&amp;"C"&amp;COLUMN(),FALSE)</f>
        <v>1.5</v>
      </c>
      <c r="M411" s="209">
        <f ca="1">INDIRECT("R"&amp;(初期登録!$B$10+30)*12+初期登録!$D$10+5-59&amp;"C"&amp;COLUMN(),FALSE)</f>
        <v>-0.64700000000000002</v>
      </c>
      <c r="N411" s="209">
        <f ca="1">INDIRECT("R"&amp;(初期登録!$B$10+30)*12+初期登録!$D$10+5-59&amp;"C"&amp;COLUMN(),FALSE)</f>
        <v>1.7</v>
      </c>
      <c r="O411" s="209">
        <f ca="1">INDIRECT("R"&amp;(初期登録!$B$10+30)*12+初期登録!$D$10+5-59&amp;"C"&amp;COLUMN(),FALSE)</f>
        <v>2.5</v>
      </c>
      <c r="P411" s="209">
        <f ca="1">INDIRECT("R"&amp;(初期登録!$B$10+30)*12+初期登録!$D$10+5-59&amp;"C"&amp;COLUMN(),FALSE)</f>
        <v>1.8</v>
      </c>
      <c r="Q411" s="209">
        <f ca="1">INDIRECT("R"&amp;(初期登録!$B$10+30)*12+初期登録!$D$10+5-59&amp;"C"&amp;COLUMN(),FALSE)</f>
        <v>0.7</v>
      </c>
      <c r="R411" s="209">
        <f ca="1">INDIRECT("R"&amp;(初期登録!$B$10+30)*12+初期登録!$D$10+5-59&amp;"C"&amp;COLUMN(),FALSE)</f>
        <v>0</v>
      </c>
      <c r="S411" s="209">
        <f ca="1">INDIRECT("R"&amp;(初期登録!$B$10+30)*12+初期登録!$D$10+5-59&amp;"C"&amp;COLUMN(),FALSE)</f>
        <v>-0.2</v>
      </c>
      <c r="T411" s="209">
        <f ca="1">INDIRECT("R"&amp;(初期登録!$B$10+30)*12+初期登録!$D$10+5-59&amp;"C"&amp;COLUMN(),FALSE)</f>
        <v>-0.3</v>
      </c>
      <c r="V411" s="757">
        <f ca="1">INDIRECT("R"&amp;(初期登録!$B$10+30)*12+初期登録!$D$10+5-59&amp;"C"&amp;COLUMN(),FALSE)</f>
        <v>0.48</v>
      </c>
      <c r="W411" s="754">
        <f ca="1">INDIRECT("R"&amp;(初期登録!$B$10+30)*12+初期登録!$D$10+5-59&amp;"C"&amp;COLUMN(),FALSE)</f>
        <v>1.3</v>
      </c>
      <c r="X411" s="209">
        <f ca="1">INDIRECT("R"&amp;(初期登録!$B$10+30)*12+初期登録!$D$10+5-59&amp;"C"&amp;COLUMN(),FALSE)</f>
        <v>1.5</v>
      </c>
      <c r="Y411" s="209">
        <f ca="1">INDIRECT("R"&amp;(初期登録!$B$10+30)*12+初期登録!$D$10+5-59&amp;"C"&amp;COLUMN(),FALSE)</f>
        <v>-0.05</v>
      </c>
      <c r="Z411" s="209">
        <f ca="1">INDIRECT("R"&amp;(初期登録!$B$10+30)*12+初期登録!$D$10+5-59&amp;"C"&amp;COLUMN(),FALSE)</f>
        <v>-0.2</v>
      </c>
      <c r="AA411" s="209">
        <f ca="1">INDIRECT("R"&amp;(初期登録!$B$10+30)*12+初期登録!$D$10+5-59&amp;"C"&amp;COLUMN(),FALSE)</f>
        <v>1.5</v>
      </c>
      <c r="AB411" s="209">
        <f ca="1">INDIRECT("R"&amp;(初期登録!$B$10+30)*12+初期登録!$D$10+5-59&amp;"C"&amp;COLUMN(),FALSE)</f>
        <v>0.1</v>
      </c>
      <c r="AC411" s="209">
        <f ca="1">INDIRECT("R"&amp;(初期登録!$B$10+30)*12+初期登録!$D$10+5-59&amp;"C"&amp;COLUMN(),FALSE)</f>
        <v>-0.9</v>
      </c>
      <c r="AD411" s="214"/>
      <c r="AE411">
        <v>-54</v>
      </c>
    </row>
    <row r="412" spans="1:31" ht="14.25">
      <c r="D412" s="755"/>
      <c r="V412" s="755"/>
      <c r="AD412" s="214"/>
    </row>
    <row r="413" spans="1:31" ht="14.25">
      <c r="D413" s="207"/>
      <c r="V413" s="207"/>
      <c r="AD413" s="214"/>
    </row>
    <row r="414" spans="1:31">
      <c r="D414" s="207"/>
      <c r="V414" s="207"/>
    </row>
    <row r="415" spans="1:31">
      <c r="D415" s="207"/>
      <c r="V415" s="207"/>
    </row>
    <row r="416" spans="1:31">
      <c r="D416" s="207"/>
      <c r="V416" s="207"/>
    </row>
    <row r="417" spans="4:22">
      <c r="D417" s="207"/>
      <c r="V417"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10:C410"/>
    <mergeCell ref="A411:C411"/>
    <mergeCell ref="A406:C406"/>
    <mergeCell ref="A407:C407"/>
    <mergeCell ref="A408:C408"/>
    <mergeCell ref="A409:C409"/>
  </mergeCells>
  <phoneticPr fontId="3"/>
  <conditionalFormatting sqref="E235:K402">
    <cfRule type="cellIs" dxfId="159" priority="1" stopIfTrue="1" operator="lessThan">
      <formula>0</formula>
    </cfRule>
  </conditionalFormatting>
  <conditionalFormatting sqref="M235:T402">
    <cfRule type="cellIs" dxfId="158" priority="3" stopIfTrue="1" operator="lessThan">
      <formula>0</formula>
    </cfRule>
  </conditionalFormatting>
  <conditionalFormatting sqref="W235:AC402">
    <cfRule type="cellIs" dxfId="157" priority="2"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70"/>
  <sheetViews>
    <sheetView zoomScale="90" zoomScaleNormal="90" workbookViewId="0">
      <pane xSplit="3" ySplit="5" topLeftCell="D454" activePane="bottomRight" state="frozen"/>
      <selection activeCell="O402" sqref="O402"/>
      <selection pane="topRight" activeCell="O402" sqref="O402"/>
      <selection pane="bottomLeft" activeCell="O402" sqref="O402"/>
      <selection pane="bottomRight" activeCell="O402" sqref="O402"/>
    </sheetView>
  </sheetViews>
  <sheetFormatPr defaultColWidth="9.125" defaultRowHeight="14.25"/>
  <cols>
    <col min="1" max="1" width="6" style="310" bestFit="1" customWidth="1"/>
    <col min="2" max="2" width="6.25" style="310"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763</v>
      </c>
      <c r="F3" s="668" t="s">
        <v>763</v>
      </c>
      <c r="G3" s="668" t="s">
        <v>177</v>
      </c>
      <c r="H3" s="668" t="s">
        <v>178</v>
      </c>
      <c r="I3" s="668" t="s">
        <v>9</v>
      </c>
      <c r="J3" s="668" t="s">
        <v>179</v>
      </c>
      <c r="K3" s="369"/>
      <c r="L3" s="669" t="s">
        <v>180</v>
      </c>
      <c r="M3" s="669" t="s">
        <v>12</v>
      </c>
      <c r="N3" s="669" t="s">
        <v>500</v>
      </c>
      <c r="O3" s="669" t="s">
        <v>763</v>
      </c>
      <c r="P3" s="669" t="s">
        <v>763</v>
      </c>
      <c r="Q3" s="669" t="s">
        <v>763</v>
      </c>
      <c r="R3" s="669" t="s">
        <v>176</v>
      </c>
      <c r="S3" s="669" t="s">
        <v>502</v>
      </c>
      <c r="T3" s="369"/>
      <c r="U3" s="670" t="s">
        <v>763</v>
      </c>
      <c r="V3" s="670" t="s">
        <v>763</v>
      </c>
      <c r="W3" s="670" t="s">
        <v>521</v>
      </c>
      <c r="X3" s="670" t="s">
        <v>521</v>
      </c>
      <c r="Y3" s="670" t="s">
        <v>181</v>
      </c>
      <c r="Z3" s="1161" t="s">
        <v>766</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1.5214030489490482</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10">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11">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11">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11">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11">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11">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11">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11">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11">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11">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11">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12">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3">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4">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5">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5">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5">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5">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5">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5">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5">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5">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5">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16">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17">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18">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18">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4">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4">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4">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4">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4">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4">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4">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4">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19">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4">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4">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4">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4">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4">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4">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4">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4">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4">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4">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4">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19">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3">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4">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4">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4">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4">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4">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4">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4">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4">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4">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4">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20">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17">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4">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4">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4">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4">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4">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4">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4">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4">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4">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4">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4">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17">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4">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4">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4">
        <v>-2.3103507532507206</v>
      </c>
      <c r="T345" s="351"/>
      <c r="U345" s="884">
        <v>-0.62583817612874637</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36">
        <v>2.0999999999999943</v>
      </c>
      <c r="S346" s="1214">
        <v>-7.4911320868153704</v>
      </c>
      <c r="T346" s="351"/>
      <c r="U346" s="1136">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4">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4">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4">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4">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4">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4">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4">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17">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4">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4">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4">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4">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4">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4">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4">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4">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4">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4">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4">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17">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4">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4">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4">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4">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4">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4">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4">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4">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4">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4">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4">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17">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4">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4">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4">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4">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4">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4">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4">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4">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4">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4">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4">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17">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4">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4">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4">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4">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4">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4">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4">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4">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4">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4">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4">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1.0000000000000009E-2</v>
      </c>
      <c r="M402" s="348">
        <v>3.4823301952082257</v>
      </c>
      <c r="N402" s="348">
        <v>3.448275862068968</v>
      </c>
      <c r="O402" s="348">
        <v>14.901256732495519</v>
      </c>
      <c r="P402" s="348">
        <v>17.069831127339114</v>
      </c>
      <c r="Q402" s="922">
        <v>18.693982074263754</v>
      </c>
      <c r="R402" s="922">
        <v>-15</v>
      </c>
      <c r="S402" s="1217">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3.0000000000000027E-2</v>
      </c>
      <c r="M403" s="347">
        <v>3.2377310388782585</v>
      </c>
      <c r="N403" s="347">
        <v>-0.85106382978724615</v>
      </c>
      <c r="O403" s="347">
        <v>-5.6701030927835125</v>
      </c>
      <c r="P403" s="347">
        <v>-2.7280477408354669</v>
      </c>
      <c r="Q403" s="884">
        <v>-3.3333333333333242</v>
      </c>
      <c r="R403" s="884">
        <v>2.7999999999999972</v>
      </c>
      <c r="S403" s="1214">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4.9999999999999822E-2</v>
      </c>
      <c r="M404" s="347">
        <v>-0.16948620570602418</v>
      </c>
      <c r="N404" s="347">
        <v>0.85106382978724615</v>
      </c>
      <c r="O404" s="347">
        <v>-10.810810810810807</v>
      </c>
      <c r="P404" s="347">
        <v>0.60318828091340182</v>
      </c>
      <c r="Q404" s="884">
        <v>1.2033694344163657</v>
      </c>
      <c r="R404" s="884">
        <v>-2.6999999999999886</v>
      </c>
      <c r="S404" s="1214">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1.0000000000000009E-2</v>
      </c>
      <c r="M405" s="347">
        <v>-5.4115673327167606</v>
      </c>
      <c r="N405" s="347">
        <v>0</v>
      </c>
      <c r="O405" s="347">
        <v>16.621499548328821</v>
      </c>
      <c r="P405" s="347">
        <v>2.1249468763280919</v>
      </c>
      <c r="Q405" s="884">
        <v>-1.4457831325301296</v>
      </c>
      <c r="R405" s="884">
        <v>-2.9000000000000057</v>
      </c>
      <c r="S405" s="1214">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4">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4">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4">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4">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4">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4">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4">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4">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17">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4">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0</v>
      </c>
      <c r="M416" s="347">
        <v>0.35790151271321885</v>
      </c>
      <c r="N416" s="347">
        <v>-1.6260162601626102</v>
      </c>
      <c r="O416" s="347">
        <v>9.0380313199105089</v>
      </c>
      <c r="P416" s="347">
        <v>1.2140833670578712</v>
      </c>
      <c r="Q416" s="884">
        <v>-4.5920169551395267</v>
      </c>
      <c r="R416" s="884">
        <v>-1.0999999999999943</v>
      </c>
      <c r="S416" s="1214">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4">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-2.0000000000000018E-2</v>
      </c>
      <c r="M418" s="347">
        <v>-1.6793655730057582</v>
      </c>
      <c r="N418" s="347">
        <v>-2.4896265560165887</v>
      </c>
      <c r="O418" s="347">
        <v>9.3561834182491843</v>
      </c>
      <c r="P418" s="347">
        <v>1.7133956386292857</v>
      </c>
      <c r="Q418" s="884">
        <v>1.8433179723502378</v>
      </c>
      <c r="R418" s="884">
        <v>-1.5</v>
      </c>
      <c r="S418" s="1214">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4">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4">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4">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4">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4">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4">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-5.9999999999999831E-2</v>
      </c>
      <c r="M425" s="347">
        <v>0.28658103659718231</v>
      </c>
      <c r="N425" s="347">
        <v>2.7397260273972508</v>
      </c>
      <c r="O425" s="347">
        <v>-0.91628488129945385</v>
      </c>
      <c r="P425" s="347">
        <v>-0.49545829892651411</v>
      </c>
      <c r="Q425" s="884">
        <v>-0.77711056163899273</v>
      </c>
      <c r="R425" s="884">
        <v>0.70000000000000284</v>
      </c>
      <c r="S425" s="1214">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17">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-2.0000000000000018E-2</v>
      </c>
      <c r="M427" s="347">
        <v>0.63792993018637378</v>
      </c>
      <c r="N427" s="347">
        <v>0</v>
      </c>
      <c r="O427" s="347">
        <v>23.420387531592247</v>
      </c>
      <c r="P427" s="347">
        <v>1.0622154779969692</v>
      </c>
      <c r="Q427" s="884">
        <v>-2.7251578597540678</v>
      </c>
      <c r="R427" s="884">
        <v>-1.7000000000000028</v>
      </c>
      <c r="S427" s="1214">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-3.0000000000000027E-2</v>
      </c>
      <c r="M428" s="347">
        <v>3.5199518295972045</v>
      </c>
      <c r="N428" s="347">
        <v>-0.93896713615023153</v>
      </c>
      <c r="O428" s="347">
        <v>-1.0614101592115284</v>
      </c>
      <c r="P428" s="347">
        <v>-0.68156001514578235</v>
      </c>
      <c r="Q428" s="884">
        <v>-1.1521518129447759</v>
      </c>
      <c r="R428" s="884">
        <v>0</v>
      </c>
      <c r="S428" s="1214">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4">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4">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4">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-1.0000000000000009E-2</v>
      </c>
      <c r="M432" s="347">
        <v>-1.0296010296010296</v>
      </c>
      <c r="N432" s="347">
        <v>-1.8181818181818117</v>
      </c>
      <c r="O432" s="347">
        <v>2.3626091422701565</v>
      </c>
      <c r="P432" s="347">
        <v>-6.4158415841584233</v>
      </c>
      <c r="Q432" s="884">
        <v>-6.9665201217450194</v>
      </c>
      <c r="R432" s="884">
        <v>4.3999999999999915</v>
      </c>
      <c r="S432" s="1214">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4">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-1.0000000000000009E-2</v>
      </c>
      <c r="M434" s="347">
        <v>-0.15012549553143359</v>
      </c>
      <c r="N434" s="347">
        <v>4.4843049327354256</v>
      </c>
      <c r="O434" s="347">
        <v>5.6497175141242941</v>
      </c>
      <c r="P434" s="347">
        <v>-2.363238512035001</v>
      </c>
      <c r="Q434" s="884">
        <v>-4.0879290397223382</v>
      </c>
      <c r="R434" s="884">
        <v>2.4000000000000057</v>
      </c>
      <c r="S434" s="1214">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4">
        <v>51.58085277554305</v>
      </c>
      <c r="T435" s="351"/>
      <c r="U435" s="884">
        <v>0.67017711823839432</v>
      </c>
      <c r="V435" s="884">
        <v>-0.88339222614840984</v>
      </c>
      <c r="W435" s="884">
        <v>0</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4">
        <v>-32.780936252570463</v>
      </c>
      <c r="T436" s="351"/>
      <c r="U436" s="884">
        <v>9.5374344301391065E-2</v>
      </c>
      <c r="V436" s="884">
        <v>-18.834951456310684</v>
      </c>
      <c r="W436" s="884">
        <v>0</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4">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17">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1.0000000000000009E-2</v>
      </c>
      <c r="M439" s="347">
        <v>2.1997241936026248</v>
      </c>
      <c r="N439" s="347">
        <v>-5.8252427184465985</v>
      </c>
      <c r="O439" s="347">
        <v>8.4848484848484897</v>
      </c>
      <c r="P439" s="347">
        <v>5.1595977262789603</v>
      </c>
      <c r="Q439" s="884">
        <v>3.7248194602812661</v>
      </c>
      <c r="R439" s="1143">
        <v>-3.5</v>
      </c>
      <c r="S439" s="1214">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1.0000000000000009E-2</v>
      </c>
      <c r="M440" s="347">
        <v>-1.8512093299159416</v>
      </c>
      <c r="N440" s="347">
        <v>-1.0050251256281373</v>
      </c>
      <c r="O440" s="347">
        <v>3.6156041864890556</v>
      </c>
      <c r="P440" s="347">
        <v>2.6083298275136801</v>
      </c>
      <c r="Q440" s="884">
        <v>1.5549796371714137</v>
      </c>
      <c r="R440" s="884">
        <v>-2</v>
      </c>
      <c r="S440" s="1214">
        <v>-6.0310633213859024</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4">
        <v>-7.0816326530612246</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0</v>
      </c>
      <c r="M442" s="347">
        <v>-4.1669500555442243</v>
      </c>
      <c r="N442" s="347">
        <v>-3.0150753768844116</v>
      </c>
      <c r="O442" s="347">
        <v>-6.74988441978733</v>
      </c>
      <c r="P442" s="347">
        <v>-0.47808764940238591</v>
      </c>
      <c r="Q442" s="884">
        <v>3.4838250977604028</v>
      </c>
      <c r="R442" s="884">
        <v>1.2999999999999972</v>
      </c>
      <c r="S442" s="1214">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-3.0000000000000027E-2</v>
      </c>
      <c r="M443" s="347">
        <v>-0.78332926559975413</v>
      </c>
      <c r="N443" s="347">
        <v>3.0150753768844116</v>
      </c>
      <c r="O443" s="347">
        <v>-0.38350910834132856</v>
      </c>
      <c r="P443" s="347">
        <v>-0.40016006402561022</v>
      </c>
      <c r="Q443" s="884">
        <v>-0.49036777583186592</v>
      </c>
      <c r="R443" s="884">
        <v>1.2000000000000028</v>
      </c>
      <c r="S443" s="1214">
        <v>-12.061309713592498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21">
        <v>1.2000000000000028</v>
      </c>
      <c r="S444" s="1214">
        <v>-41.17195062319751</v>
      </c>
      <c r="T444" s="351"/>
      <c r="U444" s="884">
        <v>9.528346831824136E-2</v>
      </c>
      <c r="V444" s="884">
        <v>-23.716814159292042</v>
      </c>
      <c r="W444" s="884">
        <v>0.10000000000000009</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1.0000000000000009E-2</v>
      </c>
      <c r="M445" s="347">
        <v>-2.560428238136415</v>
      </c>
      <c r="N445" s="347">
        <v>-1.0050251256281373</v>
      </c>
      <c r="O445" s="347">
        <v>14.204250907205811</v>
      </c>
      <c r="P445" s="347">
        <v>-1.1725293132328236</v>
      </c>
      <c r="Q445" s="884">
        <v>-5.2173913043478182</v>
      </c>
      <c r="R445" s="1221">
        <v>0.40000000000000568</v>
      </c>
      <c r="S445" s="1214">
        <v>2.1726700971984014</v>
      </c>
      <c r="T445" s="351"/>
      <c r="U445" s="884">
        <v>0.38022813688213469</v>
      </c>
      <c r="V445" s="884">
        <v>19.401631912964646</v>
      </c>
      <c r="W445" s="884">
        <v>-0.10000000000000009</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0</v>
      </c>
      <c r="M446" s="347">
        <v>-0.16568814609371313</v>
      </c>
      <c r="N446" s="347">
        <v>-4.1237113402061896</v>
      </c>
      <c r="O446" s="347">
        <v>7.1861875874941692</v>
      </c>
      <c r="P446" s="347">
        <v>4.6894282188399847</v>
      </c>
      <c r="Q446" s="884">
        <v>4.8638838475499009</v>
      </c>
      <c r="R446" s="1221">
        <v>-1.9000000000000057</v>
      </c>
      <c r="S446" s="1214">
        <v>27.565223844204855</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21">
        <v>-6.2000000000000028</v>
      </c>
      <c r="S447" s="1214">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4">
        <v>11.217334518087116</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57">
        <v>12</v>
      </c>
      <c r="D449" s="347">
        <v>-3.0243710624620768</v>
      </c>
      <c r="E449" s="347">
        <v>0.13596193065940765</v>
      </c>
      <c r="F449" s="347">
        <v>-1.3592233009708794</v>
      </c>
      <c r="G449" s="347">
        <v>-0.55337119557303038</v>
      </c>
      <c r="H449" s="349">
        <v>3.3300685602350635</v>
      </c>
      <c r="I449" s="349">
        <v>-2</v>
      </c>
      <c r="J449" s="347">
        <v>0.29999999999999716</v>
      </c>
      <c r="K449" s="353"/>
      <c r="L449" s="347">
        <v>0</v>
      </c>
      <c r="M449" s="347">
        <v>4.610760076068944</v>
      </c>
      <c r="N449" s="347">
        <v>-1.03626943005181</v>
      </c>
      <c r="O449" s="347">
        <v>-1.6956715751896525</v>
      </c>
      <c r="P449" s="347">
        <v>-1.8377946464242885</v>
      </c>
      <c r="Q449" s="884">
        <v>-1.5799868334430587</v>
      </c>
      <c r="R449" s="884">
        <v>0.40000000000000568</v>
      </c>
      <c r="S449" s="1214">
        <v>29.915775135992558</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3" t="s">
        <v>812</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1.0000000000000009E-2</v>
      </c>
      <c r="M450" s="348">
        <v>-3.0067316705011629</v>
      </c>
      <c r="N450" s="348">
        <v>7.0351758793969967</v>
      </c>
      <c r="O450" s="348">
        <v>0.98522167487685486</v>
      </c>
      <c r="P450" s="348">
        <v>5.1080550098231825</v>
      </c>
      <c r="Q450" s="922">
        <v>1.5146526177148578</v>
      </c>
      <c r="R450" s="922">
        <v>-2.4000000000000057</v>
      </c>
      <c r="S450" s="1217">
        <v>20.649213533015466</v>
      </c>
      <c r="T450" s="350"/>
      <c r="U450" s="922">
        <v>-9.4206311822900166E-2</v>
      </c>
      <c r="V450" s="922">
        <v>2.156935663815549</v>
      </c>
      <c r="W450" s="922">
        <v>0</v>
      </c>
      <c r="X450" s="922">
        <v>2.2999999999999998</v>
      </c>
      <c r="Y450" s="922">
        <v>-2.1702883141956431</v>
      </c>
      <c r="Z450" s="922">
        <v>0.29999999999999982</v>
      </c>
      <c r="AA450" s="884">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3">
        <v>-2.5999999999999943</v>
      </c>
      <c r="S451" s="1214">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3.0000000000000027E-2</v>
      </c>
      <c r="M452" s="347">
        <v>-1.298374515625784</v>
      </c>
      <c r="N452" s="347">
        <v>0.93896713615023153</v>
      </c>
      <c r="O452" s="347">
        <v>17.774086378737532</v>
      </c>
      <c r="P452" s="347">
        <v>1.1115227862171175</v>
      </c>
      <c r="Q452" s="884">
        <v>-7.528641571194763</v>
      </c>
      <c r="R452" s="884">
        <v>-0.40000000000000568</v>
      </c>
      <c r="S452" s="884">
        <v>23.218651243217469</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-2.0000000000000018E-2</v>
      </c>
      <c r="M453" s="347">
        <v>1.3258695515441177</v>
      </c>
      <c r="N453" s="347">
        <v>0</v>
      </c>
      <c r="O453" s="347">
        <v>-36.856368563685635</v>
      </c>
      <c r="P453" s="347">
        <v>-9.0909090909090757</v>
      </c>
      <c r="Q453" s="884">
        <v>-1.5769626328419688</v>
      </c>
      <c r="R453" s="884">
        <v>9.6000000000000085</v>
      </c>
      <c r="S453" s="884">
        <v>-39.494054963032006</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0</v>
      </c>
      <c r="M454" s="347">
        <v>0.46379413524835206</v>
      </c>
      <c r="N454" s="347">
        <v>1.8518518518518616</v>
      </c>
      <c r="O454" s="347">
        <v>5.2830188679245342</v>
      </c>
      <c r="P454" s="347">
        <v>0.64360418342718995</v>
      </c>
      <c r="Q454" s="884">
        <v>1.5769626328419688</v>
      </c>
      <c r="R454" s="884">
        <v>-0.70000000000000284</v>
      </c>
      <c r="S454" s="884">
        <v>6.5474092351075033</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-11.433597185576076</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v>-0.6465154588045664</v>
      </c>
      <c r="E456" s="347">
        <v>-6.7655786350148235</v>
      </c>
      <c r="F456" s="347">
        <v>-16.428033157498113</v>
      </c>
      <c r="G456" s="347">
        <v>-1.9514914970727628</v>
      </c>
      <c r="H456" s="950">
        <v>-16.981132075471699</v>
      </c>
      <c r="I456" s="950">
        <v>-2</v>
      </c>
      <c r="J456" s="347">
        <v>-0.70000000000000284</v>
      </c>
      <c r="K456" s="353"/>
      <c r="L456" s="347">
        <v>-4.0000000000000036E-2</v>
      </c>
      <c r="M456" s="347">
        <v>2.6648715151233824</v>
      </c>
      <c r="N456" s="347">
        <v>-4.8309178743961354</v>
      </c>
      <c r="O456" s="347">
        <v>-17.125688532799209</v>
      </c>
      <c r="P456" s="347">
        <v>-3.3871602993304433</v>
      </c>
      <c r="Q456" s="884">
        <v>2.6485568760611051</v>
      </c>
      <c r="R456" s="884">
        <v>0.10000000000000853</v>
      </c>
      <c r="S456" s="884">
        <v>11.2420425301368</v>
      </c>
      <c r="T456" s="353"/>
      <c r="U456" s="884">
        <v>0.19157088122605634</v>
      </c>
      <c r="V456" s="884">
        <v>-23.719676549865234</v>
      </c>
      <c r="W456" s="884">
        <v>-0.20000000000000018</v>
      </c>
      <c r="X456" s="884">
        <v>2.6</v>
      </c>
      <c r="Y456" s="884">
        <v>36.015580219894744</v>
      </c>
      <c r="Z456" s="884">
        <v>-0.19999999999999973</v>
      </c>
      <c r="AA456" s="884">
        <v>-34.701300679857546</v>
      </c>
    </row>
    <row r="457" spans="1:27" ht="14.25" customHeight="1">
      <c r="A457" s="777"/>
      <c r="B457" s="778"/>
      <c r="C457" s="779">
        <v>8</v>
      </c>
      <c r="D457" s="347">
        <v>-3.460057486848521</v>
      </c>
      <c r="E457" s="347">
        <v>-3.5000000000000142</v>
      </c>
      <c r="F457" s="347">
        <v>3.0719482619240077</v>
      </c>
      <c r="G457" s="347">
        <v>-4.9624927870744378</v>
      </c>
      <c r="H457" s="950">
        <v>-0.34423407917383819</v>
      </c>
      <c r="I457" s="950">
        <v>-3</v>
      </c>
      <c r="J457" s="347">
        <v>-0.59999999999999432</v>
      </c>
      <c r="K457" s="353"/>
      <c r="L457" s="347">
        <v>-4.9999999999999822E-2</v>
      </c>
      <c r="M457" s="347">
        <v>4.3014850098066608</v>
      </c>
      <c r="N457" s="347">
        <v>2.92682926829269</v>
      </c>
      <c r="O457" s="347">
        <v>17.400000000000006</v>
      </c>
      <c r="P457" s="347">
        <v>0.95693779904306442</v>
      </c>
      <c r="Q457" s="884">
        <v>-1.010441226002021</v>
      </c>
      <c r="R457" s="884">
        <v>-2</v>
      </c>
      <c r="S457" s="884">
        <v>-24.067045794672261</v>
      </c>
      <c r="T457" s="353"/>
      <c r="U457" s="884">
        <v>-0.67210753720595562</v>
      </c>
      <c r="V457" s="884">
        <v>25.600000000000009</v>
      </c>
      <c r="W457" s="884">
        <v>0.30000000000000027</v>
      </c>
      <c r="X457" s="884">
        <v>-3.7</v>
      </c>
      <c r="Y457" s="884">
        <v>-36.188266198222806</v>
      </c>
      <c r="Z457" s="884">
        <v>-0.39999999999999991</v>
      </c>
      <c r="AA457" s="884">
        <v>66.22279760803896</v>
      </c>
    </row>
    <row r="458" spans="1:27" ht="14.25" customHeight="1">
      <c r="A458" s="777"/>
      <c r="B458" s="778"/>
      <c r="C458" s="779">
        <v>9</v>
      </c>
      <c r="D458" s="347">
        <v>5.6002574831026681</v>
      </c>
      <c r="E458" s="347">
        <v>1.6403785488959135</v>
      </c>
      <c r="F458" s="347">
        <v>-2.4174053182917001</v>
      </c>
      <c r="G458" s="347">
        <v>5.9144415733563021</v>
      </c>
      <c r="H458" s="950">
        <v>20.710973724884081</v>
      </c>
      <c r="I458" s="950">
        <v>2</v>
      </c>
      <c r="J458" s="347">
        <v>-0.70000000000000284</v>
      </c>
      <c r="K458" s="353"/>
      <c r="L458" s="347">
        <v>-1.0000000000000009E-2</v>
      </c>
      <c r="M458" s="347">
        <v>3.7402698076032741</v>
      </c>
      <c r="N458" s="347">
        <v>-3.9215686274509842</v>
      </c>
      <c r="O458" s="347">
        <v>-4.9010367577756861</v>
      </c>
      <c r="P458" s="347">
        <v>8.4378563283922414</v>
      </c>
      <c r="Q458" s="884">
        <v>10.883482714468631</v>
      </c>
      <c r="R458" s="884">
        <v>-2.1000000000000085</v>
      </c>
      <c r="S458" s="884">
        <v>12.074940852995725</v>
      </c>
      <c r="T458" s="353"/>
      <c r="U458" s="884">
        <v>-0.38610038610037789</v>
      </c>
      <c r="V458" s="884">
        <v>-7.7773229635693815</v>
      </c>
      <c r="W458" s="884">
        <v>0</v>
      </c>
      <c r="X458" s="884">
        <v>-1.4999999999999998</v>
      </c>
      <c r="Y458" s="884">
        <v>31.437635822176912</v>
      </c>
      <c r="Z458" s="884">
        <v>0.89999999999999991</v>
      </c>
      <c r="AA458" s="884">
        <v>-16.955964731593347</v>
      </c>
    </row>
    <row r="459" spans="1:27" ht="14.25" customHeight="1">
      <c r="A459" s="777"/>
      <c r="B459" s="778"/>
      <c r="C459" s="779">
        <v>10</v>
      </c>
      <c r="D459" s="347">
        <v>-5.0795462652493439</v>
      </c>
      <c r="E459" s="347">
        <v>6.654567453115547</v>
      </c>
      <c r="F459" s="347">
        <v>-1.3963039014373624</v>
      </c>
      <c r="G459" s="347">
        <v>-8.1857764876632793</v>
      </c>
      <c r="H459" s="950">
        <v>7.5471698113207548</v>
      </c>
      <c r="I459" s="950">
        <v>3</v>
      </c>
      <c r="J459" s="347">
        <v>3</v>
      </c>
      <c r="K459" s="353"/>
      <c r="L459" s="347">
        <v>-2.0000000000000018E-2</v>
      </c>
      <c r="M459" s="347">
        <v>1.8159920406346699</v>
      </c>
      <c r="N459" s="347">
        <v>-1.0050251256281373</v>
      </c>
      <c r="O459" s="347">
        <v>-1.4598540145985401</v>
      </c>
      <c r="P459" s="347">
        <v>7.2912869121395801E-2</v>
      </c>
      <c r="Q459" s="884">
        <v>7.424729611224798</v>
      </c>
      <c r="R459" s="884">
        <v>-0.5</v>
      </c>
      <c r="S459" s="884">
        <v>23.89584461647922</v>
      </c>
      <c r="T459" s="353"/>
      <c r="U459" s="884">
        <v>0.38610038610037789</v>
      </c>
      <c r="V459" s="884">
        <v>-3.3780857514075406</v>
      </c>
      <c r="W459" s="884">
        <v>0</v>
      </c>
      <c r="X459" s="884">
        <v>3.1999999999999997</v>
      </c>
      <c r="Y459" s="884">
        <v>-3.841956098259792</v>
      </c>
      <c r="Z459" s="884">
        <v>0.10000000000000009</v>
      </c>
      <c r="AA459" s="884">
        <v>12.00206398348814</v>
      </c>
    </row>
    <row r="460" spans="1:27" ht="14.25" customHeight="1">
      <c r="A460" s="777"/>
      <c r="B460" s="778"/>
      <c r="C460" s="779">
        <v>11</v>
      </c>
      <c r="D460" s="347">
        <v>-7.8548469921451538</v>
      </c>
      <c r="E460" s="347">
        <v>-0.3519061583577846</v>
      </c>
      <c r="F460" s="347">
        <v>2.6122448979591746</v>
      </c>
      <c r="G460" s="347">
        <v>4.1783967995258555</v>
      </c>
      <c r="H460" s="950">
        <v>16.448152562574492</v>
      </c>
      <c r="I460" s="950">
        <v>-1</v>
      </c>
      <c r="J460" s="347">
        <v>3</v>
      </c>
      <c r="K460" s="353"/>
      <c r="L460" s="347">
        <v>-1.0000000000000009E-2</v>
      </c>
      <c r="M460" s="347">
        <v>-5.5158586267943681</v>
      </c>
      <c r="N460" s="347">
        <v>9.615384615384615</v>
      </c>
      <c r="O460" s="347">
        <v>10.496980956804457</v>
      </c>
      <c r="P460" s="347">
        <v>2.2342342342342505</v>
      </c>
      <c r="Q460" s="884">
        <v>0.11267605633802176</v>
      </c>
      <c r="R460" s="884">
        <v>0.29999999999999716</v>
      </c>
      <c r="S460" s="884">
        <v>-10.598024232617144</v>
      </c>
      <c r="T460" s="353"/>
      <c r="U460" s="884">
        <v>0.57636887608069987</v>
      </c>
      <c r="V460" s="884">
        <v>14.542483660130728</v>
      </c>
      <c r="W460" s="884">
        <v>0</v>
      </c>
      <c r="X460" s="884">
        <v>-0.7</v>
      </c>
      <c r="Y460" s="884">
        <v>13.556210010921108</v>
      </c>
      <c r="Z460" s="884">
        <v>9.9999999999999645E-2</v>
      </c>
      <c r="AA460" s="884">
        <v>-17.116283985520653</v>
      </c>
    </row>
    <row r="461" spans="1:27" ht="14.25" customHeight="1">
      <c r="A461" s="876"/>
      <c r="B461" s="877"/>
      <c r="C461" s="878">
        <v>12</v>
      </c>
      <c r="D461" s="347"/>
      <c r="E461" s="347"/>
      <c r="F461" s="347"/>
      <c r="G461" s="347"/>
      <c r="H461" s="349"/>
      <c r="I461" s="349"/>
      <c r="J461" s="347"/>
      <c r="K461" s="353"/>
      <c r="L461" s="347"/>
      <c r="M461" s="347"/>
      <c r="N461" s="347"/>
      <c r="O461" s="347"/>
      <c r="P461" s="347"/>
      <c r="Q461" s="884"/>
      <c r="R461" s="884"/>
      <c r="S461" s="884"/>
      <c r="T461" s="353"/>
      <c r="U461" s="884"/>
      <c r="V461" s="884"/>
      <c r="W461" s="884"/>
      <c r="X461" s="884"/>
      <c r="Y461" s="884"/>
      <c r="Z461" s="884"/>
      <c r="AA461" s="884"/>
    </row>
    <row r="462" spans="1:27" s="309" customFormat="1" ht="14.25" customHeight="1">
      <c r="A462" s="308"/>
      <c r="B462" s="308"/>
      <c r="I462" s="354"/>
      <c r="L462" s="354"/>
      <c r="O462" s="355"/>
      <c r="Q462" s="355"/>
      <c r="S462" s="355"/>
      <c r="Z462" s="354"/>
      <c r="AA462" s="354"/>
    </row>
    <row r="463" spans="1:27" ht="15" thickBot="1">
      <c r="L463" s="356"/>
      <c r="O463" s="357"/>
      <c r="Q463" s="357"/>
      <c r="S463" s="357"/>
      <c r="Z463" s="356"/>
      <c r="AA463" s="356"/>
    </row>
    <row r="464" spans="1:27" ht="15" thickBot="1">
      <c r="A464" s="1751" t="s">
        <v>312</v>
      </c>
      <c r="B464" s="1750"/>
      <c r="C464" s="1752"/>
      <c r="D464" s="758">
        <f ca="1">INDIRECT("R"&amp;(初期登録!$B$10+30)*12+初期登録!$D$10+5-5&amp;"C"&amp;COLUMN(),FALSE)</f>
        <v>-9.1501065631081104</v>
      </c>
      <c r="E464" s="315">
        <f ca="1">INDIRECT("R"&amp;(初期登録!$B$10+30)*12+初期登録!$D$10+5-5&amp;"C"&amp;COLUMN(),FALSE)</f>
        <v>13.480392156862745</v>
      </c>
      <c r="F464" s="315">
        <f ca="1">INDIRECT("R"&amp;(初期登録!$B$10+30)*12+初期登録!$D$10+5-5&amp;"C"&amp;COLUMN(),FALSE)</f>
        <v>39.333333333333329</v>
      </c>
      <c r="G464" s="315">
        <f ca="1">INDIRECT("R"&amp;(初期登録!$B$10+30)*12+初期登録!$D$10+5-5&amp;"C"&amp;COLUMN(),FALSE)</f>
        <v>0.63703088214928683</v>
      </c>
      <c r="H464" s="315">
        <f ca="1">INDIRECT("R"&amp;(初期登録!$B$10+30)*12+初期登録!$D$10+5-5&amp;"C"&amp;COLUMN(),FALSE)</f>
        <v>42.95774647887324</v>
      </c>
      <c r="I464" s="315">
        <f ca="1">INDIRECT("R"&amp;(初期登録!$B$10+30)*12+初期登録!$D$10+5-5&amp;"C"&amp;COLUMN(),FALSE)</f>
        <v>-3</v>
      </c>
      <c r="J464" s="315">
        <f ca="1">INDIRECT("R"&amp;(初期登録!$B$10+30)*12+初期登録!$D$10+5-5&amp;"C"&amp;COLUMN(),FALSE)</f>
        <v>0.29999999999999716</v>
      </c>
      <c r="L464" s="315">
        <f ca="1">INDIRECT("R"&amp;(初期登録!$B$10+30)*12+初期登録!$D$10+5-5&amp;"C"&amp;COLUMN(),FALSE)</f>
        <v>0</v>
      </c>
      <c r="M464" s="315">
        <f ca="1">INDIRECT("R"&amp;(初期登録!$B$10+30)*12+初期登録!$D$10+5-5&amp;"C"&amp;COLUMN(),FALSE)</f>
        <v>5.5814853328819174</v>
      </c>
      <c r="N464" s="315">
        <f ca="1">INDIRECT("R"&amp;(初期登録!$B$10+30)*12+初期登録!$D$10+5-5&amp;"C"&amp;COLUMN(),FALSE)</f>
        <v>-2.7906976744186114</v>
      </c>
      <c r="O464" s="315">
        <f ca="1">INDIRECT("R"&amp;(初期登録!$B$10+30)*12+初期登録!$D$10+5-5&amp;"C"&amp;COLUMN(),FALSE)</f>
        <v>12.966601178781927</v>
      </c>
      <c r="P464" s="315">
        <f ca="1">INDIRECT("R"&amp;(初期登録!$B$10+30)*12+初期登録!$D$10+5-5&amp;"C"&amp;COLUMN(),FALSE)</f>
        <v>3.4672970843183539</v>
      </c>
      <c r="Q464" s="315">
        <f ca="1">INDIRECT("R"&amp;(初期登録!$B$10+30)*12+初期登録!$D$10+5-5&amp;"C"&amp;COLUMN(),FALSE)</f>
        <v>-1.163188504960649</v>
      </c>
      <c r="R464" s="315">
        <f ca="1">INDIRECT("R"&amp;(初期登録!$B$10+30)*12+初期登録!$D$10+5-5&amp;"C"&amp;COLUMN(),FALSE)</f>
        <v>-1.9000000000000057</v>
      </c>
      <c r="S464" s="315">
        <f ca="1">INDIRECT("R"&amp;(初期登録!$B$10+30)*12+初期登録!$D$10+5-5&amp;"C"&amp;COLUMN(),FALSE)</f>
        <v>-11.433597185576076</v>
      </c>
      <c r="U464" s="315">
        <f ca="1">INDIRECT("R"&amp;(初期登録!$B$10+30)*12+初期登録!$D$10+5-5&amp;"C"&amp;COLUMN(),FALSE)</f>
        <v>-0.28721876495930798</v>
      </c>
      <c r="V464" s="315">
        <f ca="1">INDIRECT("R"&amp;(初期登録!$B$10+30)*12+初期登録!$D$10+5-5&amp;"C"&amp;COLUMN(),FALSE)</f>
        <v>13.642213642213646</v>
      </c>
      <c r="W464" s="315">
        <f ca="1">INDIRECT("R"&amp;(初期登録!$B$10+30)*12+初期登録!$D$10+5-5&amp;"C"&amp;COLUMN(),FALSE)</f>
        <v>0</v>
      </c>
      <c r="X464" s="315">
        <f ca="1">INDIRECT("R"&amp;(初期登録!$B$10+30)*12+初期登録!$D$10+5-5&amp;"C"&amp;COLUMN(),FALSE)</f>
        <v>1.6</v>
      </c>
      <c r="Y464" s="315">
        <f ca="1">INDIRECT("R"&amp;(初期登録!$B$10+30)*12+初期登録!$D$10+5-5&amp;"C"&amp;COLUMN(),FALSE)</f>
        <v>-5.3475646410505702</v>
      </c>
      <c r="Z464" s="315">
        <f ca="1">INDIRECT("R"&amp;(初期登録!$B$10+30)*12+初期登録!$D$10+5-5&amp;"C"&amp;COLUMN(),FALSE)</f>
        <v>0</v>
      </c>
      <c r="AA464" s="315">
        <f ca="1">INDIRECT("R"&amp;(初期登録!$B$10+30)*12+初期登録!$D$10+5-5&amp;"C"&amp;COLUMN(),FALSE)</f>
        <v>-20.440870084648221</v>
      </c>
    </row>
    <row r="465" spans="1:27" ht="15" thickBot="1">
      <c r="A465" s="1751" t="s">
        <v>311</v>
      </c>
      <c r="B465" s="1750"/>
      <c r="C465" s="1752"/>
      <c r="D465" s="758">
        <f ca="1">INDIRECT("R"&amp;(初期登録!$B$10+30)*12+初期登録!$D$10+5-4&amp;"C"&amp;COLUMN(),FALSE)</f>
        <v>-0.6465154588045664</v>
      </c>
      <c r="E465" s="315">
        <f ca="1">INDIRECT("R"&amp;(初期登録!$B$10+30)*12+初期登録!$D$10+5-4&amp;"C"&amp;COLUMN(),FALSE)</f>
        <v>-6.7655786350148235</v>
      </c>
      <c r="F465" s="315">
        <f ca="1">INDIRECT("R"&amp;(初期登録!$B$10+30)*12+初期登録!$D$10+5-4&amp;"C"&amp;COLUMN(),FALSE)</f>
        <v>-16.428033157498113</v>
      </c>
      <c r="G465" s="315">
        <f ca="1">INDIRECT("R"&amp;(初期登録!$B$10+30)*12+初期登録!$D$10+5-4&amp;"C"&amp;COLUMN(),FALSE)</f>
        <v>-1.9514914970727628</v>
      </c>
      <c r="H465" s="315">
        <f ca="1">INDIRECT("R"&amp;(初期登録!$B$10+30)*12+初期登録!$D$10+5-4&amp;"C"&amp;COLUMN(),FALSE)</f>
        <v>-16.981132075471699</v>
      </c>
      <c r="I465" s="315">
        <f ca="1">INDIRECT("R"&amp;(初期登録!$B$10+30)*12+初期登録!$D$10+5-4&amp;"C"&amp;COLUMN(),FALSE)</f>
        <v>-2</v>
      </c>
      <c r="J465" s="315">
        <f ca="1">INDIRECT("R"&amp;(初期登録!$B$10+30)*12+初期登録!$D$10+5-4&amp;"C"&amp;COLUMN(),FALSE)</f>
        <v>-0.70000000000000284</v>
      </c>
      <c r="L465" s="315">
        <f ca="1">INDIRECT("R"&amp;(初期登録!$B$10+30)*12+初期登録!$D$10+5-4&amp;"C"&amp;COLUMN(),FALSE)</f>
        <v>-4.0000000000000036E-2</v>
      </c>
      <c r="M465" s="315">
        <f ca="1">INDIRECT("R"&amp;(初期登録!$B$10+30)*12+初期登録!$D$10+5-4&amp;"C"&amp;COLUMN(),FALSE)</f>
        <v>2.6648715151233824</v>
      </c>
      <c r="N465" s="315">
        <f ca="1">INDIRECT("R"&amp;(初期登録!$B$10+30)*12+初期登録!$D$10+5-4&amp;"C"&amp;COLUMN(),FALSE)</f>
        <v>-4.8309178743961354</v>
      </c>
      <c r="O465" s="315">
        <f ca="1">INDIRECT("R"&amp;(初期登録!$B$10+30)*12+初期登録!$D$10+5-4&amp;"C"&amp;COLUMN(),FALSE)</f>
        <v>-17.125688532799209</v>
      </c>
      <c r="P465" s="315">
        <f ca="1">INDIRECT("R"&amp;(初期登録!$B$10+30)*12+初期登録!$D$10+5-4&amp;"C"&amp;COLUMN(),FALSE)</f>
        <v>-3.3871602993304433</v>
      </c>
      <c r="Q465" s="315">
        <f ca="1">INDIRECT("R"&amp;(初期登録!$B$10+30)*12+初期登録!$D$10+5-4&amp;"C"&amp;COLUMN(),FALSE)</f>
        <v>2.6485568760611051</v>
      </c>
      <c r="R465" s="315">
        <f ca="1">INDIRECT("R"&amp;(初期登録!$B$10+30)*12+初期登録!$D$10+5-4&amp;"C"&amp;COLUMN(),FALSE)</f>
        <v>0.10000000000000853</v>
      </c>
      <c r="S465" s="315">
        <f ca="1">INDIRECT("R"&amp;(初期登録!$B$10+30)*12+初期登録!$D$10+5-4&amp;"C"&amp;COLUMN(),FALSE)</f>
        <v>11.2420425301368</v>
      </c>
      <c r="U465" s="315">
        <f ca="1">INDIRECT("R"&amp;(初期登録!$B$10+30)*12+初期登録!$D$10+5-4&amp;"C"&amp;COLUMN(),FALSE)</f>
        <v>0.19157088122605634</v>
      </c>
      <c r="V465" s="315">
        <f ca="1">INDIRECT("R"&amp;(初期登録!$B$10+30)*12+初期登録!$D$10+5-4&amp;"C"&amp;COLUMN(),FALSE)</f>
        <v>-23.719676549865234</v>
      </c>
      <c r="W465" s="315">
        <f ca="1">INDIRECT("R"&amp;(初期登録!$B$10+30)*12+初期登録!$D$10+5-4&amp;"C"&amp;COLUMN(),FALSE)</f>
        <v>-0.20000000000000018</v>
      </c>
      <c r="X465" s="315">
        <f ca="1">INDIRECT("R"&amp;(初期登録!$B$10+30)*12+初期登録!$D$10+5-4&amp;"C"&amp;COLUMN(),FALSE)</f>
        <v>2.6</v>
      </c>
      <c r="Y465" s="315">
        <f ca="1">INDIRECT("R"&amp;(初期登録!$B$10+30)*12+初期登録!$D$10+5-4&amp;"C"&amp;COLUMN(),FALSE)</f>
        <v>36.015580219894744</v>
      </c>
      <c r="Z465" s="315">
        <f ca="1">INDIRECT("R"&amp;(初期登録!$B$10+30)*12+初期登録!$D$10+5-4&amp;"C"&amp;COLUMN(),FALSE)</f>
        <v>-0.19999999999999973</v>
      </c>
      <c r="AA465" s="315">
        <f ca="1">INDIRECT("R"&amp;(初期登録!$B$10+30)*12+初期登録!$D$10+5-4&amp;"C"&amp;COLUMN(),FALSE)</f>
        <v>-34.701300679857546</v>
      </c>
    </row>
    <row r="466" spans="1:27" ht="15" thickBot="1">
      <c r="A466" s="1751" t="s">
        <v>310</v>
      </c>
      <c r="B466" s="1750"/>
      <c r="C466" s="1752"/>
      <c r="D466" s="758">
        <f ca="1">INDIRECT("R"&amp;(初期登録!$B$10+30)*12+初期登録!$D$10+5-3&amp;"C"&amp;COLUMN(),FALSE)</f>
        <v>-3.460057486848521</v>
      </c>
      <c r="E466" s="315">
        <f ca="1">INDIRECT("R"&amp;(初期登録!$B$10+30)*12+初期登録!$D$10+5-3&amp;"C"&amp;COLUMN(),FALSE)</f>
        <v>-3.5000000000000142</v>
      </c>
      <c r="F466" s="315">
        <f ca="1">INDIRECT("R"&amp;(初期登録!$B$10+30)*12+初期登録!$D$10+5-3&amp;"C"&amp;COLUMN(),FALSE)</f>
        <v>3.0719482619240077</v>
      </c>
      <c r="G466" s="315">
        <f ca="1">INDIRECT("R"&amp;(初期登録!$B$10+30)*12+初期登録!$D$10+5-3&amp;"C"&amp;COLUMN(),FALSE)</f>
        <v>-4.9624927870744378</v>
      </c>
      <c r="H466" s="315">
        <f ca="1">INDIRECT("R"&amp;(初期登録!$B$10+30)*12+初期登録!$D$10+5-3&amp;"C"&amp;COLUMN(),FALSE)</f>
        <v>-0.34423407917383819</v>
      </c>
      <c r="I466" s="315">
        <f ca="1">INDIRECT("R"&amp;(初期登録!$B$10+30)*12+初期登録!$D$10+5-3&amp;"C"&amp;COLUMN(),FALSE)</f>
        <v>-3</v>
      </c>
      <c r="J466" s="315">
        <f ca="1">INDIRECT("R"&amp;(初期登録!$B$10+30)*12+初期登録!$D$10+5-3&amp;"C"&amp;COLUMN(),FALSE)</f>
        <v>-0.59999999999999432</v>
      </c>
      <c r="L466" s="315">
        <f ca="1">INDIRECT("R"&amp;(初期登録!$B$10+30)*12+初期登録!$D$10+5-3&amp;"C"&amp;COLUMN(),FALSE)</f>
        <v>-4.9999999999999822E-2</v>
      </c>
      <c r="M466" s="315">
        <f ca="1">INDIRECT("R"&amp;(初期登録!$B$10+30)*12+初期登録!$D$10+5-3&amp;"C"&amp;COLUMN(),FALSE)</f>
        <v>4.3014850098066608</v>
      </c>
      <c r="N466" s="315">
        <f ca="1">INDIRECT("R"&amp;(初期登録!$B$10+30)*12+初期登録!$D$10+5-3&amp;"C"&amp;COLUMN(),FALSE)</f>
        <v>2.92682926829269</v>
      </c>
      <c r="O466" s="315">
        <f ca="1">INDIRECT("R"&amp;(初期登録!$B$10+30)*12+初期登録!$D$10+5-3&amp;"C"&amp;COLUMN(),FALSE)</f>
        <v>17.400000000000006</v>
      </c>
      <c r="P466" s="315">
        <f ca="1">INDIRECT("R"&amp;(初期登録!$B$10+30)*12+初期登録!$D$10+5-3&amp;"C"&amp;COLUMN(),FALSE)</f>
        <v>0.95693779904306442</v>
      </c>
      <c r="Q466" s="315">
        <f ca="1">INDIRECT("R"&amp;(初期登録!$B$10+30)*12+初期登録!$D$10+5-3&amp;"C"&amp;COLUMN(),FALSE)</f>
        <v>-1.010441226002021</v>
      </c>
      <c r="R466" s="315">
        <f ca="1">INDIRECT("R"&amp;(初期登録!$B$10+30)*12+初期登録!$D$10+5-3&amp;"C"&amp;COLUMN(),FALSE)</f>
        <v>-2</v>
      </c>
      <c r="S466" s="315">
        <f ca="1">INDIRECT("R"&amp;(初期登録!$B$10+30)*12+初期登録!$D$10+5-3&amp;"C"&amp;COLUMN(),FALSE)</f>
        <v>-24.067045794672261</v>
      </c>
      <c r="U466" s="315">
        <f ca="1">INDIRECT("R"&amp;(初期登録!$B$10+30)*12+初期登録!$D$10+5-3&amp;"C"&amp;COLUMN(),FALSE)</f>
        <v>-0.67210753720595562</v>
      </c>
      <c r="V466" s="315">
        <f ca="1">INDIRECT("R"&amp;(初期登録!$B$10+30)*12+初期登録!$D$10+5-3&amp;"C"&amp;COLUMN(),FALSE)</f>
        <v>25.600000000000009</v>
      </c>
      <c r="W466" s="315">
        <f ca="1">INDIRECT("R"&amp;(初期登録!$B$10+30)*12+初期登録!$D$10+5-3&amp;"C"&amp;COLUMN(),FALSE)</f>
        <v>0.30000000000000027</v>
      </c>
      <c r="X466" s="315">
        <f ca="1">INDIRECT("R"&amp;(初期登録!$B$10+30)*12+初期登録!$D$10+5-3&amp;"C"&amp;COLUMN(),FALSE)</f>
        <v>-3.7</v>
      </c>
      <c r="Y466" s="315">
        <f ca="1">INDIRECT("R"&amp;(初期登録!$B$10+30)*12+初期登録!$D$10+5-3&amp;"C"&amp;COLUMN(),FALSE)</f>
        <v>-36.188266198222806</v>
      </c>
      <c r="Z466" s="315">
        <f ca="1">INDIRECT("R"&amp;(初期登録!$B$10+30)*12+初期登録!$D$10+5-3&amp;"C"&amp;COLUMN(),FALSE)</f>
        <v>-0.39999999999999991</v>
      </c>
      <c r="AA466" s="315">
        <f ca="1">INDIRECT("R"&amp;(初期登録!$B$10+30)*12+初期登録!$D$10+5-3&amp;"C"&amp;COLUMN(),FALSE)</f>
        <v>66.22279760803896</v>
      </c>
    </row>
    <row r="467" spans="1:27" ht="15" thickBot="1">
      <c r="A467" s="1751" t="s">
        <v>309</v>
      </c>
      <c r="B467" s="1750"/>
      <c r="C467" s="1752"/>
      <c r="D467" s="758">
        <f ca="1">INDIRECT("R"&amp;(初期登録!$B$10+30)*12+初期登録!$D$10+5-2&amp;"C"&amp;COLUMN(),FALSE)</f>
        <v>5.6002574831026681</v>
      </c>
      <c r="E467" s="315">
        <f ca="1">INDIRECT("R"&amp;(初期登録!$B$10+30)*12+初期登録!$D$10+5-2&amp;"C"&amp;COLUMN(),FALSE)</f>
        <v>1.6403785488959135</v>
      </c>
      <c r="F467" s="315">
        <f ca="1">INDIRECT("R"&amp;(初期登録!$B$10+30)*12+初期登録!$D$10+5-2&amp;"C"&amp;COLUMN(),FALSE)</f>
        <v>-2.4174053182917001</v>
      </c>
      <c r="G467" s="315">
        <f ca="1">INDIRECT("R"&amp;(初期登録!$B$10+30)*12+初期登録!$D$10+5-2&amp;"C"&amp;COLUMN(),FALSE)</f>
        <v>5.9144415733563021</v>
      </c>
      <c r="H467" s="315">
        <f ca="1">INDIRECT("R"&amp;(初期登録!$B$10+30)*12+初期登録!$D$10+5-2&amp;"C"&amp;COLUMN(),FALSE)</f>
        <v>20.710973724884081</v>
      </c>
      <c r="I467" s="315">
        <f ca="1">INDIRECT("R"&amp;(初期登録!$B$10+30)*12+初期登録!$D$10+5-2&amp;"C"&amp;COLUMN(),FALSE)</f>
        <v>2</v>
      </c>
      <c r="J467" s="315">
        <f ca="1">INDIRECT("R"&amp;(初期登録!$B$10+30)*12+初期登録!$D$10+5-2&amp;"C"&amp;COLUMN(),FALSE)</f>
        <v>-0.70000000000000284</v>
      </c>
      <c r="L467" s="315">
        <f ca="1">INDIRECT("R"&amp;(初期登録!$B$10+30)*12+初期登録!$D$10+5-2&amp;"C"&amp;COLUMN(),FALSE)</f>
        <v>-1.0000000000000009E-2</v>
      </c>
      <c r="M467" s="315">
        <f ca="1">INDIRECT("R"&amp;(初期登録!$B$10+30)*12+初期登録!$D$10+5-2&amp;"C"&amp;COLUMN(),FALSE)</f>
        <v>3.7402698076032741</v>
      </c>
      <c r="N467" s="315">
        <f ca="1">INDIRECT("R"&amp;(初期登録!$B$10+30)*12+初期登録!$D$10+5-2&amp;"C"&amp;COLUMN(),FALSE)</f>
        <v>-3.9215686274509842</v>
      </c>
      <c r="O467" s="315">
        <f ca="1">INDIRECT("R"&amp;(初期登録!$B$10+30)*12+初期登録!$D$10+5-2&amp;"C"&amp;COLUMN(),FALSE)</f>
        <v>-4.9010367577756861</v>
      </c>
      <c r="P467" s="315">
        <f ca="1">INDIRECT("R"&amp;(初期登録!$B$10+30)*12+初期登録!$D$10+5-2&amp;"C"&amp;COLUMN(),FALSE)</f>
        <v>8.4378563283922414</v>
      </c>
      <c r="Q467" s="315">
        <f ca="1">INDIRECT("R"&amp;(初期登録!$B$10+30)*12+初期登録!$D$10+5-2&amp;"C"&amp;COLUMN(),FALSE)</f>
        <v>10.883482714468631</v>
      </c>
      <c r="R467" s="315">
        <f ca="1">INDIRECT("R"&amp;(初期登録!$B$10+30)*12+初期登録!$D$10+5-2&amp;"C"&amp;COLUMN(),FALSE)</f>
        <v>-2.1000000000000085</v>
      </c>
      <c r="S467" s="315">
        <f ca="1">INDIRECT("R"&amp;(初期登録!$B$10+30)*12+初期登録!$D$10+5-2&amp;"C"&amp;COLUMN(),FALSE)</f>
        <v>12.074940852995725</v>
      </c>
      <c r="U467" s="315">
        <f ca="1">INDIRECT("R"&amp;(初期登録!$B$10+30)*12+初期登録!$D$10+5-2&amp;"C"&amp;COLUMN(),FALSE)</f>
        <v>-0.38610038610037789</v>
      </c>
      <c r="V467" s="315">
        <f ca="1">INDIRECT("R"&amp;(初期登録!$B$10+30)*12+初期登録!$D$10+5-2&amp;"C"&amp;COLUMN(),FALSE)</f>
        <v>-7.7773229635693815</v>
      </c>
      <c r="W467" s="315">
        <f ca="1">INDIRECT("R"&amp;(初期登録!$B$10+30)*12+初期登録!$D$10+5-2&amp;"C"&amp;COLUMN(),FALSE)</f>
        <v>0</v>
      </c>
      <c r="X467" s="315">
        <f ca="1">INDIRECT("R"&amp;(初期登録!$B$10+30)*12+初期登録!$D$10+5-2&amp;"C"&amp;COLUMN(),FALSE)</f>
        <v>-1.4999999999999998</v>
      </c>
      <c r="Y467" s="315">
        <f ca="1">INDIRECT("R"&amp;(初期登録!$B$10+30)*12+初期登録!$D$10+5-2&amp;"C"&amp;COLUMN(),FALSE)</f>
        <v>31.437635822176912</v>
      </c>
      <c r="Z467" s="315">
        <f ca="1">INDIRECT("R"&amp;(初期登録!$B$10+30)*12+初期登録!$D$10+5-2&amp;"C"&amp;COLUMN(),FALSE)</f>
        <v>0.89999999999999991</v>
      </c>
      <c r="AA467" s="315">
        <f ca="1">INDIRECT("R"&amp;(初期登録!$B$10+30)*12+初期登録!$D$10+5-2&amp;"C"&amp;COLUMN(),FALSE)</f>
        <v>-16.955964731593347</v>
      </c>
    </row>
    <row r="468" spans="1:27" ht="15" thickBot="1">
      <c r="A468" s="1751" t="s">
        <v>308</v>
      </c>
      <c r="B468" s="1750"/>
      <c r="C468" s="1752"/>
      <c r="D468" s="758">
        <f ca="1">INDIRECT("R"&amp;(初期登録!$B$10+30)*12+初期登録!$D$10+5-1&amp;"C"&amp;COLUMN(),FALSE)</f>
        <v>-5.0795462652493439</v>
      </c>
      <c r="E468" s="315">
        <f ca="1">INDIRECT("R"&amp;(初期登録!$B$10+30)*12+初期登録!$D$10+5-1&amp;"C"&amp;COLUMN(),FALSE)</f>
        <v>6.654567453115547</v>
      </c>
      <c r="F468" s="315">
        <f ca="1">INDIRECT("R"&amp;(初期登録!$B$10+30)*12+初期登録!$D$10+5-1&amp;"C"&amp;COLUMN(),FALSE)</f>
        <v>-1.3963039014373624</v>
      </c>
      <c r="G468" s="315">
        <f ca="1">INDIRECT("R"&amp;(初期登録!$B$10+30)*12+初期登録!$D$10+5-1&amp;"C"&amp;COLUMN(),FALSE)</f>
        <v>-8.1857764876632793</v>
      </c>
      <c r="H468" s="315">
        <f ca="1">INDIRECT("R"&amp;(初期登録!$B$10+30)*12+初期登録!$D$10+5-1&amp;"C"&amp;COLUMN(),FALSE)</f>
        <v>7.5471698113207548</v>
      </c>
      <c r="I468" s="315">
        <f ca="1">INDIRECT("R"&amp;(初期登録!$B$10+30)*12+初期登録!$D$10+5-1&amp;"C"&amp;COLUMN(),FALSE)</f>
        <v>3</v>
      </c>
      <c r="J468" s="315">
        <f ca="1">INDIRECT("R"&amp;(初期登録!$B$10+30)*12+初期登録!$D$10+5-1&amp;"C"&amp;COLUMN(),FALSE)</f>
        <v>3</v>
      </c>
      <c r="L468" s="315">
        <f ca="1">INDIRECT("R"&amp;(初期登録!$B$10+30)*12+初期登録!$D$10+5-1&amp;"C"&amp;COLUMN(),FALSE)</f>
        <v>-2.0000000000000018E-2</v>
      </c>
      <c r="M468" s="315">
        <f ca="1">INDIRECT("R"&amp;(初期登録!$B$10+30)*12+初期登録!$D$10+5-1&amp;"C"&amp;COLUMN(),FALSE)</f>
        <v>1.8159920406346699</v>
      </c>
      <c r="N468" s="315">
        <f ca="1">INDIRECT("R"&amp;(初期登録!$B$10+30)*12+初期登録!$D$10+5-1&amp;"C"&amp;COLUMN(),FALSE)</f>
        <v>-1.0050251256281373</v>
      </c>
      <c r="O468" s="315">
        <f ca="1">INDIRECT("R"&amp;(初期登録!$B$10+30)*12+初期登録!$D$10+5-1&amp;"C"&amp;COLUMN(),FALSE)</f>
        <v>-1.4598540145985401</v>
      </c>
      <c r="P468" s="315">
        <f ca="1">INDIRECT("R"&amp;(初期登録!$B$10+30)*12+初期登録!$D$10+5-1&amp;"C"&amp;COLUMN(),FALSE)</f>
        <v>7.2912869121395801E-2</v>
      </c>
      <c r="Q468" s="315">
        <f ca="1">INDIRECT("R"&amp;(初期登録!$B$10+30)*12+初期登録!$D$10+5-1&amp;"C"&amp;COLUMN(),FALSE)</f>
        <v>7.424729611224798</v>
      </c>
      <c r="R468" s="315">
        <f ca="1">INDIRECT("R"&amp;(初期登録!$B$10+30)*12+初期登録!$D$10+5-1&amp;"C"&amp;COLUMN(),FALSE)</f>
        <v>-0.5</v>
      </c>
      <c r="S468" s="315">
        <f ca="1">INDIRECT("R"&amp;(初期登録!$B$10+30)*12+初期登録!$D$10+5-1&amp;"C"&amp;COLUMN(),FALSE)</f>
        <v>23.89584461647922</v>
      </c>
      <c r="U468" s="315">
        <f ca="1">INDIRECT("R"&amp;(初期登録!$B$10+30)*12+初期登録!$D$10+5-1&amp;"C"&amp;COLUMN(),FALSE)</f>
        <v>0.38610038610037789</v>
      </c>
      <c r="V468" s="315">
        <f ca="1">INDIRECT("R"&amp;(初期登録!$B$10+30)*12+初期登録!$D$10+5-1&amp;"C"&amp;COLUMN(),FALSE)</f>
        <v>-3.3780857514075406</v>
      </c>
      <c r="W468" s="315">
        <f ca="1">INDIRECT("R"&amp;(初期登録!$B$10+30)*12+初期登録!$D$10+5-1&amp;"C"&amp;COLUMN(),FALSE)</f>
        <v>0</v>
      </c>
      <c r="X468" s="315">
        <f ca="1">INDIRECT("R"&amp;(初期登録!$B$10+30)*12+初期登録!$D$10+5-1&amp;"C"&amp;COLUMN(),FALSE)</f>
        <v>3.1999999999999997</v>
      </c>
      <c r="Y468" s="315">
        <f ca="1">INDIRECT("R"&amp;(初期登録!$B$10+30)*12+初期登録!$D$10+5-1&amp;"C"&amp;COLUMN(),FALSE)</f>
        <v>-3.841956098259792</v>
      </c>
      <c r="Z468" s="315">
        <f ca="1">INDIRECT("R"&amp;(初期登録!$B$10+30)*12+初期登録!$D$10+5-1&amp;"C"&amp;COLUMN(),FALSE)</f>
        <v>0.10000000000000009</v>
      </c>
      <c r="AA468" s="315">
        <f ca="1">INDIRECT("R"&amp;(初期登録!$B$10+30)*12+初期登録!$D$10+5-1&amp;"C"&amp;COLUMN(),FALSE)</f>
        <v>12.00206398348814</v>
      </c>
    </row>
    <row r="469" spans="1:27" ht="15" thickBot="1">
      <c r="A469" s="1749" t="s">
        <v>307</v>
      </c>
      <c r="B469" s="1753"/>
      <c r="C469" s="1754"/>
      <c r="D469" s="758">
        <f ca="1">INDIRECT("R"&amp;(初期登録!$B$10+30)*12+初期登録!$D$10+5&amp;"C"&amp;COLUMN(),FALSE)</f>
        <v>-7.8548469921451538</v>
      </c>
      <c r="E469" s="315">
        <f ca="1">INDIRECT("R"&amp;(初期登録!$B$10+30)*12+初期登録!$D$10+5&amp;"C"&amp;COLUMN(),FALSE)</f>
        <v>-0.3519061583577846</v>
      </c>
      <c r="F469" s="315">
        <f ca="1">INDIRECT("R"&amp;(初期登録!$B$10+30)*12+初期登録!$D$10+5&amp;"C"&amp;COLUMN(),FALSE)</f>
        <v>2.6122448979591746</v>
      </c>
      <c r="G469" s="315">
        <f ca="1">INDIRECT("R"&amp;(初期登録!$B$10+30)*12+初期登録!$D$10+5&amp;"C"&amp;COLUMN(),FALSE)</f>
        <v>4.1783967995258555</v>
      </c>
      <c r="H469" s="315">
        <f ca="1">INDIRECT("R"&amp;(初期登録!$B$10+30)*12+初期登録!$D$10+5&amp;"C"&amp;COLUMN(),FALSE)</f>
        <v>16.448152562574492</v>
      </c>
      <c r="I469" s="315">
        <f ca="1">INDIRECT("R"&amp;(初期登録!$B$10+30)*12+初期登録!$D$10+5&amp;"C"&amp;COLUMN(),FALSE)</f>
        <v>-1</v>
      </c>
      <c r="J469" s="315">
        <f ca="1">INDIRECT("R"&amp;(初期登録!$B$10+30)*12+初期登録!$D$10+5&amp;"C"&amp;COLUMN(),FALSE)</f>
        <v>3</v>
      </c>
      <c r="L469" s="315">
        <f ca="1">INDIRECT("R"&amp;(初期登録!$B$10+30)*12+初期登録!$D$10+5&amp;"C"&amp;COLUMN(),FALSE)</f>
        <v>-1.0000000000000009E-2</v>
      </c>
      <c r="M469" s="315">
        <f ca="1">INDIRECT("R"&amp;(初期登録!$B$10+30)*12+初期登録!$D$10+5&amp;"C"&amp;COLUMN(),FALSE)</f>
        <v>-5.5158586267943681</v>
      </c>
      <c r="N469" s="315">
        <f ca="1">INDIRECT("R"&amp;(初期登録!$B$10+30)*12+初期登録!$D$10+5&amp;"C"&amp;COLUMN(),FALSE)</f>
        <v>9.615384615384615</v>
      </c>
      <c r="O469" s="315">
        <f ca="1">INDIRECT("R"&amp;(初期登録!$B$10+30)*12+初期登録!$D$10+5&amp;"C"&amp;COLUMN(),FALSE)</f>
        <v>10.496980956804457</v>
      </c>
      <c r="P469" s="315">
        <f ca="1">INDIRECT("R"&amp;(初期登録!$B$10+30)*12+初期登録!$D$10+5&amp;"C"&amp;COLUMN(),FALSE)</f>
        <v>2.2342342342342505</v>
      </c>
      <c r="Q469" s="315">
        <f ca="1">INDIRECT("R"&amp;(初期登録!$B$10+30)*12+初期登録!$D$10+5&amp;"C"&amp;COLUMN(),FALSE)</f>
        <v>0.11267605633802176</v>
      </c>
      <c r="R469" s="316">
        <f ca="1">INDIRECT("R"&amp;(初期登録!$B$10+30)*12+初期登録!$D$10+5&amp;"C"&amp;COLUMN(),FALSE)</f>
        <v>0.29999999999999716</v>
      </c>
      <c r="S469" s="315">
        <f ca="1">INDIRECT("R"&amp;(初期登録!$B$10+30)*12+初期登録!$D$10+5&amp;"C"&amp;COLUMN(),FALSE)</f>
        <v>-10.598024232617144</v>
      </c>
      <c r="U469" s="315">
        <f ca="1">INDIRECT("R"&amp;(初期登録!$B$10+30)*12+初期登録!$D$10+5&amp;"C"&amp;COLUMN(),FALSE)</f>
        <v>0.57636887608069987</v>
      </c>
      <c r="V469" s="315">
        <f ca="1">INDIRECT("R"&amp;(初期登録!$B$10+30)*12+初期登録!$D$10+5&amp;"C"&amp;COLUMN(),FALSE)</f>
        <v>14.542483660130728</v>
      </c>
      <c r="W469" s="315">
        <f ca="1">INDIRECT("R"&amp;(初期登録!$B$10+30)*12+初期登録!$D$10+5&amp;"C"&amp;COLUMN(),FALSE)</f>
        <v>0</v>
      </c>
      <c r="X469" s="315">
        <f ca="1">INDIRECT("R"&amp;(初期登録!$B$10+30)*12+初期登録!$D$10+5&amp;"C"&amp;COLUMN(),FALSE)</f>
        <v>-0.7</v>
      </c>
      <c r="Y469" s="315">
        <f ca="1">INDIRECT("R"&amp;(初期登録!$B$10+30)*12+初期登録!$D$10+5&amp;"C"&amp;COLUMN(),FALSE)</f>
        <v>13.556210010921108</v>
      </c>
      <c r="Z469" s="315">
        <f ca="1">INDIRECT("R"&amp;(初期登録!$B$10+30)*12+初期登録!$D$10+5&amp;"C"&amp;COLUMN(),FALSE)</f>
        <v>9.9999999999999645E-2</v>
      </c>
      <c r="AA469" s="315">
        <f ca="1">INDIRECT("R"&amp;(初期登録!$B$10+30)*12+初期登録!$D$10+5&amp;"C"&amp;COLUMN(),FALSE)</f>
        <v>-17.116283985520653</v>
      </c>
    </row>
    <row r="470" spans="1:27">
      <c r="L470"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68:C468"/>
    <mergeCell ref="A469:C469"/>
    <mergeCell ref="A464:C464"/>
    <mergeCell ref="A465:C465"/>
    <mergeCell ref="A466:C466"/>
    <mergeCell ref="A467:C467"/>
  </mergeCells>
  <phoneticPr fontId="3"/>
  <conditionalFormatting sqref="A402:V413 X402:Z402 X403:IV413">
    <cfRule type="cellIs" dxfId="156" priority="434" stopIfTrue="1" operator="lessThan">
      <formula>0</formula>
    </cfRule>
  </conditionalFormatting>
  <conditionalFormatting sqref="A437:V437">
    <cfRule type="cellIs" dxfId="155" priority="372" stopIfTrue="1" operator="lessThan">
      <formula>0</formula>
    </cfRule>
    <cfRule type="cellIs" dxfId="154" priority="282" stopIfTrue="1" operator="lessThan">
      <formula>0</formula>
    </cfRule>
  </conditionalFormatting>
  <conditionalFormatting sqref="A461:V461">
    <cfRule type="cellIs" dxfId="153" priority="223" stopIfTrue="1" operator="lessThan">
      <formula>0</formula>
    </cfRule>
  </conditionalFormatting>
  <conditionalFormatting sqref="A342:W401">
    <cfRule type="cellIs" dxfId="152" priority="445" stopIfTrue="1" operator="lessThan">
      <formula>0</formula>
    </cfRule>
  </conditionalFormatting>
  <conditionalFormatting sqref="A426:W436 D461:IV461">
    <cfRule type="cellIs" dxfId="151" priority="383" stopIfTrue="1" operator="lessThan">
      <formula>0</formula>
    </cfRule>
  </conditionalFormatting>
  <conditionalFormatting sqref="A2:IV2">
    <cfRule type="cellIs" dxfId="150" priority="624" stopIfTrue="1" operator="lessThan">
      <formula>0</formula>
    </cfRule>
  </conditionalFormatting>
  <conditionalFormatting sqref="A318:IV341">
    <cfRule type="cellIs" dxfId="149" priority="600" stopIfTrue="1" operator="lessThan">
      <formula>0</formula>
    </cfRule>
  </conditionalFormatting>
  <conditionalFormatting sqref="A414:IV425">
    <cfRule type="cellIs" dxfId="148" priority="594" stopIfTrue="1" operator="lessThan">
      <formula>0</formula>
    </cfRule>
  </conditionalFormatting>
  <conditionalFormatting sqref="A452:IV460">
    <cfRule type="cellIs" dxfId="147" priority="152" stopIfTrue="1" operator="lessThan">
      <formula>0</formula>
    </cfRule>
  </conditionalFormatting>
  <conditionalFormatting sqref="A102:XFD281 A282:C282 AB282:IV282 A294">
    <cfRule type="cellIs" dxfId="146" priority="726" stopIfTrue="1" operator="lessThan">
      <formula>0</formula>
    </cfRule>
  </conditionalFormatting>
  <conditionalFormatting sqref="B284:IV317">
    <cfRule type="cellIs" dxfId="145" priority="687" stopIfTrue="1" operator="lessThan">
      <formula>0</formula>
    </cfRule>
  </conditionalFormatting>
  <conditionalFormatting sqref="C459">
    <cfRule type="cellIs" dxfId="144" priority="7" stopIfTrue="1" operator="lessThan">
      <formula>0</formula>
    </cfRule>
  </conditionalFormatting>
  <conditionalFormatting sqref="D306:H413">
    <cfRule type="cellIs" dxfId="143" priority="426" stopIfTrue="1" operator="greaterThan">
      <formula>0</formula>
    </cfRule>
  </conditionalFormatting>
  <conditionalFormatting sqref="D426:H448">
    <cfRule type="cellIs" dxfId="142" priority="303" stopIfTrue="1" operator="greaterThan">
      <formula>0</formula>
    </cfRule>
  </conditionalFormatting>
  <conditionalFormatting sqref="D438:H451">
    <cfRule type="cellIs" dxfId="141" priority="113" stopIfTrue="1" operator="greaterThan">
      <formula>0</formula>
    </cfRule>
  </conditionalFormatting>
  <conditionalFormatting sqref="D450:H451">
    <cfRule type="cellIs" dxfId="140" priority="54" stopIfTrue="1" operator="greaterThan">
      <formula>0</formula>
    </cfRule>
  </conditionalFormatting>
  <conditionalFormatting sqref="D452:H460">
    <cfRule type="cellIs" dxfId="139" priority="334" stopIfTrue="1" operator="greaterThan">
      <formula>0</formula>
    </cfRule>
  </conditionalFormatting>
  <conditionalFormatting sqref="D461:H461">
    <cfRule type="cellIs" dxfId="138" priority="213" stopIfTrue="1" operator="greaterThan">
      <formula>0</formula>
    </cfRule>
  </conditionalFormatting>
  <conditionalFormatting sqref="D294:J448">
    <cfRule type="cellIs" dxfId="137" priority="309" stopIfTrue="1" operator="greaterThan">
      <formula>0</formula>
    </cfRule>
  </conditionalFormatting>
  <conditionalFormatting sqref="D437:J461">
    <cfRule type="cellIs" dxfId="136" priority="119" stopIfTrue="1" operator="greaterThan">
      <formula>0</formula>
    </cfRule>
  </conditionalFormatting>
  <conditionalFormatting sqref="D447:J448 J452:J460">
    <cfRule type="cellIs" dxfId="135" priority="332" stopIfTrue="1" operator="greaterThan">
      <formula>0</formula>
    </cfRule>
  </conditionalFormatting>
  <conditionalFormatting sqref="D449:J451">
    <cfRule type="cellIs" dxfId="134" priority="60" stopIfTrue="1" operator="greaterThan">
      <formula>0</formula>
    </cfRule>
  </conditionalFormatting>
  <conditionalFormatting sqref="D452:J461">
    <cfRule type="cellIs" dxfId="133" priority="340" stopIfTrue="1" operator="greaterThan">
      <formula>0</formula>
    </cfRule>
  </conditionalFormatting>
  <conditionalFormatting sqref="D282:P282">
    <cfRule type="cellIs" dxfId="132" priority="707" stopIfTrue="1" operator="lessThan">
      <formula>0</formula>
    </cfRule>
  </conditionalFormatting>
  <conditionalFormatting sqref="D449:V449 A449:B449">
    <cfRule type="cellIs" dxfId="131" priority="92" stopIfTrue="1" operator="lessThan">
      <formula>0</formula>
    </cfRule>
  </conditionalFormatting>
  <conditionalFormatting sqref="D449:V449">
    <cfRule type="cellIs" dxfId="130" priority="151" stopIfTrue="1" operator="lessThan">
      <formula>0</formula>
    </cfRule>
  </conditionalFormatting>
  <conditionalFormatting sqref="D452:V460 A447:V448">
    <cfRule type="cellIs" dxfId="129" priority="344" stopIfTrue="1" operator="lessThan">
      <formula>0</formula>
    </cfRule>
  </conditionalFormatting>
  <conditionalFormatting sqref="J306:J413">
    <cfRule type="cellIs" dxfId="128" priority="424" stopIfTrue="1" operator="greaterThan">
      <formula>0</formula>
    </cfRule>
  </conditionalFormatting>
  <conditionalFormatting sqref="J426:J448 D452:J460">
    <cfRule type="cellIs" dxfId="127" priority="301" stopIfTrue="1" operator="greaterThan">
      <formula>0</formula>
    </cfRule>
  </conditionalFormatting>
  <conditionalFormatting sqref="J438:J451">
    <cfRule type="cellIs" dxfId="126" priority="111" stopIfTrue="1" operator="greaterThan">
      <formula>0</formula>
    </cfRule>
  </conditionalFormatting>
  <conditionalFormatting sqref="J450:J451">
    <cfRule type="cellIs" dxfId="125" priority="52" stopIfTrue="1" operator="greaterThan">
      <formula>0</formula>
    </cfRule>
  </conditionalFormatting>
  <conditionalFormatting sqref="J461">
    <cfRule type="cellIs" dxfId="124" priority="211" stopIfTrue="1" operator="greaterThan">
      <formula>0</formula>
    </cfRule>
  </conditionalFormatting>
  <conditionalFormatting sqref="K438:V445 A445:R445 A446:V448 D452:V460">
    <cfRule type="cellIs" dxfId="123" priority="313" stopIfTrue="1" operator="lessThan">
      <formula>0</formula>
    </cfRule>
  </conditionalFormatting>
  <conditionalFormatting sqref="K438:V445 A445:R445 A446:V448">
    <cfRule type="cellIs" dxfId="122" priority="254" stopIfTrue="1" operator="lessThan">
      <formula>0</formula>
    </cfRule>
  </conditionalFormatting>
  <conditionalFormatting sqref="K450:V451">
    <cfRule type="cellIs" dxfId="121" priority="123" stopIfTrue="1" operator="lessThan">
      <formula>0</formula>
    </cfRule>
    <cfRule type="cellIs" dxfId="120" priority="64" stopIfTrue="1" operator="lessThan">
      <formula>0</formula>
    </cfRule>
  </conditionalFormatting>
  <conditionalFormatting sqref="L306:L413">
    <cfRule type="cellIs" dxfId="119" priority="423" stopIfTrue="1" operator="greaterThan">
      <formula>0</formula>
    </cfRule>
  </conditionalFormatting>
  <conditionalFormatting sqref="L426:L448">
    <cfRule type="cellIs" dxfId="118" priority="300" stopIfTrue="1" operator="greaterThan">
      <formula>0</formula>
    </cfRule>
  </conditionalFormatting>
  <conditionalFormatting sqref="L438:L451">
    <cfRule type="cellIs" dxfId="117" priority="110" stopIfTrue="1" operator="greaterThan">
      <formula>0</formula>
    </cfRule>
  </conditionalFormatting>
  <conditionalFormatting sqref="L450:L451">
    <cfRule type="cellIs" dxfId="116" priority="51" stopIfTrue="1" operator="greaterThan">
      <formula>0</formula>
    </cfRule>
  </conditionalFormatting>
  <conditionalFormatting sqref="L452:L460">
    <cfRule type="cellIs" dxfId="115" priority="331" stopIfTrue="1" operator="greaterThan">
      <formula>0</formula>
    </cfRule>
  </conditionalFormatting>
  <conditionalFormatting sqref="L461">
    <cfRule type="cellIs" dxfId="114" priority="210" stopIfTrue="1" operator="greaterThan">
      <formula>0</formula>
    </cfRule>
  </conditionalFormatting>
  <conditionalFormatting sqref="L294:S448">
    <cfRule type="cellIs" dxfId="113" priority="312" stopIfTrue="1" operator="greaterThan">
      <formula>0</formula>
    </cfRule>
  </conditionalFormatting>
  <conditionalFormatting sqref="L437:S448">
    <cfRule type="cellIs" dxfId="112" priority="253" stopIfTrue="1" operator="greaterThan">
      <formula>0</formula>
    </cfRule>
  </conditionalFormatting>
  <conditionalFormatting sqref="L447:S448 N452:S460">
    <cfRule type="cellIs" dxfId="111" priority="325" stopIfTrue="1" operator="greaterThan">
      <formula>0</formula>
    </cfRule>
  </conditionalFormatting>
  <conditionalFormatting sqref="L449:S451">
    <cfRule type="cellIs" dxfId="110" priority="63" stopIfTrue="1" operator="greaterThan">
      <formula>0</formula>
    </cfRule>
  </conditionalFormatting>
  <conditionalFormatting sqref="L449:S461">
    <cfRule type="cellIs" dxfId="109" priority="122" stopIfTrue="1" operator="greaterThan">
      <formula>0</formula>
    </cfRule>
  </conditionalFormatting>
  <conditionalFormatting sqref="L452:S461">
    <cfRule type="cellIs" dxfId="108" priority="343" stopIfTrue="1" operator="greaterThan">
      <formula>0</formula>
    </cfRule>
  </conditionalFormatting>
  <conditionalFormatting sqref="N438:R448 L452:S460">
    <cfRule type="cellIs" dxfId="107" priority="295" stopIfTrue="1" operator="greaterThan">
      <formula>0</formula>
    </cfRule>
  </conditionalFormatting>
  <conditionalFormatting sqref="N450:R451">
    <cfRule type="cellIs" dxfId="106" priority="105" stopIfTrue="1" operator="greaterThan">
      <formula>0</formula>
    </cfRule>
  </conditionalFormatting>
  <conditionalFormatting sqref="N306:S413">
    <cfRule type="cellIs" dxfId="105" priority="417" stopIfTrue="1" operator="greaterThan">
      <formula>0</formula>
    </cfRule>
  </conditionalFormatting>
  <conditionalFormatting sqref="N426:S437">
    <cfRule type="cellIs" dxfId="104" priority="353" stopIfTrue="1" operator="greaterThan">
      <formula>0</formula>
    </cfRule>
  </conditionalFormatting>
  <conditionalFormatting sqref="N438:S448">
    <cfRule type="cellIs" dxfId="103" priority="235" stopIfTrue="1" operator="greaterThan">
      <formula>0</formula>
    </cfRule>
  </conditionalFormatting>
  <conditionalFormatting sqref="N450:S451">
    <cfRule type="cellIs" dxfId="102" priority="45" stopIfTrue="1" operator="greaterThan">
      <formula>0</formula>
    </cfRule>
  </conditionalFormatting>
  <conditionalFormatting sqref="N461:S461">
    <cfRule type="cellIs" dxfId="101" priority="204" stopIfTrue="1" operator="greaterThan">
      <formula>0</formula>
    </cfRule>
  </conditionalFormatting>
  <conditionalFormatting sqref="Q282:AA282 B283:IV283 A1:XFD1 A3:XFD101 A283:A293 A295:A317 A462:XFD65536">
    <cfRule type="cellIs" dxfId="100" priority="725" stopIfTrue="1" operator="lessThan">
      <formula>0</formula>
    </cfRule>
  </conditionalFormatting>
  <conditionalFormatting sqref="Q282:AA282 P283:AA283">
    <cfRule type="cellIs" dxfId="99" priority="723" stopIfTrue="1" operator="greaterThan">
      <formula>0</formula>
    </cfRule>
  </conditionalFormatting>
  <conditionalFormatting sqref="S437:S444">
    <cfRule type="cellIs" dxfId="98" priority="263" stopIfTrue="1" operator="greaterThan">
      <formula>0</formula>
    </cfRule>
  </conditionalFormatting>
  <conditionalFormatting sqref="S445">
    <cfRule type="cellIs" dxfId="97" priority="188" stopIfTrue="1" operator="lessThan">
      <formula>0</formula>
    </cfRule>
    <cfRule type="cellIs" dxfId="96" priority="186" stopIfTrue="1" operator="greaterThan">
      <formula>0</formula>
    </cfRule>
  </conditionalFormatting>
  <conditionalFormatting sqref="S445:S446">
    <cfRule type="cellIs" dxfId="95" priority="180" stopIfTrue="1" operator="lessThan">
      <formula>0</formula>
    </cfRule>
  </conditionalFormatting>
  <conditionalFormatting sqref="S445:S447">
    <cfRule type="cellIs" dxfId="94" priority="178" stopIfTrue="1" operator="greaterThan">
      <formula>0</formula>
    </cfRule>
  </conditionalFormatting>
  <conditionalFormatting sqref="S446">
    <cfRule type="cellIs" dxfId="93" priority="170" stopIfTrue="1" operator="greaterThan">
      <formula>0</formula>
    </cfRule>
    <cfRule type="cellIs" dxfId="92" priority="294" stopIfTrue="1" operator="greaterThan">
      <formula>0</formula>
    </cfRule>
    <cfRule type="cellIs" dxfId="91" priority="177" stopIfTrue="1" operator="lessThan">
      <formula>0</formula>
    </cfRule>
    <cfRule type="cellIs" dxfId="90" priority="172" stopIfTrue="1" operator="lessThan">
      <formula>0</formula>
    </cfRule>
  </conditionalFormatting>
  <conditionalFormatting sqref="S446:S447">
    <cfRule type="cellIs" dxfId="89" priority="164" stopIfTrue="1" operator="lessThan">
      <formula>0</formula>
    </cfRule>
    <cfRule type="cellIs" dxfId="88" priority="174" stopIfTrue="1" operator="greaterThan">
      <formula>0</formula>
    </cfRule>
  </conditionalFormatting>
  <conditionalFormatting sqref="S446:S448">
    <cfRule type="cellIs" dxfId="87" priority="162" stopIfTrue="1" operator="greaterThan">
      <formula>0</formula>
    </cfRule>
  </conditionalFormatting>
  <conditionalFormatting sqref="S447">
    <cfRule type="cellIs" dxfId="86" priority="161" stopIfTrue="1" operator="lessThan">
      <formula>0</formula>
    </cfRule>
    <cfRule type="cellIs" dxfId="85" priority="27" stopIfTrue="1" operator="greaterThan">
      <formula>0</formula>
    </cfRule>
    <cfRule type="cellIs" dxfId="84" priority="29" stopIfTrue="1" operator="lessThan">
      <formula>0</formula>
    </cfRule>
    <cfRule type="cellIs" dxfId="83" priority="19" stopIfTrue="1" operator="greaterThan">
      <formula>0</formula>
    </cfRule>
    <cfRule type="cellIs" dxfId="82" priority="21" stopIfTrue="1" operator="lessThan">
      <formula>0</formula>
    </cfRule>
    <cfRule type="cellIs" dxfId="81" priority="26" stopIfTrue="1" operator="lessThan">
      <formula>0</formula>
    </cfRule>
  </conditionalFormatting>
  <conditionalFormatting sqref="S447:S448">
    <cfRule type="cellIs" dxfId="80" priority="12" stopIfTrue="1" operator="greaterThan">
      <formula>0</formula>
    </cfRule>
    <cfRule type="cellIs" dxfId="79" priority="31" stopIfTrue="1" operator="greaterThan">
      <formula>0</formula>
    </cfRule>
    <cfRule type="cellIs" dxfId="78" priority="14" stopIfTrue="1" operator="lessThan">
      <formula>0</formula>
    </cfRule>
    <cfRule type="cellIs" dxfId="77" priority="23" stopIfTrue="1" operator="greaterThan">
      <formula>0</formula>
    </cfRule>
  </conditionalFormatting>
  <conditionalFormatting sqref="S448">
    <cfRule type="cellIs" dxfId="76" priority="9" stopIfTrue="1" operator="greaterThan">
      <formula>0</formula>
    </cfRule>
    <cfRule type="cellIs" dxfId="75" priority="11" stopIfTrue="1" operator="lessThan">
      <formula>0</formula>
    </cfRule>
  </conditionalFormatting>
  <conditionalFormatting sqref="S449:S460">
    <cfRule type="cellIs" dxfId="74" priority="73" stopIfTrue="1" operator="greaterThan">
      <formula>0</formula>
    </cfRule>
  </conditionalFormatting>
  <conditionalFormatting sqref="U294:V413">
    <cfRule type="cellIs" dxfId="73" priority="415" stopIfTrue="1" operator="greaterThan">
      <formula>0</formula>
    </cfRule>
  </conditionalFormatting>
  <conditionalFormatting sqref="U449:V451">
    <cfRule type="cellIs" dxfId="72" priority="102" stopIfTrue="1" operator="greaterThan">
      <formula>0</formula>
    </cfRule>
  </conditionalFormatting>
  <conditionalFormatting sqref="U426:Z436">
    <cfRule type="cellIs" dxfId="71" priority="379" stopIfTrue="1" operator="greaterThan">
      <formula>0</formula>
    </cfRule>
  </conditionalFormatting>
  <conditionalFormatting sqref="U438:Z448 U452:AA460">
    <cfRule type="cellIs" dxfId="70" priority="287" stopIfTrue="1" operator="greaterThan">
      <formula>0</formula>
    </cfRule>
  </conditionalFormatting>
  <conditionalFormatting sqref="U414:AA425">
    <cfRule type="cellIs" dxfId="69" priority="592" stopIfTrue="1" operator="greaterThan">
      <formula>0</formula>
    </cfRule>
  </conditionalFormatting>
  <conditionalFormatting sqref="U437:AA437">
    <cfRule type="cellIs" dxfId="68" priority="345" stopIfTrue="1" operator="greaterThan">
      <formula>0</formula>
    </cfRule>
  </conditionalFormatting>
  <conditionalFormatting sqref="U437:AA461">
    <cfRule type="cellIs" dxfId="67" priority="4" stopIfTrue="1" operator="greaterThan">
      <formula>0</formula>
    </cfRule>
  </conditionalFormatting>
  <conditionalFormatting sqref="U447:AA448 U452:AA461">
    <cfRule type="cellIs" dxfId="66" priority="317" stopIfTrue="1" operator="greaterThan">
      <formula>0</formula>
    </cfRule>
  </conditionalFormatting>
  <conditionalFormatting sqref="W284:W413">
    <cfRule type="cellIs" dxfId="65" priority="413" stopIfTrue="1" operator="greaterThan">
      <formula>0</formula>
    </cfRule>
  </conditionalFormatting>
  <conditionalFormatting sqref="W402:W413">
    <cfRule type="cellIs" dxfId="64" priority="414" stopIfTrue="1" operator="lessThan">
      <formula>0</formula>
    </cfRule>
  </conditionalFormatting>
  <conditionalFormatting sqref="W437">
    <cfRule type="cellIs" dxfId="63" priority="350" stopIfTrue="1" operator="lessThan">
      <formula>0</formula>
    </cfRule>
  </conditionalFormatting>
  <conditionalFormatting sqref="W438:W448 W452:IV460">
    <cfRule type="cellIs" dxfId="62" priority="291" stopIfTrue="1" operator="lessThan">
      <formula>0</formula>
    </cfRule>
  </conditionalFormatting>
  <conditionalFormatting sqref="W438:W451">
    <cfRule type="cellIs" dxfId="61" priority="6" stopIfTrue="1" operator="lessThan">
      <formula>0</formula>
    </cfRule>
  </conditionalFormatting>
  <conditionalFormatting sqref="W449">
    <cfRule type="cellIs" dxfId="60" priority="3" stopIfTrue="1" operator="lessThan">
      <formula>0</formula>
    </cfRule>
    <cfRule type="cellIs" dxfId="59" priority="1" stopIfTrue="1" operator="greaterThan">
      <formula>0</formula>
    </cfRule>
  </conditionalFormatting>
  <conditionalFormatting sqref="W450:W451">
    <cfRule type="cellIs" dxfId="58" priority="101" stopIfTrue="1" operator="lessThan">
      <formula>0</formula>
    </cfRule>
  </conditionalFormatting>
  <conditionalFormatting sqref="W450:Z451">
    <cfRule type="cellIs" dxfId="57" priority="97" stopIfTrue="1" operator="greaterThan">
      <formula>0</formula>
    </cfRule>
  </conditionalFormatting>
  <conditionalFormatting sqref="W437:IV437">
    <cfRule type="cellIs" dxfId="56" priority="260" stopIfTrue="1" operator="lessThan">
      <formula>0</formula>
    </cfRule>
  </conditionalFormatting>
  <conditionalFormatting sqref="W447:IV448 W452:IV460">
    <cfRule type="cellIs" dxfId="55" priority="322" stopIfTrue="1" operator="lessThan">
      <formula>0</formula>
    </cfRule>
  </conditionalFormatting>
  <conditionalFormatting sqref="W461:IV461">
    <cfRule type="cellIs" dxfId="54" priority="201" stopIfTrue="1" operator="lessThan">
      <formula>0</formula>
    </cfRule>
  </conditionalFormatting>
  <conditionalFormatting sqref="X342:Z413">
    <cfRule type="cellIs" dxfId="53" priority="410" stopIfTrue="1" operator="greaterThan">
      <formula>0</formula>
    </cfRule>
  </conditionalFormatting>
  <conditionalFormatting sqref="X426:Z426 X427:IV436">
    <cfRule type="cellIs" dxfId="52" priority="403" stopIfTrue="1" operator="lessThan">
      <formula>0</formula>
    </cfRule>
  </conditionalFormatting>
  <conditionalFormatting sqref="X426:Z426">
    <cfRule type="cellIs" dxfId="51" priority="402" stopIfTrue="1" operator="greaterThan">
      <formula>0</formula>
    </cfRule>
  </conditionalFormatting>
  <conditionalFormatting sqref="X438:Z438 X440:Z447 X446:AA448">
    <cfRule type="cellIs" dxfId="50" priority="310" stopIfTrue="1" operator="greaterThan">
      <formula>0</formula>
    </cfRule>
  </conditionalFormatting>
  <conditionalFormatting sqref="X438:Z438 X440:Z447 X446:IV448 A438:J447 X439:IV439">
    <cfRule type="cellIs" dxfId="49" priority="311" stopIfTrue="1" operator="lessThan">
      <formula>0</formula>
    </cfRule>
  </conditionalFormatting>
  <conditionalFormatting sqref="X438:Z438 X440:Z447 X446:IV448 X439:IV439 A438:J447 AB440:IV447">
    <cfRule type="cellIs" dxfId="48" priority="252" stopIfTrue="1" operator="lessThan">
      <formula>0</formula>
    </cfRule>
  </conditionalFormatting>
  <conditionalFormatting sqref="X438:Z438 X440:Z447">
    <cfRule type="cellIs" dxfId="47" priority="251" stopIfTrue="1" operator="greaterThan">
      <formula>0</formula>
    </cfRule>
  </conditionalFormatting>
  <conditionalFormatting sqref="X450:Z450 A450:J451 X451:IV451">
    <cfRule type="cellIs" dxfId="46" priority="62" stopIfTrue="1" operator="lessThan">
      <formula>0</formula>
    </cfRule>
  </conditionalFormatting>
  <conditionalFormatting sqref="X450:Z450 X451:AA451">
    <cfRule type="cellIs" dxfId="45" priority="120" stopIfTrue="1" operator="greaterThan">
      <formula>0</formula>
    </cfRule>
  </conditionalFormatting>
  <conditionalFormatting sqref="X450:Z450 X451:IV451 A450:J451">
    <cfRule type="cellIs" dxfId="44" priority="121" stopIfTrue="1" operator="lessThan">
      <formula>0</formula>
    </cfRule>
  </conditionalFormatting>
  <conditionalFormatting sqref="X450:Z450">
    <cfRule type="cellIs" dxfId="43" priority="61" stopIfTrue="1" operator="greaterThan">
      <formula>0</formula>
    </cfRule>
  </conditionalFormatting>
  <conditionalFormatting sqref="X294:AA341">
    <cfRule type="cellIs" dxfId="42" priority="595" stopIfTrue="1" operator="greaterThan">
      <formula>0</formula>
    </cfRule>
  </conditionalFormatting>
  <conditionalFormatting sqref="X343:AA353">
    <cfRule type="cellIs" dxfId="41" priority="564" stopIfTrue="1" operator="greaterThan">
      <formula>0</formula>
    </cfRule>
  </conditionalFormatting>
  <conditionalFormatting sqref="X355:AA365">
    <cfRule type="cellIs" dxfId="40" priority="533" stopIfTrue="1" operator="greaterThan">
      <formula>0</formula>
    </cfRule>
  </conditionalFormatting>
  <conditionalFormatting sqref="X367:AA377">
    <cfRule type="cellIs" dxfId="39" priority="502" stopIfTrue="1" operator="greaterThan">
      <formula>0</formula>
    </cfRule>
  </conditionalFormatting>
  <conditionalFormatting sqref="X379:AA389">
    <cfRule type="cellIs" dxfId="38" priority="471" stopIfTrue="1" operator="greaterThan">
      <formula>0</formula>
    </cfRule>
  </conditionalFormatting>
  <conditionalFormatting sqref="X391:AA401">
    <cfRule type="cellIs" dxfId="37" priority="440" stopIfTrue="1" operator="greaterThan">
      <formula>0</formula>
    </cfRule>
  </conditionalFormatting>
  <conditionalFormatting sqref="X403:AA413">
    <cfRule type="cellIs" dxfId="36" priority="409" stopIfTrue="1" operator="greaterThan">
      <formula>0</formula>
    </cfRule>
  </conditionalFormatting>
  <conditionalFormatting sqref="X427:AA437">
    <cfRule type="cellIs" dxfId="35" priority="369" stopIfTrue="1" operator="greaterThan">
      <formula>0</formula>
    </cfRule>
  </conditionalFormatting>
  <conditionalFormatting sqref="X439:AA439 AA446">
    <cfRule type="cellIs" dxfId="34" priority="286" stopIfTrue="1" operator="greaterThan">
      <formula>0</formula>
    </cfRule>
  </conditionalFormatting>
  <conditionalFormatting sqref="X446:AA448 X439:AA439">
    <cfRule type="cellIs" dxfId="33" priority="227" stopIfTrue="1" operator="greaterThan">
      <formula>0</formula>
    </cfRule>
  </conditionalFormatting>
  <conditionalFormatting sqref="X449:AA449">
    <cfRule type="cellIs" dxfId="32" priority="125" stopIfTrue="1" operator="greaterThan">
      <formula>0</formula>
    </cfRule>
  </conditionalFormatting>
  <conditionalFormatting sqref="X451:AA451">
    <cfRule type="cellIs" dxfId="31" priority="37" stopIfTrue="1" operator="greaterThan">
      <formula>0</formula>
    </cfRule>
  </conditionalFormatting>
  <conditionalFormatting sqref="X342:IV342">
    <cfRule type="cellIs" dxfId="30" priority="563" stopIfTrue="1" operator="lessThan">
      <formula>0</formula>
    </cfRule>
  </conditionalFormatting>
  <conditionalFormatting sqref="X343:IV353">
    <cfRule type="cellIs" dxfId="29" priority="589" stopIfTrue="1" operator="lessThan">
      <formula>0</formula>
    </cfRule>
  </conditionalFormatting>
  <conditionalFormatting sqref="X354:IV354">
    <cfRule type="cellIs" dxfId="28" priority="532" stopIfTrue="1" operator="lessThan">
      <formula>0</formula>
    </cfRule>
  </conditionalFormatting>
  <conditionalFormatting sqref="X355:IV365">
    <cfRule type="cellIs" dxfId="27" priority="558" stopIfTrue="1" operator="lessThan">
      <formula>0</formula>
    </cfRule>
  </conditionalFormatting>
  <conditionalFormatting sqref="X366:IV366">
    <cfRule type="cellIs" dxfId="26" priority="501" stopIfTrue="1" operator="lessThan">
      <formula>0</formula>
    </cfRule>
  </conditionalFormatting>
  <conditionalFormatting sqref="X367:IV377">
    <cfRule type="cellIs" dxfId="25" priority="527" stopIfTrue="1" operator="lessThan">
      <formula>0</formula>
    </cfRule>
  </conditionalFormatting>
  <conditionalFormatting sqref="X378:IV378">
    <cfRule type="cellIs" dxfId="24" priority="470" stopIfTrue="1" operator="lessThan">
      <formula>0</formula>
    </cfRule>
  </conditionalFormatting>
  <conditionalFormatting sqref="X379:IV389">
    <cfRule type="cellIs" dxfId="23" priority="496" stopIfTrue="1" operator="lessThan">
      <formula>0</formula>
    </cfRule>
  </conditionalFormatting>
  <conditionalFormatting sqref="X390:IV390">
    <cfRule type="cellIs" dxfId="22" priority="439" stopIfTrue="1" operator="lessThan">
      <formula>0</formula>
    </cfRule>
  </conditionalFormatting>
  <conditionalFormatting sqref="X391:IV401">
    <cfRule type="cellIs" dxfId="21" priority="465" stopIfTrue="1" operator="lessThan">
      <formula>0</formula>
    </cfRule>
  </conditionalFormatting>
  <conditionalFormatting sqref="X437:IV437">
    <cfRule type="cellIs" dxfId="20" priority="370" stopIfTrue="1" operator="lessThan">
      <formula>0</formula>
    </cfRule>
  </conditionalFormatting>
  <conditionalFormatting sqref="X449:IV449">
    <cfRule type="cellIs" dxfId="19" priority="149" stopIfTrue="1" operator="lessThan">
      <formula>0</formula>
    </cfRule>
    <cfRule type="cellIs" dxfId="18" priority="90" stopIfTrue="1" operator="lessThan">
      <formula>0</formula>
    </cfRule>
  </conditionalFormatting>
  <conditionalFormatting sqref="AA342">
    <cfRule type="cellIs" dxfId="17" priority="561" stopIfTrue="1" operator="greaterThan">
      <formula>0</formula>
    </cfRule>
  </conditionalFormatting>
  <conditionalFormatting sqref="AA354">
    <cfRule type="cellIs" dxfId="16" priority="530" stopIfTrue="1" operator="greaterThan">
      <formula>0</formula>
    </cfRule>
  </conditionalFormatting>
  <conditionalFormatting sqref="AA366">
    <cfRule type="cellIs" dxfId="15" priority="499" stopIfTrue="1" operator="greaterThan">
      <formula>0</formula>
    </cfRule>
  </conditionalFormatting>
  <conditionalFormatting sqref="AA378">
    <cfRule type="cellIs" dxfId="14" priority="468" stopIfTrue="1" operator="greaterThan">
      <formula>0</formula>
    </cfRule>
  </conditionalFormatting>
  <conditionalFormatting sqref="AA390">
    <cfRule type="cellIs" dxfId="13" priority="437" stopIfTrue="1" operator="greaterThan">
      <formula>0</formula>
    </cfRule>
  </conditionalFormatting>
  <conditionalFormatting sqref="AA402">
    <cfRule type="cellIs" dxfId="12" priority="406" stopIfTrue="1" operator="greaterThan">
      <formula>0</formula>
    </cfRule>
  </conditionalFormatting>
  <conditionalFormatting sqref="AA426:AA427">
    <cfRule type="cellIs" dxfId="11" priority="375" stopIfTrue="1" operator="greaterThan">
      <formula>0</formula>
    </cfRule>
  </conditionalFormatting>
  <conditionalFormatting sqref="AA437:AA439">
    <cfRule type="cellIs" dxfId="10" priority="255" stopIfTrue="1" operator="greaterThan">
      <formula>0</formula>
    </cfRule>
  </conditionalFormatting>
  <conditionalFormatting sqref="AA440:AA448">
    <cfRule type="cellIs" dxfId="9" priority="192" stopIfTrue="1" operator="lessThan">
      <formula>0</formula>
    </cfRule>
  </conditionalFormatting>
  <conditionalFormatting sqref="AA447:AA448">
    <cfRule type="cellIs" dxfId="8" priority="22" stopIfTrue="1" operator="greaterThan">
      <formula>0</formula>
    </cfRule>
  </conditionalFormatting>
  <conditionalFormatting sqref="AA447:AA460">
    <cfRule type="cellIs" dxfId="7" priority="93" stopIfTrue="1" operator="greaterThan">
      <formula>0</formula>
    </cfRule>
  </conditionalFormatting>
  <conditionalFormatting sqref="AA402:IV402">
    <cfRule type="cellIs" dxfId="6" priority="408" stopIfTrue="1" operator="lessThan">
      <formula>0</formula>
    </cfRule>
  </conditionalFormatting>
  <conditionalFormatting sqref="AA426:IV426">
    <cfRule type="cellIs" dxfId="5" priority="377" stopIfTrue="1" operator="lessThan">
      <formula>0</formula>
    </cfRule>
  </conditionalFormatting>
  <conditionalFormatting sqref="AA438:IV438">
    <cfRule type="cellIs" dxfId="4" priority="226" stopIfTrue="1" operator="lessThan">
      <formula>0</formula>
    </cfRule>
    <cfRule type="cellIs" dxfId="3" priority="285" stopIfTrue="1" operator="lessThan">
      <formula>0</formula>
    </cfRule>
  </conditionalFormatting>
  <conditionalFormatting sqref="AA450:IV450">
    <cfRule type="cellIs" dxfId="2" priority="95" stopIfTrue="1" operator="lessThan">
      <formula>0</formula>
    </cfRule>
    <cfRule type="cellIs" dxfId="1" priority="36"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71"/>
  <sheetViews>
    <sheetView topLeftCell="A553" workbookViewId="0">
      <selection activeCell="O402" sqref="O402"/>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733</v>
      </c>
      <c r="G1" s="1125" t="s">
        <v>813</v>
      </c>
    </row>
    <row r="2" spans="1:23" ht="30" customHeight="1">
      <c r="A2" s="118"/>
      <c r="B2" s="1764" t="s">
        <v>275</v>
      </c>
      <c r="C2" s="1765"/>
      <c r="D2" s="1757" t="s">
        <v>276</v>
      </c>
      <c r="E2" s="1758"/>
      <c r="F2" s="1759"/>
      <c r="G2" s="1760" t="s">
        <v>277</v>
      </c>
      <c r="H2" s="1758"/>
      <c r="I2" s="1759"/>
      <c r="J2" s="1761" t="s">
        <v>306</v>
      </c>
      <c r="K2" s="1762"/>
      <c r="L2" s="1763"/>
      <c r="M2" s="118"/>
      <c r="N2" s="105" t="s">
        <v>278</v>
      </c>
      <c r="O2" s="106" t="s">
        <v>279</v>
      </c>
      <c r="P2" s="106" t="s">
        <v>278</v>
      </c>
      <c r="Q2" s="107" t="s">
        <v>279</v>
      </c>
      <c r="R2" s="35"/>
      <c r="S2" s="35"/>
      <c r="T2" s="35"/>
      <c r="U2" s="35"/>
      <c r="V2" s="35"/>
      <c r="W2" s="35"/>
    </row>
    <row r="3" spans="1:23" ht="30" customHeight="1">
      <c r="A3" s="119"/>
      <c r="B3" s="1766"/>
      <c r="C3" s="1767"/>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718</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56">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v>85.714285714285708</v>
      </c>
      <c r="E113" s="67">
        <v>75</v>
      </c>
      <c r="F113" s="66">
        <v>85.714285714285708</v>
      </c>
      <c r="G113" s="47">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row>
    <row r="114" spans="1:23" ht="15" customHeight="1">
      <c r="A114" s="120"/>
      <c r="B114" s="114"/>
      <c r="C114" s="174">
        <v>2</v>
      </c>
      <c r="D114" s="51">
        <v>85.714285714285708</v>
      </c>
      <c r="E114" s="50">
        <v>75</v>
      </c>
      <c r="F114" s="51">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c r="V114" s="56"/>
      <c r="W114" s="56"/>
    </row>
    <row r="115" spans="1:23" ht="15" customHeight="1">
      <c r="A115" s="120"/>
      <c r="B115" s="114"/>
      <c r="C115" s="174">
        <v>3</v>
      </c>
      <c r="D115" s="51">
        <v>85.714285714285708</v>
      </c>
      <c r="E115" s="50">
        <v>75</v>
      </c>
      <c r="F115" s="51">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c r="V115" s="56"/>
      <c r="W115" s="56"/>
    </row>
    <row r="116" spans="1:23" ht="15" customHeight="1">
      <c r="A116" s="120"/>
      <c r="B116" s="114"/>
      <c r="C116" s="174">
        <v>4</v>
      </c>
      <c r="D116" s="51">
        <v>85.714285714285708</v>
      </c>
      <c r="E116" s="50">
        <v>75</v>
      </c>
      <c r="F116" s="51">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c r="V116" s="56"/>
      <c r="W116" s="56"/>
    </row>
    <row r="117" spans="1:23" ht="15" customHeight="1">
      <c r="A117" s="120"/>
      <c r="B117" s="114"/>
      <c r="C117" s="174">
        <v>5</v>
      </c>
      <c r="D117" s="51">
        <v>85.714285714285708</v>
      </c>
      <c r="E117" s="50">
        <v>75</v>
      </c>
      <c r="F117" s="51">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c r="V117" s="56"/>
      <c r="W117" s="56"/>
    </row>
    <row r="118" spans="1:23" ht="15" customHeight="1">
      <c r="A118" s="120"/>
      <c r="B118" s="114"/>
      <c r="C118" s="174">
        <v>6</v>
      </c>
      <c r="D118" s="51">
        <v>42.857142857142854</v>
      </c>
      <c r="E118" s="50">
        <v>75</v>
      </c>
      <c r="F118" s="51">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c r="V118" s="56"/>
      <c r="W118" s="56"/>
    </row>
    <row r="119" spans="1:23" ht="15" customHeight="1">
      <c r="A119" s="120"/>
      <c r="B119" s="114"/>
      <c r="C119" s="174">
        <v>7</v>
      </c>
      <c r="D119" s="51">
        <v>71.428571428571431</v>
      </c>
      <c r="E119" s="50">
        <v>50</v>
      </c>
      <c r="F119" s="51">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c r="V119" s="56"/>
      <c r="W119" s="56"/>
    </row>
    <row r="120" spans="1:23" ht="15" customHeight="1">
      <c r="A120" s="120"/>
      <c r="B120" s="114"/>
      <c r="C120" s="174">
        <v>8</v>
      </c>
      <c r="D120" s="51">
        <v>28.571428571428573</v>
      </c>
      <c r="E120" s="50">
        <v>50</v>
      </c>
      <c r="F120" s="51">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c r="V120" s="56"/>
      <c r="W120" s="56"/>
    </row>
    <row r="121" spans="1:23" ht="15" customHeight="1">
      <c r="A121" s="120"/>
      <c r="B121" s="114"/>
      <c r="C121" s="174">
        <v>9</v>
      </c>
      <c r="D121" s="51">
        <v>85.714285714285708</v>
      </c>
      <c r="E121" s="50">
        <v>75</v>
      </c>
      <c r="F121" s="51">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c r="V121" s="56"/>
      <c r="W121" s="56"/>
    </row>
    <row r="122" spans="1:23" ht="15" customHeight="1">
      <c r="A122" s="120"/>
      <c r="B122" s="114"/>
      <c r="C122" s="174">
        <v>10</v>
      </c>
      <c r="D122" s="51">
        <v>85.714285714285708</v>
      </c>
      <c r="E122" s="50">
        <v>50</v>
      </c>
      <c r="F122" s="51">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c r="V122" s="56"/>
      <c r="W122" s="56"/>
    </row>
    <row r="123" spans="1:23" ht="15" customHeight="1">
      <c r="A123" s="120"/>
      <c r="B123" s="114"/>
      <c r="C123" s="174">
        <v>11</v>
      </c>
      <c r="D123" s="51">
        <v>78.571428571428569</v>
      </c>
      <c r="E123" s="50">
        <v>75</v>
      </c>
      <c r="F123" s="51">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c r="V123" s="56"/>
      <c r="W123" s="56"/>
    </row>
    <row r="124" spans="1:23" ht="15" customHeight="1">
      <c r="A124" s="120"/>
      <c r="B124" s="116"/>
      <c r="C124" s="177">
        <v>12</v>
      </c>
      <c r="D124" s="139">
        <v>57.142857142857146</v>
      </c>
      <c r="E124" s="140">
        <v>87.5</v>
      </c>
      <c r="F124" s="139">
        <v>57.142857142857146</v>
      </c>
      <c r="G124" s="141">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c r="V124" s="65"/>
      <c r="W124" s="65"/>
    </row>
    <row r="125" spans="1:23" ht="15" customHeight="1">
      <c r="A125" s="125"/>
      <c r="B125" s="126" t="s">
        <v>341</v>
      </c>
      <c r="C125" s="173">
        <v>1</v>
      </c>
      <c r="D125" s="161">
        <v>57.142857142857146</v>
      </c>
      <c r="E125" s="162">
        <v>62.5</v>
      </c>
      <c r="F125" s="161">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row>
    <row r="126" spans="1:23" ht="15" customHeight="1">
      <c r="A126" s="120"/>
      <c r="B126" s="114"/>
      <c r="C126" s="174">
        <v>2</v>
      </c>
      <c r="D126" s="77">
        <v>28.571428571428573</v>
      </c>
      <c r="E126" s="78">
        <v>25</v>
      </c>
      <c r="F126" s="77">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c r="V126" s="56"/>
      <c r="W126" s="56"/>
    </row>
    <row r="127" spans="1:23" ht="15" customHeight="1">
      <c r="A127" s="120"/>
      <c r="B127" s="114"/>
      <c r="C127" s="174">
        <v>3</v>
      </c>
      <c r="D127" s="77">
        <v>92.857142857142861</v>
      </c>
      <c r="E127" s="78">
        <v>75</v>
      </c>
      <c r="F127" s="77">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c r="V127" s="56"/>
      <c r="W127" s="56"/>
    </row>
    <row r="128" spans="1:23" ht="15" customHeight="1">
      <c r="A128" s="120"/>
      <c r="B128" s="114"/>
      <c r="C128" s="174">
        <v>4</v>
      </c>
      <c r="D128" s="77">
        <v>85.714285714285708</v>
      </c>
      <c r="E128" s="78">
        <v>50</v>
      </c>
      <c r="F128" s="77">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c r="V128" s="56"/>
      <c r="W128" s="56"/>
    </row>
    <row r="129" spans="1:23" ht="15" customHeight="1">
      <c r="A129" s="120"/>
      <c r="B129" s="114"/>
      <c r="C129" s="174">
        <v>5</v>
      </c>
      <c r="D129" s="77">
        <v>78.571428571428569</v>
      </c>
      <c r="E129" s="78">
        <v>75</v>
      </c>
      <c r="F129" s="77">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c r="V129" s="56"/>
      <c r="W129" s="56"/>
    </row>
    <row r="130" spans="1:23" ht="15" customHeight="1">
      <c r="A130" s="120"/>
      <c r="B130" s="114"/>
      <c r="C130" s="174">
        <v>6</v>
      </c>
      <c r="D130" s="77">
        <v>100</v>
      </c>
      <c r="E130" s="78">
        <v>62.5</v>
      </c>
      <c r="F130" s="77">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c r="V130" s="56"/>
      <c r="W130" s="56"/>
    </row>
    <row r="131" spans="1:23" ht="15" customHeight="1">
      <c r="A131" s="120"/>
      <c r="B131" s="114"/>
      <c r="C131" s="174">
        <v>7</v>
      </c>
      <c r="D131" s="77">
        <v>71.428571428571431</v>
      </c>
      <c r="E131" s="78">
        <v>75</v>
      </c>
      <c r="F131" s="77">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c r="V131" s="56"/>
      <c r="W131" s="56"/>
    </row>
    <row r="132" spans="1:23" ht="15" customHeight="1">
      <c r="A132" s="120"/>
      <c r="B132" s="114"/>
      <c r="C132" s="174">
        <v>8</v>
      </c>
      <c r="D132" s="77">
        <v>57.142857142857146</v>
      </c>
      <c r="E132" s="78">
        <v>87.5</v>
      </c>
      <c r="F132" s="77">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c r="V132" s="56"/>
      <c r="W132" s="56"/>
    </row>
    <row r="133" spans="1:23" ht="15" customHeight="1">
      <c r="A133" s="120"/>
      <c r="B133" s="114"/>
      <c r="C133" s="174">
        <v>9</v>
      </c>
      <c r="D133" s="77">
        <v>57.142857142857146</v>
      </c>
      <c r="E133" s="78">
        <v>87.5</v>
      </c>
      <c r="F133" s="77">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c r="V133" s="56"/>
      <c r="W133" s="56"/>
    </row>
    <row r="134" spans="1:23" ht="15" customHeight="1">
      <c r="A134" s="120"/>
      <c r="B134" s="114"/>
      <c r="C134" s="174">
        <v>10</v>
      </c>
      <c r="D134" s="77">
        <v>71.428571428571431</v>
      </c>
      <c r="E134" s="78">
        <v>75</v>
      </c>
      <c r="F134" s="77">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c r="V134" s="56"/>
      <c r="W134" s="56"/>
    </row>
    <row r="135" spans="1:23" ht="15" customHeight="1">
      <c r="A135" s="120"/>
      <c r="B135" s="114"/>
      <c r="C135" s="174">
        <v>11</v>
      </c>
      <c r="D135" s="77">
        <v>57.142857142857146</v>
      </c>
      <c r="E135" s="78">
        <v>75</v>
      </c>
      <c r="F135" s="77">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c r="V135" s="56"/>
      <c r="W135" s="56"/>
    </row>
    <row r="136" spans="1:23" ht="15" customHeight="1">
      <c r="A136" s="132"/>
      <c r="B136" s="115"/>
      <c r="C136" s="175">
        <v>12</v>
      </c>
      <c r="D136" s="81">
        <v>71.428571428571431</v>
      </c>
      <c r="E136" s="82">
        <v>75</v>
      </c>
      <c r="F136" s="81">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c r="V136" s="65"/>
      <c r="W136" s="65"/>
    </row>
    <row r="137" spans="1:23" ht="15" customHeight="1">
      <c r="A137" s="120"/>
      <c r="B137" s="103">
        <v>2</v>
      </c>
      <c r="C137" s="176">
        <v>1</v>
      </c>
      <c r="D137" s="73">
        <v>50</v>
      </c>
      <c r="E137" s="74">
        <v>62.5</v>
      </c>
      <c r="F137" s="73">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row>
    <row r="138" spans="1:23" ht="15" customHeight="1">
      <c r="A138" s="120"/>
      <c r="B138" s="114"/>
      <c r="C138" s="174">
        <v>2</v>
      </c>
      <c r="D138" s="77">
        <v>57.142857142857146</v>
      </c>
      <c r="E138" s="78">
        <v>75</v>
      </c>
      <c r="F138" s="77">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c r="V138" s="56"/>
      <c r="W138" s="56"/>
    </row>
    <row r="139" spans="1:23" ht="15" customHeight="1">
      <c r="A139" s="120"/>
      <c r="B139" s="114"/>
      <c r="C139" s="174">
        <v>3</v>
      </c>
      <c r="D139" s="77">
        <v>42.857142857142854</v>
      </c>
      <c r="E139" s="78">
        <v>87.5</v>
      </c>
      <c r="F139" s="77">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c r="V139" s="56"/>
      <c r="W139" s="56"/>
    </row>
    <row r="140" spans="1:23" ht="15" customHeight="1">
      <c r="A140" s="120"/>
      <c r="B140" s="114"/>
      <c r="C140" s="174">
        <v>4</v>
      </c>
      <c r="D140" s="77">
        <v>64.285714285714292</v>
      </c>
      <c r="E140" s="78">
        <v>50</v>
      </c>
      <c r="F140" s="77">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c r="V140" s="56"/>
      <c r="W140" s="56"/>
    </row>
    <row r="141" spans="1:23" ht="15" customHeight="1">
      <c r="A141" s="120"/>
      <c r="B141" s="114"/>
      <c r="C141" s="174">
        <v>5</v>
      </c>
      <c r="D141" s="77">
        <v>71.428571428571431</v>
      </c>
      <c r="E141" s="78">
        <v>43.75</v>
      </c>
      <c r="F141" s="77">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c r="V141" s="56"/>
      <c r="W141" s="56"/>
    </row>
    <row r="142" spans="1:23" ht="15" customHeight="1">
      <c r="A142" s="120"/>
      <c r="B142" s="114"/>
      <c r="C142" s="174">
        <v>6</v>
      </c>
      <c r="D142" s="77">
        <v>71.428571428571431</v>
      </c>
      <c r="E142" s="78">
        <v>62.5</v>
      </c>
      <c r="F142" s="77">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c r="V142" s="56"/>
      <c r="W142" s="56"/>
    </row>
    <row r="143" spans="1:23" ht="15" customHeight="1">
      <c r="A143" s="120"/>
      <c r="B143" s="114"/>
      <c r="C143" s="174">
        <v>7</v>
      </c>
      <c r="D143" s="77">
        <v>85.714285714285708</v>
      </c>
      <c r="E143" s="78">
        <v>75</v>
      </c>
      <c r="F143" s="77">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c r="V143" s="56"/>
      <c r="W143" s="56"/>
    </row>
    <row r="144" spans="1:23" ht="15" customHeight="1">
      <c r="A144" s="120"/>
      <c r="B144" s="114"/>
      <c r="C144" s="174">
        <v>8</v>
      </c>
      <c r="D144" s="77">
        <v>85.714285714285708</v>
      </c>
      <c r="E144" s="78">
        <v>87.5</v>
      </c>
      <c r="F144" s="77">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c r="V144" s="56"/>
      <c r="W144" s="56"/>
    </row>
    <row r="145" spans="1:23" ht="15" customHeight="1">
      <c r="A145" s="120"/>
      <c r="B145" s="114"/>
      <c r="C145" s="174">
        <v>9</v>
      </c>
      <c r="D145" s="77">
        <v>85.714285714285708</v>
      </c>
      <c r="E145" s="78">
        <v>37.5</v>
      </c>
      <c r="F145" s="77">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c r="V145" s="56"/>
      <c r="W145" s="56"/>
    </row>
    <row r="146" spans="1:23" ht="15" customHeight="1">
      <c r="A146" s="120"/>
      <c r="B146" s="114"/>
      <c r="C146" s="174">
        <v>10</v>
      </c>
      <c r="D146" s="77">
        <v>35.714285714285715</v>
      </c>
      <c r="E146" s="78">
        <v>75</v>
      </c>
      <c r="F146" s="77">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c r="V146" s="56"/>
      <c r="W146" s="56"/>
    </row>
    <row r="147" spans="1:23" ht="15" customHeight="1">
      <c r="A147" s="120"/>
      <c r="B147" s="114"/>
      <c r="C147" s="174">
        <v>11</v>
      </c>
      <c r="D147" s="77">
        <v>28.571428571428573</v>
      </c>
      <c r="E147" s="78">
        <v>56.25</v>
      </c>
      <c r="F147" s="77">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c r="V147" s="56"/>
      <c r="W147" s="56"/>
    </row>
    <row r="148" spans="1:23" ht="15" customHeight="1">
      <c r="A148" s="120"/>
      <c r="B148" s="116"/>
      <c r="C148" s="177">
        <v>12</v>
      </c>
      <c r="D148" s="150">
        <v>14.285714285714286</v>
      </c>
      <c r="E148" s="151">
        <v>25</v>
      </c>
      <c r="F148" s="150">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c r="V148" s="65"/>
      <c r="W148" s="65"/>
    </row>
    <row r="149" spans="1:23" ht="15" customHeight="1">
      <c r="A149" s="125"/>
      <c r="B149" s="126">
        <v>3</v>
      </c>
      <c r="C149" s="173">
        <v>1</v>
      </c>
      <c r="D149" s="161">
        <v>28.571428571428573</v>
      </c>
      <c r="E149" s="162">
        <v>50</v>
      </c>
      <c r="F149" s="161">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row>
    <row r="150" spans="1:23" ht="15" customHeight="1">
      <c r="A150" s="120"/>
      <c r="B150" s="114"/>
      <c r="C150" s="174">
        <v>2</v>
      </c>
      <c r="D150" s="77">
        <v>42.857142857142854</v>
      </c>
      <c r="E150" s="78">
        <v>62.5</v>
      </c>
      <c r="F150" s="77">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c r="V150" s="56"/>
      <c r="W150" s="56"/>
    </row>
    <row r="151" spans="1:23" ht="15" customHeight="1">
      <c r="A151" s="120"/>
      <c r="B151" s="114"/>
      <c r="C151" s="174">
        <v>3</v>
      </c>
      <c r="D151" s="77">
        <v>42.857142857142854</v>
      </c>
      <c r="E151" s="78">
        <v>37.5</v>
      </c>
      <c r="F151" s="77">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c r="V151" s="56"/>
      <c r="W151" s="56"/>
    </row>
    <row r="152" spans="1:23" ht="15" customHeight="1">
      <c r="A152" s="120"/>
      <c r="B152" s="114"/>
      <c r="C152" s="174">
        <v>4</v>
      </c>
      <c r="D152" s="77">
        <v>71.428571428571431</v>
      </c>
      <c r="E152" s="78">
        <v>75</v>
      </c>
      <c r="F152" s="77">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c r="V152" s="56"/>
      <c r="W152" s="56"/>
    </row>
    <row r="153" spans="1:23" ht="15" customHeight="1">
      <c r="A153" s="120"/>
      <c r="B153" s="114"/>
      <c r="C153" s="174">
        <v>5</v>
      </c>
      <c r="D153" s="77">
        <v>42.857142857142854</v>
      </c>
      <c r="E153" s="78">
        <v>75</v>
      </c>
      <c r="F153" s="77">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c r="V153" s="56"/>
      <c r="W153" s="56"/>
    </row>
    <row r="154" spans="1:23" ht="15" customHeight="1">
      <c r="A154" s="120"/>
      <c r="B154" s="114"/>
      <c r="C154" s="174">
        <v>6</v>
      </c>
      <c r="D154" s="77">
        <v>14.285714285714286</v>
      </c>
      <c r="E154" s="78">
        <v>62.5</v>
      </c>
      <c r="F154" s="77">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c r="V154" s="56"/>
      <c r="W154" s="56"/>
    </row>
    <row r="155" spans="1:23" ht="15" customHeight="1">
      <c r="A155" s="120"/>
      <c r="B155" s="114"/>
      <c r="C155" s="174">
        <v>7</v>
      </c>
      <c r="D155" s="77">
        <v>50</v>
      </c>
      <c r="E155" s="78">
        <v>50</v>
      </c>
      <c r="F155" s="77">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c r="V155" s="56"/>
      <c r="W155" s="56"/>
    </row>
    <row r="156" spans="1:23" ht="15" customHeight="1">
      <c r="A156" s="120"/>
      <c r="B156" s="114"/>
      <c r="C156" s="174">
        <v>8</v>
      </c>
      <c r="D156" s="77">
        <v>57.142857142857146</v>
      </c>
      <c r="E156" s="78">
        <v>37.5</v>
      </c>
      <c r="F156" s="77">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c r="V156" s="56"/>
      <c r="W156" s="56"/>
    </row>
    <row r="157" spans="1:23" ht="15" customHeight="1">
      <c r="A157" s="120"/>
      <c r="B157" s="114"/>
      <c r="C157" s="174">
        <v>9</v>
      </c>
      <c r="D157" s="77">
        <v>28.571428571428573</v>
      </c>
      <c r="E157" s="78">
        <v>0</v>
      </c>
      <c r="F157" s="77">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c r="V157" s="56"/>
      <c r="W157" s="56"/>
    </row>
    <row r="158" spans="1:23" ht="15" customHeight="1">
      <c r="A158" s="120"/>
      <c r="B158" s="114"/>
      <c r="C158" s="174">
        <v>10</v>
      </c>
      <c r="D158" s="77">
        <v>57.142857142857146</v>
      </c>
      <c r="E158" s="78">
        <v>12.5</v>
      </c>
      <c r="F158" s="77">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c r="V158" s="56"/>
      <c r="W158" s="56"/>
    </row>
    <row r="159" spans="1:23" ht="15" customHeight="1">
      <c r="A159" s="120"/>
      <c r="B159" s="114"/>
      <c r="C159" s="174">
        <v>11</v>
      </c>
      <c r="D159" s="77">
        <v>57.142857142857146</v>
      </c>
      <c r="E159" s="78">
        <v>50</v>
      </c>
      <c r="F159" s="77">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c r="V159" s="56"/>
      <c r="W159" s="56"/>
    </row>
    <row r="160" spans="1:23" ht="15" customHeight="1">
      <c r="A160" s="132"/>
      <c r="B160" s="115"/>
      <c r="C160" s="175">
        <v>12</v>
      </c>
      <c r="D160" s="81">
        <v>28.571428571428573</v>
      </c>
      <c r="E160" s="82">
        <v>25</v>
      </c>
      <c r="F160" s="81">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c r="V160" s="65"/>
      <c r="W160" s="65"/>
    </row>
    <row r="161" spans="1:23" ht="15" customHeight="1">
      <c r="A161" s="120"/>
      <c r="B161" s="103">
        <v>4</v>
      </c>
      <c r="C161" s="176">
        <v>1</v>
      </c>
      <c r="D161" s="73">
        <v>42.857142857142854</v>
      </c>
      <c r="E161" s="74">
        <v>37.5</v>
      </c>
      <c r="F161" s="73">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row>
    <row r="162" spans="1:23" ht="15" customHeight="1">
      <c r="A162" s="120"/>
      <c r="B162" s="114"/>
      <c r="C162" s="174">
        <v>2</v>
      </c>
      <c r="D162" s="77">
        <v>14.285714285714286</v>
      </c>
      <c r="E162" s="78">
        <v>37.5</v>
      </c>
      <c r="F162" s="77">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c r="V162" s="56"/>
      <c r="W162" s="56"/>
    </row>
    <row r="163" spans="1:23" ht="15" customHeight="1">
      <c r="A163" s="120"/>
      <c r="B163" s="114"/>
      <c r="C163" s="174">
        <v>3</v>
      </c>
      <c r="D163" s="77">
        <v>14.285714285714286</v>
      </c>
      <c r="E163" s="78">
        <v>0</v>
      </c>
      <c r="F163" s="77">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c r="V163" s="56"/>
      <c r="W163" s="56"/>
    </row>
    <row r="164" spans="1:23" ht="15" customHeight="1">
      <c r="A164" s="120"/>
      <c r="B164" s="114"/>
      <c r="C164" s="174">
        <v>4</v>
      </c>
      <c r="D164" s="77">
        <v>71.428571428571431</v>
      </c>
      <c r="E164" s="78">
        <v>12.5</v>
      </c>
      <c r="F164" s="77">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c r="V164" s="56"/>
      <c r="W164" s="56"/>
    </row>
    <row r="165" spans="1:23" ht="15" customHeight="1">
      <c r="A165" s="120"/>
      <c r="B165" s="114"/>
      <c r="C165" s="174">
        <v>5</v>
      </c>
      <c r="D165" s="77">
        <v>28.571428571428573</v>
      </c>
      <c r="E165" s="78">
        <v>25</v>
      </c>
      <c r="F165" s="77">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c r="V165" s="56"/>
      <c r="W165" s="56"/>
    </row>
    <row r="166" spans="1:23" ht="15" customHeight="1">
      <c r="A166" s="120"/>
      <c r="B166" s="114"/>
      <c r="C166" s="174">
        <v>6</v>
      </c>
      <c r="D166" s="77">
        <v>57.142857142857146</v>
      </c>
      <c r="E166" s="78">
        <v>0</v>
      </c>
      <c r="F166" s="77">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c r="V166" s="56"/>
      <c r="W166" s="56"/>
    </row>
    <row r="167" spans="1:23" ht="15" customHeight="1">
      <c r="A167" s="120"/>
      <c r="B167" s="114"/>
      <c r="C167" s="174">
        <v>7</v>
      </c>
      <c r="D167" s="77">
        <v>57.142857142857146</v>
      </c>
      <c r="E167" s="78">
        <v>0</v>
      </c>
      <c r="F167" s="77">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c r="V167" s="56"/>
      <c r="W167" s="56"/>
    </row>
    <row r="168" spans="1:23" ht="15" customHeight="1">
      <c r="A168" s="120"/>
      <c r="B168" s="114"/>
      <c r="C168" s="174">
        <v>8</v>
      </c>
      <c r="D168" s="77">
        <v>57.142857142857146</v>
      </c>
      <c r="E168" s="78">
        <v>12.5</v>
      </c>
      <c r="F168" s="77">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c r="V168" s="56"/>
      <c r="W168" s="56"/>
    </row>
    <row r="169" spans="1:23" ht="15" customHeight="1">
      <c r="A169" s="120"/>
      <c r="B169" s="114"/>
      <c r="C169" s="174">
        <v>9</v>
      </c>
      <c r="D169" s="77">
        <v>14.285714285714286</v>
      </c>
      <c r="E169" s="78">
        <v>37.5</v>
      </c>
      <c r="F169" s="77">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c r="V169" s="56"/>
      <c r="W169" s="56"/>
    </row>
    <row r="170" spans="1:23" ht="15" customHeight="1">
      <c r="A170" s="120"/>
      <c r="B170" s="114"/>
      <c r="C170" s="174">
        <v>10</v>
      </c>
      <c r="D170" s="77">
        <v>57.142857142857146</v>
      </c>
      <c r="E170" s="78">
        <v>12.5</v>
      </c>
      <c r="F170" s="77">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c r="V170" s="56"/>
      <c r="W170" s="56"/>
    </row>
    <row r="171" spans="1:23" ht="15" customHeight="1">
      <c r="A171" s="120"/>
      <c r="B171" s="114"/>
      <c r="C171" s="174">
        <v>11</v>
      </c>
      <c r="D171" s="77">
        <v>14.285714285714286</v>
      </c>
      <c r="E171" s="78">
        <v>12.5</v>
      </c>
      <c r="F171" s="77">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c r="V171" s="56"/>
      <c r="W171" s="56"/>
    </row>
    <row r="172" spans="1:23" ht="15" customHeight="1">
      <c r="A172" s="120"/>
      <c r="B172" s="116"/>
      <c r="C172" s="177">
        <v>12</v>
      </c>
      <c r="D172" s="150">
        <v>28.571428571428573</v>
      </c>
      <c r="E172" s="151">
        <v>18.75</v>
      </c>
      <c r="F172" s="150">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c r="V172" s="65"/>
      <c r="W172" s="65"/>
    </row>
    <row r="173" spans="1:23" ht="15" customHeight="1">
      <c r="A173" s="125"/>
      <c r="B173" s="126">
        <v>5</v>
      </c>
      <c r="C173" s="173">
        <v>1</v>
      </c>
      <c r="D173" s="161">
        <v>28.571428571428573</v>
      </c>
      <c r="E173" s="162">
        <v>62.5</v>
      </c>
      <c r="F173" s="161">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row>
    <row r="174" spans="1:23" ht="15" customHeight="1">
      <c r="A174" s="120"/>
      <c r="B174" s="114"/>
      <c r="C174" s="174">
        <v>2</v>
      </c>
      <c r="D174" s="77">
        <v>0</v>
      </c>
      <c r="E174" s="78">
        <v>12.5</v>
      </c>
      <c r="F174" s="77">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c r="V174" s="56"/>
      <c r="W174" s="56"/>
    </row>
    <row r="175" spans="1:23" ht="15" customHeight="1">
      <c r="A175" s="120"/>
      <c r="B175" s="114"/>
      <c r="C175" s="174">
        <v>3</v>
      </c>
      <c r="D175" s="77">
        <v>28.571428571428573</v>
      </c>
      <c r="E175" s="78">
        <v>62.5</v>
      </c>
      <c r="F175" s="77">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c r="V175" s="56"/>
      <c r="W175" s="56"/>
    </row>
    <row r="176" spans="1:23" ht="15" customHeight="1">
      <c r="A176" s="120"/>
      <c r="B176" s="114"/>
      <c r="C176" s="174">
        <v>4</v>
      </c>
      <c r="D176" s="77">
        <v>57.142857142857146</v>
      </c>
      <c r="E176" s="78">
        <v>62.5</v>
      </c>
      <c r="F176" s="77">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c r="V176" s="56"/>
      <c r="W176" s="56"/>
    </row>
    <row r="177" spans="1:23" ht="15" customHeight="1">
      <c r="A177" s="120"/>
      <c r="B177" s="114"/>
      <c r="C177" s="174">
        <v>5</v>
      </c>
      <c r="D177" s="77">
        <v>14.285714285714286</v>
      </c>
      <c r="E177" s="78">
        <v>25</v>
      </c>
      <c r="F177" s="77">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c r="V177" s="56"/>
      <c r="W177" s="56"/>
    </row>
    <row r="178" spans="1:23" ht="15" customHeight="1">
      <c r="A178" s="120"/>
      <c r="B178" s="114"/>
      <c r="C178" s="174">
        <v>6</v>
      </c>
      <c r="D178" s="77">
        <v>28.571428571428573</v>
      </c>
      <c r="E178" s="78">
        <v>37.5</v>
      </c>
      <c r="F178" s="77">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c r="V178" s="56"/>
      <c r="W178" s="56"/>
    </row>
    <row r="179" spans="1:23" ht="15" customHeight="1">
      <c r="A179" s="120"/>
      <c r="B179" s="114"/>
      <c r="C179" s="174">
        <v>7</v>
      </c>
      <c r="D179" s="77">
        <v>57.142857142857146</v>
      </c>
      <c r="E179" s="78">
        <v>62.5</v>
      </c>
      <c r="F179" s="77">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c r="V179" s="56"/>
      <c r="W179" s="56"/>
    </row>
    <row r="180" spans="1:23" ht="15" customHeight="1">
      <c r="A180" s="120"/>
      <c r="B180" s="114"/>
      <c r="C180" s="174">
        <v>8</v>
      </c>
      <c r="D180" s="77">
        <v>42.857142857142854</v>
      </c>
      <c r="E180" s="78">
        <v>25</v>
      </c>
      <c r="F180" s="77">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c r="V180" s="56"/>
      <c r="W180" s="56"/>
    </row>
    <row r="181" spans="1:23" ht="15" customHeight="1">
      <c r="A181" s="120"/>
      <c r="B181" s="114"/>
      <c r="C181" s="174">
        <v>9</v>
      </c>
      <c r="D181" s="77">
        <v>14.285714285714286</v>
      </c>
      <c r="E181" s="78">
        <v>37.5</v>
      </c>
      <c r="F181" s="77">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c r="V181" s="56"/>
      <c r="W181" s="56"/>
    </row>
    <row r="182" spans="1:23" ht="15" customHeight="1">
      <c r="A182" s="120"/>
      <c r="B182" s="114"/>
      <c r="C182" s="174">
        <v>10</v>
      </c>
      <c r="D182" s="77">
        <v>42.857142857142854</v>
      </c>
      <c r="E182" s="78">
        <v>25</v>
      </c>
      <c r="F182" s="77">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c r="V182" s="56"/>
      <c r="W182" s="56"/>
    </row>
    <row r="183" spans="1:23" ht="15" customHeight="1">
      <c r="A183" s="120"/>
      <c r="B183" s="114"/>
      <c r="C183" s="174">
        <v>11</v>
      </c>
      <c r="D183" s="77">
        <v>57.142857142857146</v>
      </c>
      <c r="E183" s="78">
        <v>25</v>
      </c>
      <c r="F183" s="77">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c r="V183" s="56"/>
      <c r="W183" s="56"/>
    </row>
    <row r="184" spans="1:23" ht="15" customHeight="1">
      <c r="A184" s="132"/>
      <c r="B184" s="115"/>
      <c r="C184" s="175">
        <v>12</v>
      </c>
      <c r="D184" s="81">
        <v>42.857142857142854</v>
      </c>
      <c r="E184" s="82">
        <v>12.5</v>
      </c>
      <c r="F184" s="81">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c r="V184" s="65"/>
      <c r="W184" s="65"/>
    </row>
    <row r="185" spans="1:23" ht="15" customHeight="1">
      <c r="A185" s="120"/>
      <c r="B185" s="103">
        <v>6</v>
      </c>
      <c r="C185" s="176">
        <v>1</v>
      </c>
      <c r="D185" s="73">
        <v>85.714285714285708</v>
      </c>
      <c r="E185" s="74">
        <v>56.25</v>
      </c>
      <c r="F185" s="73">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row>
    <row r="186" spans="1:23" ht="15" customHeight="1">
      <c r="A186" s="120"/>
      <c r="B186" s="114"/>
      <c r="C186" s="174">
        <v>2</v>
      </c>
      <c r="D186" s="77">
        <v>71.428571428571431</v>
      </c>
      <c r="E186" s="78">
        <v>25</v>
      </c>
      <c r="F186" s="77">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c r="V186" s="56"/>
      <c r="W186" s="56"/>
    </row>
    <row r="187" spans="1:23" ht="15" customHeight="1">
      <c r="A187" s="120"/>
      <c r="B187" s="114"/>
      <c r="C187" s="174">
        <v>3</v>
      </c>
      <c r="D187" s="77">
        <v>57.142857142857146</v>
      </c>
      <c r="E187" s="78">
        <v>87.5</v>
      </c>
      <c r="F187" s="77">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c r="V187" s="56"/>
      <c r="W187" s="56"/>
    </row>
    <row r="188" spans="1:23" ht="15" customHeight="1">
      <c r="A188" s="120"/>
      <c r="B188" s="114"/>
      <c r="C188" s="174">
        <v>4</v>
      </c>
      <c r="D188" s="77">
        <v>85.714285714285708</v>
      </c>
      <c r="E188" s="78">
        <v>68.75</v>
      </c>
      <c r="F188" s="77">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c r="V188" s="56"/>
      <c r="W188" s="56"/>
    </row>
    <row r="189" spans="1:23" ht="15" customHeight="1">
      <c r="A189" s="120"/>
      <c r="B189" s="114"/>
      <c r="C189" s="174">
        <v>5</v>
      </c>
      <c r="D189" s="77">
        <v>85.714285714285708</v>
      </c>
      <c r="E189" s="78">
        <v>62.5</v>
      </c>
      <c r="F189" s="77">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c r="V189" s="56"/>
      <c r="W189" s="56"/>
    </row>
    <row r="190" spans="1:23" ht="15" customHeight="1">
      <c r="A190" s="120"/>
      <c r="B190" s="114"/>
      <c r="C190" s="174">
        <v>6</v>
      </c>
      <c r="D190" s="77">
        <v>85.714285714285708</v>
      </c>
      <c r="E190" s="78">
        <v>50</v>
      </c>
      <c r="F190" s="77">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c r="V190" s="56"/>
      <c r="W190" s="56"/>
    </row>
    <row r="191" spans="1:23" ht="15" customHeight="1">
      <c r="A191" s="120"/>
      <c r="B191" s="114"/>
      <c r="C191" s="174">
        <v>7</v>
      </c>
      <c r="D191" s="77">
        <v>71.428571428571431</v>
      </c>
      <c r="E191" s="78">
        <v>62.5</v>
      </c>
      <c r="F191" s="77">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c r="V191" s="56"/>
      <c r="W191" s="56"/>
    </row>
    <row r="192" spans="1:23" ht="15" customHeight="1">
      <c r="A192" s="120"/>
      <c r="B192" s="114"/>
      <c r="C192" s="174">
        <v>8</v>
      </c>
      <c r="D192" s="77">
        <v>100</v>
      </c>
      <c r="E192" s="78">
        <v>31.25</v>
      </c>
      <c r="F192" s="77">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c r="V192" s="56"/>
      <c r="W192" s="56"/>
    </row>
    <row r="193" spans="1:23" ht="15" customHeight="1">
      <c r="A193" s="120"/>
      <c r="B193" s="114"/>
      <c r="C193" s="174">
        <v>9</v>
      </c>
      <c r="D193" s="77">
        <v>57.142857142857146</v>
      </c>
      <c r="E193" s="78">
        <v>25</v>
      </c>
      <c r="F193" s="77">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c r="V193" s="56"/>
      <c r="W193" s="56"/>
    </row>
    <row r="194" spans="1:23" ht="15" customHeight="1">
      <c r="A194" s="120"/>
      <c r="B194" s="114"/>
      <c r="C194" s="174">
        <v>10</v>
      </c>
      <c r="D194" s="77">
        <v>64.285714285714292</v>
      </c>
      <c r="E194" s="78">
        <v>50</v>
      </c>
      <c r="F194" s="77">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c r="V194" s="56"/>
      <c r="W194" s="56"/>
    </row>
    <row r="195" spans="1:23" ht="15" customHeight="1">
      <c r="A195" s="120"/>
      <c r="B195" s="114"/>
      <c r="C195" s="174">
        <v>11</v>
      </c>
      <c r="D195" s="77">
        <v>42.857142857142854</v>
      </c>
      <c r="E195" s="78">
        <v>87.5</v>
      </c>
      <c r="F195" s="77">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c r="V195" s="56"/>
      <c r="W195" s="56"/>
    </row>
    <row r="196" spans="1:23" ht="15" customHeight="1">
      <c r="A196" s="120"/>
      <c r="B196" s="116"/>
      <c r="C196" s="177">
        <v>12</v>
      </c>
      <c r="D196" s="150">
        <v>42.857142857142854</v>
      </c>
      <c r="E196" s="151">
        <v>62.5</v>
      </c>
      <c r="F196" s="150">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c r="V196" s="65"/>
      <c r="W196" s="65"/>
    </row>
    <row r="197" spans="1:23" ht="15" customHeight="1">
      <c r="A197" s="125"/>
      <c r="B197" s="126">
        <v>7</v>
      </c>
      <c r="C197" s="173">
        <v>1</v>
      </c>
      <c r="D197" s="640">
        <v>57.142857142857146</v>
      </c>
      <c r="E197" s="165">
        <v>62.5</v>
      </c>
      <c r="F197" s="641">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row>
    <row r="198" spans="1:23" ht="15" customHeight="1">
      <c r="A198" s="120"/>
      <c r="B198" s="114"/>
      <c r="C198" s="174">
        <v>2</v>
      </c>
      <c r="D198" s="642">
        <v>57.142857142857146</v>
      </c>
      <c r="E198" s="88">
        <v>81.25</v>
      </c>
      <c r="F198" s="643">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c r="V198" s="56"/>
      <c r="W198" s="56"/>
    </row>
    <row r="199" spans="1:23" ht="15" customHeight="1">
      <c r="A199" s="120"/>
      <c r="B199" s="114"/>
      <c r="C199" s="174">
        <v>3</v>
      </c>
      <c r="D199" s="642">
        <v>28.571428571428573</v>
      </c>
      <c r="E199" s="88">
        <v>25</v>
      </c>
      <c r="F199" s="643">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c r="V199" s="56"/>
      <c r="W199" s="56"/>
    </row>
    <row r="200" spans="1:23" ht="15" customHeight="1">
      <c r="A200" s="120"/>
      <c r="B200" s="114"/>
      <c r="C200" s="174">
        <v>4</v>
      </c>
      <c r="D200" s="642">
        <v>28.571428571428573</v>
      </c>
      <c r="E200" s="88">
        <v>37.5</v>
      </c>
      <c r="F200" s="643">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c r="V200" s="56"/>
      <c r="W200" s="56"/>
    </row>
    <row r="201" spans="1:23" ht="15" customHeight="1">
      <c r="A201" s="120"/>
      <c r="B201" s="114"/>
      <c r="C201" s="174">
        <v>5</v>
      </c>
      <c r="D201" s="642">
        <v>28.571428571428573</v>
      </c>
      <c r="E201" s="88">
        <v>50</v>
      </c>
      <c r="F201" s="643">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c r="V201" s="56"/>
      <c r="W201" s="56"/>
    </row>
    <row r="202" spans="1:23" ht="15" customHeight="1">
      <c r="A202" s="120"/>
      <c r="B202" s="114"/>
      <c r="C202" s="174">
        <v>6</v>
      </c>
      <c r="D202" s="642">
        <v>28.571428571428573</v>
      </c>
      <c r="E202" s="88">
        <v>37.5</v>
      </c>
      <c r="F202" s="643">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c r="V202" s="56"/>
      <c r="W202" s="56"/>
    </row>
    <row r="203" spans="1:23" ht="15" customHeight="1">
      <c r="A203" s="120"/>
      <c r="B203" s="114"/>
      <c r="C203" s="174">
        <v>7</v>
      </c>
      <c r="D203" s="642">
        <v>28.571428571428573</v>
      </c>
      <c r="E203" s="88">
        <v>25</v>
      </c>
      <c r="F203" s="643">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c r="V203" s="56"/>
      <c r="W203" s="56"/>
    </row>
    <row r="204" spans="1:23" ht="15" customHeight="1">
      <c r="A204" s="120"/>
      <c r="B204" s="114"/>
      <c r="C204" s="174">
        <v>8</v>
      </c>
      <c r="D204" s="642">
        <v>57.142857142857146</v>
      </c>
      <c r="E204" s="88">
        <v>62.5</v>
      </c>
      <c r="F204" s="643">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c r="V204" s="56"/>
      <c r="W204" s="56"/>
    </row>
    <row r="205" spans="1:23" ht="15" customHeight="1">
      <c r="A205" s="120"/>
      <c r="B205" s="114"/>
      <c r="C205" s="174">
        <v>9</v>
      </c>
      <c r="D205" s="642">
        <v>57.142857142857146</v>
      </c>
      <c r="E205" s="88">
        <v>62.5</v>
      </c>
      <c r="F205" s="643">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c r="V205" s="56"/>
      <c r="W205" s="56"/>
    </row>
    <row r="206" spans="1:23" ht="15" customHeight="1">
      <c r="A206" s="120"/>
      <c r="B206" s="114"/>
      <c r="C206" s="174">
        <v>10</v>
      </c>
      <c r="D206" s="642">
        <v>71.428571428571431</v>
      </c>
      <c r="E206" s="88">
        <v>62.5</v>
      </c>
      <c r="F206" s="643">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c r="V206" s="56"/>
      <c r="W206" s="56"/>
    </row>
    <row r="207" spans="1:23" ht="15" customHeight="1">
      <c r="A207" s="120"/>
      <c r="B207" s="114"/>
      <c r="C207" s="174">
        <v>11</v>
      </c>
      <c r="D207" s="642">
        <v>42.857142857142854</v>
      </c>
      <c r="E207" s="88">
        <v>62.5</v>
      </c>
      <c r="F207" s="643">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c r="V207" s="56"/>
      <c r="W207" s="56"/>
    </row>
    <row r="208" spans="1:23" ht="15" customHeight="1">
      <c r="A208" s="132"/>
      <c r="B208" s="115"/>
      <c r="C208" s="175">
        <v>12</v>
      </c>
      <c r="D208" s="644">
        <v>71.428571428571431</v>
      </c>
      <c r="E208" s="92">
        <v>75</v>
      </c>
      <c r="F208" s="93">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c r="V208" s="65"/>
      <c r="W208" s="65"/>
    </row>
    <row r="209" spans="1:23" ht="15" customHeight="1">
      <c r="A209" s="120"/>
      <c r="B209" s="103">
        <v>8</v>
      </c>
      <c r="C209" s="176">
        <v>1</v>
      </c>
      <c r="D209" s="640">
        <v>57.142857142857146</v>
      </c>
      <c r="E209" s="165">
        <v>75</v>
      </c>
      <c r="F209" s="641">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row>
    <row r="210" spans="1:23" ht="15" customHeight="1">
      <c r="A210" s="120"/>
      <c r="B210" s="114"/>
      <c r="C210" s="174">
        <v>2</v>
      </c>
      <c r="D210" s="642">
        <v>50</v>
      </c>
      <c r="E210" s="88">
        <v>62.5</v>
      </c>
      <c r="F210" s="643">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c r="V210" s="56"/>
      <c r="W210" s="56"/>
    </row>
    <row r="211" spans="1:23" ht="15" customHeight="1">
      <c r="A211" s="120"/>
      <c r="B211" s="114"/>
      <c r="C211" s="174">
        <v>3</v>
      </c>
      <c r="D211" s="642">
        <v>85.714285714285708</v>
      </c>
      <c r="E211" s="88">
        <v>56.25</v>
      </c>
      <c r="F211" s="643">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c r="V211" s="56"/>
      <c r="W211" s="56"/>
    </row>
    <row r="212" spans="1:23" ht="15" customHeight="1">
      <c r="A212" s="120"/>
      <c r="B212" s="114"/>
      <c r="C212" s="174">
        <v>4</v>
      </c>
      <c r="D212" s="642">
        <v>71.428571428571431</v>
      </c>
      <c r="E212" s="88">
        <v>37.5</v>
      </c>
      <c r="F212" s="643">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c r="V212" s="56"/>
      <c r="W212" s="56"/>
    </row>
    <row r="213" spans="1:23" ht="15" customHeight="1">
      <c r="A213" s="120"/>
      <c r="B213" s="114"/>
      <c r="C213" s="174">
        <v>5</v>
      </c>
      <c r="D213" s="642">
        <v>71.428571428571431</v>
      </c>
      <c r="E213" s="88">
        <v>50</v>
      </c>
      <c r="F213" s="643">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c r="V213" s="56"/>
      <c r="W213" s="56"/>
    </row>
    <row r="214" spans="1:23" ht="15" customHeight="1">
      <c r="A214" s="120"/>
      <c r="B214" s="114"/>
      <c r="C214" s="174">
        <v>6</v>
      </c>
      <c r="D214" s="642">
        <v>42.857142857142854</v>
      </c>
      <c r="E214" s="88">
        <v>37.5</v>
      </c>
      <c r="F214" s="643">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c r="V214" s="56"/>
      <c r="W214" s="56"/>
    </row>
    <row r="215" spans="1:23" ht="15" customHeight="1">
      <c r="A215" s="120"/>
      <c r="B215" s="114"/>
      <c r="C215" s="174">
        <v>7</v>
      </c>
      <c r="D215" s="642">
        <v>71.428571428571431</v>
      </c>
      <c r="E215" s="88">
        <v>25</v>
      </c>
      <c r="F215" s="643">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c r="V215" s="56"/>
      <c r="W215" s="56"/>
    </row>
    <row r="216" spans="1:23" ht="15" customHeight="1">
      <c r="A216" s="120"/>
      <c r="B216" s="114"/>
      <c r="C216" s="174">
        <v>8</v>
      </c>
      <c r="D216" s="642">
        <v>85.714285714285708</v>
      </c>
      <c r="E216" s="88">
        <v>75</v>
      </c>
      <c r="F216" s="643">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c r="V216" s="56"/>
      <c r="W216" s="56"/>
    </row>
    <row r="217" spans="1:23" ht="15" customHeight="1">
      <c r="A217" s="120"/>
      <c r="B217" s="114"/>
      <c r="C217" s="174">
        <v>9</v>
      </c>
      <c r="D217" s="642">
        <v>85.714285714285708</v>
      </c>
      <c r="E217" s="88">
        <v>75</v>
      </c>
      <c r="F217" s="643">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c r="V217" s="56"/>
      <c r="W217" s="56"/>
    </row>
    <row r="218" spans="1:23" ht="15" customHeight="1">
      <c r="A218" s="120"/>
      <c r="B218" s="114"/>
      <c r="C218" s="174">
        <v>10</v>
      </c>
      <c r="D218" s="642">
        <v>57.142857142857146</v>
      </c>
      <c r="E218" s="88">
        <v>75</v>
      </c>
      <c r="F218" s="643">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c r="V218" s="56"/>
      <c r="W218" s="56"/>
    </row>
    <row r="219" spans="1:23" ht="15" customHeight="1">
      <c r="A219" s="120"/>
      <c r="B219" s="114"/>
      <c r="C219" s="174">
        <v>11</v>
      </c>
      <c r="D219" s="642">
        <v>71.428571428571431</v>
      </c>
      <c r="E219" s="88">
        <v>87.5</v>
      </c>
      <c r="F219" s="643">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c r="V219" s="56"/>
      <c r="W219" s="56"/>
    </row>
    <row r="220" spans="1:23" ht="15" customHeight="1">
      <c r="A220" s="120"/>
      <c r="B220" s="116"/>
      <c r="C220" s="177">
        <v>12</v>
      </c>
      <c r="D220" s="644">
        <v>42.857142857142854</v>
      </c>
      <c r="E220" s="92">
        <v>50</v>
      </c>
      <c r="F220" s="93">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c r="V220" s="65"/>
      <c r="W220" s="65"/>
    </row>
    <row r="221" spans="1:23" ht="15" customHeight="1">
      <c r="A221" s="125"/>
      <c r="B221" s="126">
        <v>9</v>
      </c>
      <c r="C221" s="173">
        <v>1</v>
      </c>
      <c r="D221" s="640">
        <v>57.142857142857146</v>
      </c>
      <c r="E221" s="165">
        <v>62.5</v>
      </c>
      <c r="F221" s="641">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row>
    <row r="222" spans="1:23" ht="15" customHeight="1">
      <c r="A222" s="120"/>
      <c r="B222" s="114"/>
      <c r="C222" s="174">
        <v>2</v>
      </c>
      <c r="D222" s="642">
        <v>57.142857142857146</v>
      </c>
      <c r="E222" s="88">
        <v>75</v>
      </c>
      <c r="F222" s="643">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c r="V222" s="56"/>
      <c r="W222" s="56"/>
    </row>
    <row r="223" spans="1:23" ht="15" customHeight="1">
      <c r="A223" s="120"/>
      <c r="B223" s="114"/>
      <c r="C223" s="174">
        <v>3</v>
      </c>
      <c r="D223" s="642">
        <v>71.428571428571431</v>
      </c>
      <c r="E223" s="88">
        <v>50</v>
      </c>
      <c r="F223" s="643">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c r="V223" s="56"/>
      <c r="W223" s="56"/>
    </row>
    <row r="224" spans="1:23" ht="15" customHeight="1">
      <c r="A224" s="120"/>
      <c r="B224" s="114"/>
      <c r="C224" s="174">
        <v>4</v>
      </c>
      <c r="D224" s="642">
        <v>42.857142857142854</v>
      </c>
      <c r="E224" s="88">
        <v>50</v>
      </c>
      <c r="F224" s="643">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c r="V224" s="56"/>
      <c r="W224" s="56"/>
    </row>
    <row r="225" spans="1:23" ht="15" customHeight="1">
      <c r="A225" s="120"/>
      <c r="B225" s="114"/>
      <c r="C225" s="174">
        <v>5</v>
      </c>
      <c r="D225" s="642">
        <v>42.857142857142854</v>
      </c>
      <c r="E225" s="88">
        <v>87.5</v>
      </c>
      <c r="F225" s="643">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c r="V225" s="56"/>
      <c r="W225" s="56"/>
    </row>
    <row r="226" spans="1:23" ht="15" customHeight="1">
      <c r="A226" s="120"/>
      <c r="B226" s="114"/>
      <c r="C226" s="174">
        <v>6</v>
      </c>
      <c r="D226" s="642">
        <v>14.285714285714286</v>
      </c>
      <c r="E226" s="88">
        <v>68.75</v>
      </c>
      <c r="F226" s="643">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c r="V226" s="56"/>
      <c r="W226" s="56"/>
    </row>
    <row r="227" spans="1:23" ht="15" customHeight="1">
      <c r="A227" s="120"/>
      <c r="B227" s="114"/>
      <c r="C227" s="174">
        <v>7</v>
      </c>
      <c r="D227" s="642">
        <v>7.1428571428571432</v>
      </c>
      <c r="E227" s="88">
        <v>75</v>
      </c>
      <c r="F227" s="643">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c r="V227" s="56"/>
      <c r="W227" s="56"/>
    </row>
    <row r="228" spans="1:23" ht="15" customHeight="1">
      <c r="A228" s="120"/>
      <c r="B228" s="114"/>
      <c r="C228" s="174">
        <v>8</v>
      </c>
      <c r="D228" s="642">
        <v>14.285714285714286</v>
      </c>
      <c r="E228" s="88">
        <v>31.25</v>
      </c>
      <c r="F228" s="643">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c r="V228" s="56"/>
      <c r="W228" s="56"/>
    </row>
    <row r="229" spans="1:23" ht="15" customHeight="1">
      <c r="A229" s="120"/>
      <c r="B229" s="114"/>
      <c r="C229" s="174">
        <v>9</v>
      </c>
      <c r="D229" s="642">
        <v>42.857142857142854</v>
      </c>
      <c r="E229" s="88">
        <v>25</v>
      </c>
      <c r="F229" s="643">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c r="V229" s="56"/>
      <c r="W229" s="56"/>
    </row>
    <row r="230" spans="1:23" ht="15" customHeight="1">
      <c r="A230" s="120"/>
      <c r="B230" s="114"/>
      <c r="C230" s="174">
        <v>10</v>
      </c>
      <c r="D230" s="642">
        <v>14.285714285714286</v>
      </c>
      <c r="E230" s="88">
        <v>12.5</v>
      </c>
      <c r="F230" s="643">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c r="V230" s="56"/>
      <c r="W230" s="56"/>
    </row>
    <row r="231" spans="1:23" ht="15" customHeight="1">
      <c r="A231" s="120"/>
      <c r="B231" s="114"/>
      <c r="C231" s="174">
        <v>11</v>
      </c>
      <c r="D231" s="642">
        <v>14.285714285714286</v>
      </c>
      <c r="E231" s="88">
        <v>0</v>
      </c>
      <c r="F231" s="643">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c r="V231" s="56"/>
      <c r="W231" s="56"/>
    </row>
    <row r="232" spans="1:23" ht="15" customHeight="1">
      <c r="A232" s="132"/>
      <c r="B232" s="115"/>
      <c r="C232" s="175">
        <v>12</v>
      </c>
      <c r="D232" s="644">
        <v>28.571428571428573</v>
      </c>
      <c r="E232" s="92">
        <v>0</v>
      </c>
      <c r="F232" s="93">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c r="V232" s="65"/>
      <c r="W232" s="65"/>
    </row>
    <row r="233" spans="1:23" ht="15" customHeight="1">
      <c r="A233" s="120"/>
      <c r="B233" s="103">
        <v>10</v>
      </c>
      <c r="C233" s="176">
        <v>1</v>
      </c>
      <c r="D233" s="640">
        <v>14.285714285714286</v>
      </c>
      <c r="E233" s="165">
        <v>0</v>
      </c>
      <c r="F233" s="641">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row>
    <row r="234" spans="1:23" ht="15" customHeight="1">
      <c r="A234" s="120"/>
      <c r="B234" s="114"/>
      <c r="C234" s="174">
        <v>2</v>
      </c>
      <c r="D234" s="642">
        <v>0</v>
      </c>
      <c r="E234" s="88">
        <v>0</v>
      </c>
      <c r="F234" s="643">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c r="V234" s="56"/>
      <c r="W234" s="56"/>
    </row>
    <row r="235" spans="1:23" ht="15" customHeight="1">
      <c r="A235" s="120"/>
      <c r="B235" s="114"/>
      <c r="C235" s="174">
        <v>3</v>
      </c>
      <c r="D235" s="642">
        <v>28.571428571428573</v>
      </c>
      <c r="E235" s="88">
        <v>37.5</v>
      </c>
      <c r="F235" s="643">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c r="V235" s="56"/>
      <c r="W235" s="56"/>
    </row>
    <row r="236" spans="1:23" ht="15" customHeight="1">
      <c r="A236" s="120"/>
      <c r="B236" s="114"/>
      <c r="C236" s="174">
        <v>4</v>
      </c>
      <c r="D236" s="642">
        <v>14.285714285714286</v>
      </c>
      <c r="E236" s="88">
        <v>0</v>
      </c>
      <c r="F236" s="643">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c r="V236" s="56"/>
      <c r="W236" s="56"/>
    </row>
    <row r="237" spans="1:23" ht="15" customHeight="1">
      <c r="A237" s="120"/>
      <c r="B237" s="114"/>
      <c r="C237" s="174">
        <v>5</v>
      </c>
      <c r="D237" s="642">
        <v>0</v>
      </c>
      <c r="E237" s="88">
        <v>12.5</v>
      </c>
      <c r="F237" s="643">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c r="V237" s="56"/>
      <c r="W237" s="56"/>
    </row>
    <row r="238" spans="1:23" ht="15" customHeight="1">
      <c r="A238" s="120"/>
      <c r="B238" s="114"/>
      <c r="C238" s="174">
        <v>6</v>
      </c>
      <c r="D238" s="642">
        <v>28.571428571428573</v>
      </c>
      <c r="E238" s="88">
        <v>37.5</v>
      </c>
      <c r="F238" s="643">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c r="V238" s="56"/>
      <c r="W238" s="56"/>
    </row>
    <row r="239" spans="1:23" ht="15" customHeight="1">
      <c r="A239" s="120"/>
      <c r="B239" s="114"/>
      <c r="C239" s="174">
        <v>7</v>
      </c>
      <c r="D239" s="642">
        <v>28.571428571428573</v>
      </c>
      <c r="E239" s="88">
        <v>25</v>
      </c>
      <c r="F239" s="643">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c r="V239" s="56"/>
      <c r="W239" s="56"/>
    </row>
    <row r="240" spans="1:23" ht="15" customHeight="1">
      <c r="A240" s="120"/>
      <c r="B240" s="114"/>
      <c r="C240" s="174">
        <v>8</v>
      </c>
      <c r="D240" s="642">
        <v>14.285714285714286</v>
      </c>
      <c r="E240" s="88">
        <v>12.5</v>
      </c>
      <c r="F240" s="643">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c r="V240" s="56"/>
      <c r="W240" s="56"/>
    </row>
    <row r="241" spans="1:23" ht="15" customHeight="1">
      <c r="A241" s="120"/>
      <c r="B241" s="114"/>
      <c r="C241" s="174">
        <v>9</v>
      </c>
      <c r="D241" s="642">
        <v>21.428571428571427</v>
      </c>
      <c r="E241" s="88">
        <v>25</v>
      </c>
      <c r="F241" s="643">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c r="V241" s="56"/>
      <c r="W241" s="56"/>
    </row>
    <row r="242" spans="1:23" ht="15" customHeight="1">
      <c r="A242" s="120"/>
      <c r="B242" s="114"/>
      <c r="C242" s="174">
        <v>10</v>
      </c>
      <c r="D242" s="642">
        <v>42.857142857142854</v>
      </c>
      <c r="E242" s="88">
        <v>50</v>
      </c>
      <c r="F242" s="643">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c r="V242" s="56"/>
      <c r="W242" s="56"/>
    </row>
    <row r="243" spans="1:23" ht="15" customHeight="1">
      <c r="A243" s="120"/>
      <c r="B243" s="114"/>
      <c r="C243" s="174">
        <v>11</v>
      </c>
      <c r="D243" s="642">
        <v>28.571428571428573</v>
      </c>
      <c r="E243" s="88">
        <v>37.5</v>
      </c>
      <c r="F243" s="643">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c r="V243" s="56"/>
      <c r="W243" s="56"/>
    </row>
    <row r="244" spans="1:23" ht="15" customHeight="1">
      <c r="A244" s="120"/>
      <c r="B244" s="116"/>
      <c r="C244" s="177">
        <v>12</v>
      </c>
      <c r="D244" s="644">
        <v>28.571428571428573</v>
      </c>
      <c r="E244" s="92">
        <v>25</v>
      </c>
      <c r="F244" s="93">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c r="V244" s="65"/>
      <c r="W244" s="65"/>
    </row>
    <row r="245" spans="1:23" ht="15" customHeight="1">
      <c r="A245" s="125"/>
      <c r="B245" s="126">
        <v>11</v>
      </c>
      <c r="C245" s="173">
        <v>1</v>
      </c>
      <c r="D245" s="640">
        <v>57.142857142857146</v>
      </c>
      <c r="E245" s="165">
        <v>37.5</v>
      </c>
      <c r="F245" s="641">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row>
    <row r="246" spans="1:23" ht="15" customHeight="1">
      <c r="A246" s="120"/>
      <c r="B246" s="114"/>
      <c r="C246" s="174">
        <v>2</v>
      </c>
      <c r="D246" s="642">
        <v>57.142857142857146</v>
      </c>
      <c r="E246" s="88">
        <v>12.5</v>
      </c>
      <c r="F246" s="643">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c r="V246" s="56"/>
      <c r="W246" s="56"/>
    </row>
    <row r="247" spans="1:23" ht="15" customHeight="1">
      <c r="A247" s="120"/>
      <c r="B247" s="114"/>
      <c r="C247" s="174">
        <v>3</v>
      </c>
      <c r="D247" s="642">
        <v>35.714285714285715</v>
      </c>
      <c r="E247" s="88">
        <v>62.5</v>
      </c>
      <c r="F247" s="643">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c r="V247" s="56"/>
      <c r="W247" s="56"/>
    </row>
    <row r="248" spans="1:23" ht="15" customHeight="1">
      <c r="A248" s="120"/>
      <c r="B248" s="114"/>
      <c r="C248" s="174">
        <v>4</v>
      </c>
      <c r="D248" s="642">
        <v>57.142857142857146</v>
      </c>
      <c r="E248" s="88">
        <v>43.75</v>
      </c>
      <c r="F248" s="643">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c r="V248" s="56"/>
      <c r="W248" s="56"/>
    </row>
    <row r="249" spans="1:23" ht="15" customHeight="1">
      <c r="A249" s="120"/>
      <c r="B249" s="114"/>
      <c r="C249" s="174">
        <v>5</v>
      </c>
      <c r="D249" s="642">
        <v>71.428571428571431</v>
      </c>
      <c r="E249" s="88">
        <v>31.25</v>
      </c>
      <c r="F249" s="643">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c r="V249" s="56"/>
      <c r="W249" s="56"/>
    </row>
    <row r="250" spans="1:23" ht="15" customHeight="1">
      <c r="A250" s="120"/>
      <c r="B250" s="114"/>
      <c r="C250" s="174">
        <v>6</v>
      </c>
      <c r="D250" s="642">
        <v>57.142857142857146</v>
      </c>
      <c r="E250" s="88">
        <v>75</v>
      </c>
      <c r="F250" s="643">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c r="V250" s="56"/>
      <c r="W250" s="56"/>
    </row>
    <row r="251" spans="1:23" ht="15" customHeight="1">
      <c r="A251" s="120"/>
      <c r="B251" s="114"/>
      <c r="C251" s="174">
        <v>7</v>
      </c>
      <c r="D251" s="642">
        <v>57.142857142857146</v>
      </c>
      <c r="E251" s="88">
        <v>81.25</v>
      </c>
      <c r="F251" s="643">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c r="V251" s="56"/>
      <c r="W251" s="56"/>
    </row>
    <row r="252" spans="1:23" ht="15" customHeight="1">
      <c r="A252" s="120"/>
      <c r="B252" s="114"/>
      <c r="C252" s="174">
        <v>8</v>
      </c>
      <c r="D252" s="642">
        <v>57.142857142857146</v>
      </c>
      <c r="E252" s="88">
        <v>37.5</v>
      </c>
      <c r="F252" s="643">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c r="V252" s="56"/>
      <c r="W252" s="56"/>
    </row>
    <row r="253" spans="1:23" ht="15" customHeight="1">
      <c r="A253" s="120"/>
      <c r="B253" s="114"/>
      <c r="C253" s="174">
        <v>9</v>
      </c>
      <c r="D253" s="642">
        <v>57.142857142857146</v>
      </c>
      <c r="E253" s="88">
        <v>75</v>
      </c>
      <c r="F253" s="643">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c r="V253" s="56"/>
      <c r="W253" s="56"/>
    </row>
    <row r="254" spans="1:23" ht="15" customHeight="1">
      <c r="A254" s="120"/>
      <c r="B254" s="114"/>
      <c r="C254" s="174">
        <v>10</v>
      </c>
      <c r="D254" s="642">
        <v>71.428571428571431</v>
      </c>
      <c r="E254" s="88">
        <v>62.5</v>
      </c>
      <c r="F254" s="643">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c r="V254" s="56"/>
      <c r="W254" s="56"/>
    </row>
    <row r="255" spans="1:23" ht="15" customHeight="1">
      <c r="A255" s="120"/>
      <c r="B255" s="114"/>
      <c r="C255" s="174">
        <v>11</v>
      </c>
      <c r="D255" s="642">
        <v>71.428571428571431</v>
      </c>
      <c r="E255" s="88">
        <v>50</v>
      </c>
      <c r="F255" s="643">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c r="V255" s="56"/>
      <c r="W255" s="56"/>
    </row>
    <row r="256" spans="1:23" ht="15" customHeight="1">
      <c r="A256" s="132"/>
      <c r="B256" s="115"/>
      <c r="C256" s="175">
        <v>12</v>
      </c>
      <c r="D256" s="644">
        <v>57.142857142857146</v>
      </c>
      <c r="E256" s="92">
        <v>62.5</v>
      </c>
      <c r="F256" s="93">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c r="V256" s="65"/>
      <c r="W256" s="65"/>
    </row>
    <row r="257" spans="1:23" ht="15" customHeight="1">
      <c r="A257" s="120"/>
      <c r="B257" s="994" t="s">
        <v>672</v>
      </c>
      <c r="C257" s="176">
        <v>1</v>
      </c>
      <c r="D257" s="640">
        <v>57.142857142857146</v>
      </c>
      <c r="E257" s="165">
        <v>50</v>
      </c>
      <c r="F257" s="641">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row>
    <row r="258" spans="1:23" ht="15" customHeight="1">
      <c r="A258" s="120"/>
      <c r="B258" s="114"/>
      <c r="C258" s="174">
        <v>2</v>
      </c>
      <c r="D258" s="642">
        <v>85.714285714285708</v>
      </c>
      <c r="E258" s="88">
        <v>56.25</v>
      </c>
      <c r="F258" s="643">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c r="V258" s="56"/>
      <c r="W258" s="56"/>
    </row>
    <row r="259" spans="1:23" ht="15" customHeight="1">
      <c r="A259" s="120"/>
      <c r="B259" s="114"/>
      <c r="C259" s="174">
        <v>3</v>
      </c>
      <c r="D259" s="642">
        <v>78.571428571428569</v>
      </c>
      <c r="E259" s="88">
        <v>100</v>
      </c>
      <c r="F259" s="643">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c r="V259" s="56"/>
      <c r="W259" s="56"/>
    </row>
    <row r="260" spans="1:23" ht="15" customHeight="1">
      <c r="A260" s="120"/>
      <c r="B260" s="114"/>
      <c r="C260" s="174">
        <v>4</v>
      </c>
      <c r="D260" s="642">
        <v>42.857142857142854</v>
      </c>
      <c r="E260" s="88">
        <v>37.5</v>
      </c>
      <c r="F260" s="643">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c r="V260" s="56"/>
      <c r="W260" s="56"/>
    </row>
    <row r="261" spans="1:23" ht="15" customHeight="1">
      <c r="A261" s="120"/>
      <c r="B261" s="114"/>
      <c r="C261" s="174">
        <v>5</v>
      </c>
      <c r="D261" s="642">
        <v>57.142857142857146</v>
      </c>
      <c r="E261" s="88">
        <v>87.5</v>
      </c>
      <c r="F261" s="643">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c r="V261" s="56"/>
      <c r="W261" s="56"/>
    </row>
    <row r="262" spans="1:23" ht="15" customHeight="1">
      <c r="A262" s="120"/>
      <c r="B262" s="114"/>
      <c r="C262" s="174">
        <v>6</v>
      </c>
      <c r="D262" s="642">
        <v>57.142857142857146</v>
      </c>
      <c r="E262" s="88">
        <v>87.5</v>
      </c>
      <c r="F262" s="643">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c r="V262" s="56"/>
      <c r="W262" s="56"/>
    </row>
    <row r="263" spans="1:23" ht="15" customHeight="1">
      <c r="A263" s="120"/>
      <c r="B263" s="114"/>
      <c r="C263" s="174">
        <v>7</v>
      </c>
      <c r="D263" s="642">
        <v>42.857142857142854</v>
      </c>
      <c r="E263" s="88">
        <v>100</v>
      </c>
      <c r="F263" s="643">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c r="V263" s="56"/>
      <c r="W263" s="56"/>
    </row>
    <row r="264" spans="1:23" ht="15" customHeight="1">
      <c r="A264" s="120"/>
      <c r="B264" s="114"/>
      <c r="C264" s="174">
        <v>8</v>
      </c>
      <c r="D264" s="642">
        <v>42.857142857142854</v>
      </c>
      <c r="E264" s="88">
        <v>25</v>
      </c>
      <c r="F264" s="643">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c r="V264" s="56"/>
      <c r="W264" s="56"/>
    </row>
    <row r="265" spans="1:23" ht="15" customHeight="1">
      <c r="A265" s="120"/>
      <c r="B265" s="114"/>
      <c r="C265" s="174">
        <v>9</v>
      </c>
      <c r="D265" s="642">
        <v>57.142857142857146</v>
      </c>
      <c r="E265" s="88">
        <v>100</v>
      </c>
      <c r="F265" s="643">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c r="V265" s="56"/>
      <c r="W265" s="56"/>
    </row>
    <row r="266" spans="1:23" ht="15" customHeight="1">
      <c r="A266" s="120"/>
      <c r="B266" s="114"/>
      <c r="C266" s="174">
        <v>10</v>
      </c>
      <c r="D266" s="642">
        <v>28.571428571428573</v>
      </c>
      <c r="E266" s="88">
        <v>87.5</v>
      </c>
      <c r="F266" s="643">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c r="V266" s="56"/>
      <c r="W266" s="56"/>
    </row>
    <row r="267" spans="1:23" ht="15" customHeight="1">
      <c r="A267" s="120"/>
      <c r="B267" s="114"/>
      <c r="C267" s="174">
        <v>11</v>
      </c>
      <c r="D267" s="642">
        <v>71.428571428571431</v>
      </c>
      <c r="E267" s="88">
        <v>81.25</v>
      </c>
      <c r="F267" s="643">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c r="V267" s="56"/>
      <c r="W267" s="56"/>
    </row>
    <row r="268" spans="1:23" ht="15" customHeight="1">
      <c r="A268" s="120"/>
      <c r="B268" s="116"/>
      <c r="C268" s="177">
        <v>12</v>
      </c>
      <c r="D268" s="644">
        <v>85.714285714285708</v>
      </c>
      <c r="E268" s="92">
        <v>68.75</v>
      </c>
      <c r="F268" s="93">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c r="V268" s="65"/>
      <c r="W268" s="65"/>
    </row>
    <row r="269" spans="1:23" ht="15" customHeight="1">
      <c r="A269" s="125"/>
      <c r="B269" s="995" t="s">
        <v>719</v>
      </c>
      <c r="C269" s="173">
        <v>1</v>
      </c>
      <c r="D269" s="640">
        <v>14.285714285714286</v>
      </c>
      <c r="E269" s="165">
        <v>50</v>
      </c>
      <c r="F269" s="641">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row>
    <row r="270" spans="1:23" ht="15" customHeight="1">
      <c r="A270" s="120"/>
      <c r="B270" s="114"/>
      <c r="C270" s="174">
        <v>2</v>
      </c>
      <c r="D270" s="642">
        <v>28.571428571428573</v>
      </c>
      <c r="E270" s="88">
        <v>37.5</v>
      </c>
      <c r="F270" s="643">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c r="V270" s="56"/>
      <c r="W270" s="56"/>
    </row>
    <row r="271" spans="1:23" ht="15" customHeight="1">
      <c r="A271" s="120"/>
      <c r="B271" s="114"/>
      <c r="C271" s="174">
        <v>3</v>
      </c>
      <c r="D271" s="642">
        <v>28.571428571428573</v>
      </c>
      <c r="E271" s="88">
        <v>37.5</v>
      </c>
      <c r="F271" s="643">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c r="V271" s="56"/>
      <c r="W271" s="56"/>
    </row>
    <row r="272" spans="1:23" ht="15" customHeight="1">
      <c r="A272" s="120"/>
      <c r="B272" s="114"/>
      <c r="C272" s="174">
        <v>4</v>
      </c>
      <c r="D272" s="642">
        <v>14.285714285714286</v>
      </c>
      <c r="E272" s="88">
        <v>12.5</v>
      </c>
      <c r="F272" s="643">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c r="V272" s="56"/>
      <c r="W272" s="56"/>
    </row>
    <row r="273" spans="1:23" ht="15" customHeight="1">
      <c r="A273" s="120"/>
      <c r="B273" s="114"/>
      <c r="C273" s="174">
        <v>5</v>
      </c>
      <c r="D273" s="642">
        <v>14.285714285714286</v>
      </c>
      <c r="E273" s="88">
        <v>25</v>
      </c>
      <c r="F273" s="643">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c r="V273" s="56"/>
      <c r="W273" s="56"/>
    </row>
    <row r="274" spans="1:23" ht="15" customHeight="1">
      <c r="A274" s="120"/>
      <c r="B274" s="114"/>
      <c r="C274" s="174">
        <v>6</v>
      </c>
      <c r="D274" s="642">
        <v>57.142857142857146</v>
      </c>
      <c r="E274" s="88">
        <v>12.5</v>
      </c>
      <c r="F274" s="643">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c r="V274" s="56"/>
      <c r="W274" s="56"/>
    </row>
    <row r="275" spans="1:23" ht="15" customHeight="1">
      <c r="A275" s="120"/>
      <c r="B275" s="114"/>
      <c r="C275" s="174">
        <v>7</v>
      </c>
      <c r="D275" s="642">
        <v>57.142857142857146</v>
      </c>
      <c r="E275" s="88">
        <v>12.5</v>
      </c>
      <c r="F275" s="643">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c r="V275" s="56"/>
      <c r="W275" s="56"/>
    </row>
    <row r="276" spans="1:23" ht="15" customHeight="1">
      <c r="A276" s="120"/>
      <c r="B276" s="114"/>
      <c r="C276" s="174">
        <v>8</v>
      </c>
      <c r="D276" s="642">
        <v>42.857142857142854</v>
      </c>
      <c r="E276" s="88">
        <v>12.5</v>
      </c>
      <c r="F276" s="643">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c r="V276" s="56"/>
      <c r="W276" s="56"/>
    </row>
    <row r="277" spans="1:23" ht="15" customHeight="1">
      <c r="A277" s="120"/>
      <c r="B277" s="114"/>
      <c r="C277" s="174">
        <v>9</v>
      </c>
      <c r="D277" s="642">
        <v>42.857142857142854</v>
      </c>
      <c r="E277" s="88">
        <v>12.5</v>
      </c>
      <c r="F277" s="643">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c r="V277" s="56"/>
      <c r="W277" s="56"/>
    </row>
    <row r="278" spans="1:23" ht="15" customHeight="1">
      <c r="A278" s="120"/>
      <c r="B278" s="114"/>
      <c r="C278" s="174">
        <v>10</v>
      </c>
      <c r="D278" s="642">
        <v>42.857142857142854</v>
      </c>
      <c r="E278" s="88">
        <v>0</v>
      </c>
      <c r="F278" s="643">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c r="V278" s="56"/>
      <c r="W278" s="56"/>
    </row>
    <row r="279" spans="1:23" ht="15" customHeight="1">
      <c r="A279" s="120"/>
      <c r="B279" s="114"/>
      <c r="C279" s="174">
        <v>11</v>
      </c>
      <c r="D279" s="642">
        <v>28.571428571428573</v>
      </c>
      <c r="E279" s="88">
        <v>0</v>
      </c>
      <c r="F279" s="643">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c r="V279" s="56"/>
      <c r="W279" s="56"/>
    </row>
    <row r="280" spans="1:23" ht="15" customHeight="1">
      <c r="A280" s="132"/>
      <c r="B280" s="115"/>
      <c r="C280" s="175">
        <v>12</v>
      </c>
      <c r="D280" s="644">
        <v>21.428571428571427</v>
      </c>
      <c r="E280" s="92">
        <v>12.5</v>
      </c>
      <c r="F280" s="93">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c r="V280" s="65"/>
      <c r="W280" s="65"/>
    </row>
    <row r="281" spans="1:23" ht="15" customHeight="1">
      <c r="A281" s="120"/>
      <c r="B281" s="994" t="s">
        <v>720</v>
      </c>
      <c r="C281" s="176">
        <v>1</v>
      </c>
      <c r="D281" s="640">
        <v>14.285714285714286</v>
      </c>
      <c r="E281" s="165">
        <v>25</v>
      </c>
      <c r="F281" s="641">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row>
    <row r="282" spans="1:23" ht="15" customHeight="1">
      <c r="A282" s="120"/>
      <c r="B282" s="114"/>
      <c r="C282" s="174">
        <v>2</v>
      </c>
      <c r="D282" s="642">
        <v>28.571428571428573</v>
      </c>
      <c r="E282" s="88">
        <v>12.5</v>
      </c>
      <c r="F282" s="643">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c r="V282" s="56"/>
      <c r="W282" s="56"/>
    </row>
    <row r="283" spans="1:23" ht="15" customHeight="1">
      <c r="A283" s="120"/>
      <c r="B283" s="114"/>
      <c r="C283" s="174">
        <v>3</v>
      </c>
      <c r="D283" s="642">
        <v>42.857142857142854</v>
      </c>
      <c r="E283" s="88">
        <v>68.75</v>
      </c>
      <c r="F283" s="643">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c r="V283" s="56"/>
      <c r="W283" s="56"/>
    </row>
    <row r="284" spans="1:23" ht="15" customHeight="1">
      <c r="A284" s="120"/>
      <c r="B284" s="114"/>
      <c r="C284" s="174">
        <v>4</v>
      </c>
      <c r="D284" s="642">
        <v>50</v>
      </c>
      <c r="E284" s="88">
        <v>62.5</v>
      </c>
      <c r="F284" s="643">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c r="V284" s="56"/>
      <c r="W284" s="56"/>
    </row>
    <row r="285" spans="1:23" ht="15" customHeight="1">
      <c r="A285" s="120"/>
      <c r="B285" s="114"/>
      <c r="C285" s="174">
        <v>5</v>
      </c>
      <c r="D285" s="642">
        <v>57.142857142857146</v>
      </c>
      <c r="E285" s="88">
        <v>87.5</v>
      </c>
      <c r="F285" s="643">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c r="V285" s="56"/>
      <c r="W285" s="56"/>
    </row>
    <row r="286" spans="1:23" ht="15" customHeight="1">
      <c r="A286" s="120"/>
      <c r="B286" s="114"/>
      <c r="C286" s="174">
        <v>6</v>
      </c>
      <c r="D286" s="642">
        <v>71.428571428571431</v>
      </c>
      <c r="E286" s="88">
        <v>87.5</v>
      </c>
      <c r="F286" s="643">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c r="V286" s="56"/>
      <c r="W286" s="56"/>
    </row>
    <row r="287" spans="1:23" ht="15" customHeight="1">
      <c r="A287" s="120"/>
      <c r="B287" s="114"/>
      <c r="C287" s="174">
        <v>7</v>
      </c>
      <c r="D287" s="642">
        <v>71.428571428571431</v>
      </c>
      <c r="E287" s="88">
        <v>75</v>
      </c>
      <c r="F287" s="643">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c r="V287" s="56"/>
      <c r="W287" s="56"/>
    </row>
    <row r="288" spans="1:23" ht="15" customHeight="1">
      <c r="A288" s="120"/>
      <c r="B288" s="114"/>
      <c r="C288" s="174">
        <v>8</v>
      </c>
      <c r="D288" s="642">
        <v>42.857142857142854</v>
      </c>
      <c r="E288" s="88">
        <v>50</v>
      </c>
      <c r="F288" s="643">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c r="V288" s="56"/>
      <c r="W288" s="56"/>
    </row>
    <row r="289" spans="1:23" ht="15" customHeight="1">
      <c r="A289" s="120"/>
      <c r="B289" s="114"/>
      <c r="C289" s="174">
        <v>9</v>
      </c>
      <c r="D289" s="642">
        <v>85.714285714285708</v>
      </c>
      <c r="E289" s="88">
        <v>100</v>
      </c>
      <c r="F289" s="643">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c r="V289" s="56"/>
      <c r="W289" s="56"/>
    </row>
    <row r="290" spans="1:23" ht="15" customHeight="1">
      <c r="A290" s="120"/>
      <c r="B290" s="114"/>
      <c r="C290" s="174">
        <v>10</v>
      </c>
      <c r="D290" s="642">
        <v>71.428571428571431</v>
      </c>
      <c r="E290" s="88">
        <v>87.5</v>
      </c>
      <c r="F290" s="643">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c r="V290" s="56"/>
      <c r="W290" s="56"/>
    </row>
    <row r="291" spans="1:23" ht="15" customHeight="1">
      <c r="A291" s="120"/>
      <c r="B291" s="114"/>
      <c r="C291" s="174">
        <v>11</v>
      </c>
      <c r="D291" s="642">
        <v>100</v>
      </c>
      <c r="E291" s="88">
        <v>87.5</v>
      </c>
      <c r="F291" s="643">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c r="V291" s="56"/>
      <c r="W291" s="56"/>
    </row>
    <row r="292" spans="1:23" ht="15" customHeight="1">
      <c r="A292" s="120"/>
      <c r="B292" s="116"/>
      <c r="C292" s="177">
        <v>12</v>
      </c>
      <c r="D292" s="644">
        <v>71.428571428571431</v>
      </c>
      <c r="E292" s="92">
        <v>87.5</v>
      </c>
      <c r="F292" s="93">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c r="V292" s="65"/>
      <c r="W292" s="65"/>
    </row>
    <row r="293" spans="1:23" ht="15" customHeight="1">
      <c r="A293" s="125"/>
      <c r="B293" s="995" t="s">
        <v>721</v>
      </c>
      <c r="C293" s="173">
        <v>1</v>
      </c>
      <c r="D293" s="640">
        <v>71.428571428571431</v>
      </c>
      <c r="E293" s="165">
        <v>75</v>
      </c>
      <c r="F293" s="641">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row>
    <row r="294" spans="1:23" ht="15" customHeight="1">
      <c r="A294" s="120"/>
      <c r="B294" s="114"/>
      <c r="C294" s="174">
        <v>2</v>
      </c>
      <c r="D294" s="642">
        <v>14.285714285714286</v>
      </c>
      <c r="E294" s="88">
        <v>37.5</v>
      </c>
      <c r="F294" s="643">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c r="V294" s="56"/>
      <c r="W294" s="56"/>
    </row>
    <row r="295" spans="1:23" ht="15" customHeight="1">
      <c r="A295" s="120"/>
      <c r="B295" s="114"/>
      <c r="C295" s="174">
        <v>3</v>
      </c>
      <c r="D295" s="642">
        <v>14.285714285714286</v>
      </c>
      <c r="E295" s="88">
        <v>75</v>
      </c>
      <c r="F295" s="643">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c r="V295" s="56"/>
      <c r="W295" s="56"/>
    </row>
    <row r="296" spans="1:23" ht="15" customHeight="1">
      <c r="A296" s="120"/>
      <c r="B296" s="114"/>
      <c r="C296" s="174">
        <v>4</v>
      </c>
      <c r="D296" s="642">
        <v>0</v>
      </c>
      <c r="E296" s="88">
        <v>25</v>
      </c>
      <c r="F296" s="643">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c r="V296" s="56"/>
      <c r="W296" s="56"/>
    </row>
    <row r="297" spans="1:23" ht="15" customHeight="1">
      <c r="A297" s="120"/>
      <c r="B297" s="114"/>
      <c r="C297" s="174">
        <v>5</v>
      </c>
      <c r="D297" s="642">
        <v>14.285714285714286</v>
      </c>
      <c r="E297" s="88">
        <v>50</v>
      </c>
      <c r="F297" s="643">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c r="V297" s="56"/>
      <c r="W297" s="56"/>
    </row>
    <row r="298" spans="1:23" ht="15" customHeight="1">
      <c r="A298" s="120"/>
      <c r="B298" s="114"/>
      <c r="C298" s="174">
        <v>6</v>
      </c>
      <c r="D298" s="642">
        <v>57.142857142857146</v>
      </c>
      <c r="E298" s="88">
        <v>75</v>
      </c>
      <c r="F298" s="643">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c r="V298" s="56"/>
      <c r="W298" s="56"/>
    </row>
    <row r="299" spans="1:23" ht="15" customHeight="1">
      <c r="A299" s="120"/>
      <c r="B299" s="114"/>
      <c r="C299" s="174">
        <v>7</v>
      </c>
      <c r="D299" s="642">
        <v>71.428571428571431</v>
      </c>
      <c r="E299" s="88">
        <v>100</v>
      </c>
      <c r="F299" s="643">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c r="V299" s="56"/>
      <c r="W299" s="56"/>
    </row>
    <row r="300" spans="1:23" ht="15" customHeight="1">
      <c r="A300" s="120"/>
      <c r="B300" s="114"/>
      <c r="C300" s="174">
        <v>8</v>
      </c>
      <c r="D300" s="642">
        <v>57.142857142857146</v>
      </c>
      <c r="E300" s="88">
        <v>50</v>
      </c>
      <c r="F300" s="643">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c r="V300" s="56"/>
      <c r="W300" s="56"/>
    </row>
    <row r="301" spans="1:23" ht="15" customHeight="1">
      <c r="A301" s="120"/>
      <c r="B301" s="114"/>
      <c r="C301" s="174">
        <v>9</v>
      </c>
      <c r="D301" s="642">
        <v>57.142857142857146</v>
      </c>
      <c r="E301" s="88">
        <v>100</v>
      </c>
      <c r="F301" s="643">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c r="V301" s="56"/>
      <c r="W301" s="56"/>
    </row>
    <row r="302" spans="1:23" ht="15" customHeight="1">
      <c r="A302" s="120"/>
      <c r="B302" s="114"/>
      <c r="C302" s="174">
        <v>10</v>
      </c>
      <c r="D302" s="642">
        <v>71.428571428571431</v>
      </c>
      <c r="E302" s="88">
        <v>87.5</v>
      </c>
      <c r="F302" s="643">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c r="V302" s="56"/>
      <c r="W302" s="56"/>
    </row>
    <row r="303" spans="1:23" ht="15" customHeight="1">
      <c r="A303" s="120"/>
      <c r="B303" s="114"/>
      <c r="C303" s="174">
        <v>11</v>
      </c>
      <c r="D303" s="642">
        <v>57.142857142857146</v>
      </c>
      <c r="E303" s="88">
        <v>87.5</v>
      </c>
      <c r="F303" s="643">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c r="V303" s="56"/>
      <c r="W303" s="56"/>
    </row>
    <row r="304" spans="1:23" ht="15" customHeight="1">
      <c r="A304" s="132"/>
      <c r="B304" s="115"/>
      <c r="C304" s="175">
        <v>12</v>
      </c>
      <c r="D304" s="642">
        <v>71.428571428571431</v>
      </c>
      <c r="E304" s="88">
        <v>87.5</v>
      </c>
      <c r="F304" s="643">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c r="V304" s="65"/>
      <c r="W304" s="65"/>
    </row>
    <row r="305" spans="1:23" ht="15" customHeight="1">
      <c r="A305" s="120"/>
      <c r="B305" s="994" t="s">
        <v>722</v>
      </c>
      <c r="C305" s="176">
        <v>1</v>
      </c>
      <c r="D305" s="642">
        <v>57.142857142857146</v>
      </c>
      <c r="E305" s="88">
        <v>75</v>
      </c>
      <c r="F305" s="643">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row>
    <row r="306" spans="1:23" ht="15" customHeight="1">
      <c r="A306" s="120"/>
      <c r="B306" s="114"/>
      <c r="C306" s="174">
        <v>2</v>
      </c>
      <c r="D306" s="642">
        <v>28.571428571428573</v>
      </c>
      <c r="E306" s="88">
        <v>87.5</v>
      </c>
      <c r="F306" s="643">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c r="V306" s="56"/>
      <c r="W306" s="56"/>
    </row>
    <row r="307" spans="1:23" ht="15" customHeight="1">
      <c r="A307" s="120"/>
      <c r="B307" s="114"/>
      <c r="C307" s="174">
        <v>3</v>
      </c>
      <c r="D307" s="642">
        <v>14.285714285714286</v>
      </c>
      <c r="E307" s="88">
        <v>68.75</v>
      </c>
      <c r="F307" s="643">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c r="V307" s="56"/>
      <c r="W307" s="56"/>
    </row>
    <row r="308" spans="1:23" ht="15" customHeight="1">
      <c r="A308" s="120"/>
      <c r="B308" s="114"/>
      <c r="C308" s="174">
        <v>4</v>
      </c>
      <c r="D308" s="642">
        <v>42.857142857142854</v>
      </c>
      <c r="E308" s="88">
        <v>62.5</v>
      </c>
      <c r="F308" s="643">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c r="V308" s="56"/>
      <c r="W308" s="56"/>
    </row>
    <row r="309" spans="1:23" ht="15" customHeight="1">
      <c r="A309" s="120"/>
      <c r="B309" s="114"/>
      <c r="C309" s="174">
        <v>5</v>
      </c>
      <c r="D309" s="642">
        <v>14.285714285714286</v>
      </c>
      <c r="E309" s="88">
        <v>62.5</v>
      </c>
      <c r="F309" s="643">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c r="V309" s="56"/>
      <c r="W309" s="56"/>
    </row>
    <row r="310" spans="1:23" ht="15" customHeight="1">
      <c r="A310" s="120"/>
      <c r="B310" s="114"/>
      <c r="C310" s="174">
        <v>6</v>
      </c>
      <c r="D310" s="642">
        <v>50</v>
      </c>
      <c r="E310" s="88">
        <v>75</v>
      </c>
      <c r="F310" s="643">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c r="V310" s="56"/>
      <c r="W310" s="56"/>
    </row>
    <row r="311" spans="1:23" ht="15" customHeight="1">
      <c r="A311" s="120"/>
      <c r="B311" s="114"/>
      <c r="C311" s="174">
        <v>7</v>
      </c>
      <c r="D311" s="642">
        <v>57.142857142857146</v>
      </c>
      <c r="E311" s="88">
        <v>87.5</v>
      </c>
      <c r="F311" s="643">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c r="V311" s="56"/>
      <c r="W311" s="56"/>
    </row>
    <row r="312" spans="1:23" ht="15" customHeight="1">
      <c r="A312" s="120"/>
      <c r="B312" s="114"/>
      <c r="C312" s="174">
        <v>8</v>
      </c>
      <c r="D312" s="642">
        <v>57.142857142857146</v>
      </c>
      <c r="E312" s="88">
        <v>75</v>
      </c>
      <c r="F312" s="643">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c r="V312" s="56"/>
      <c r="W312" s="56"/>
    </row>
    <row r="313" spans="1:23" ht="15" customHeight="1">
      <c r="A313" s="120"/>
      <c r="B313" s="114"/>
      <c r="C313" s="174">
        <v>9</v>
      </c>
      <c r="D313" s="642">
        <v>57.142857142857146</v>
      </c>
      <c r="E313" s="88">
        <v>25</v>
      </c>
      <c r="F313" s="643">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c r="V313" s="56"/>
      <c r="W313" s="56"/>
    </row>
    <row r="314" spans="1:23" ht="15" customHeight="1">
      <c r="A314" s="120"/>
      <c r="B314" s="114"/>
      <c r="C314" s="174">
        <v>10</v>
      </c>
      <c r="D314" s="642">
        <v>35.714285714285715</v>
      </c>
      <c r="E314" s="88">
        <v>25</v>
      </c>
      <c r="F314" s="643">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c r="V314" s="56"/>
      <c r="W314" s="56"/>
    </row>
    <row r="315" spans="1:23" ht="15" customHeight="1">
      <c r="A315" s="120"/>
      <c r="B315" s="114"/>
      <c r="C315" s="174">
        <v>11</v>
      </c>
      <c r="D315" s="642">
        <v>42.857142857142854</v>
      </c>
      <c r="E315" s="88">
        <v>25</v>
      </c>
      <c r="F315" s="643">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c r="V315" s="56"/>
      <c r="W315" s="56"/>
    </row>
    <row r="316" spans="1:23" ht="15" customHeight="1">
      <c r="A316" s="120"/>
      <c r="B316" s="116"/>
      <c r="C316" s="177">
        <v>12</v>
      </c>
      <c r="D316" s="642">
        <v>28.571428571428573</v>
      </c>
      <c r="E316" s="88">
        <v>12.5</v>
      </c>
      <c r="F316" s="643">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c r="V316" s="65"/>
      <c r="W316" s="65"/>
    </row>
    <row r="317" spans="1:23" ht="15" customHeight="1">
      <c r="A317" s="125"/>
      <c r="B317" s="995" t="s">
        <v>723</v>
      </c>
      <c r="C317" s="173">
        <v>1</v>
      </c>
      <c r="D317" s="642">
        <v>28.571428571428573</v>
      </c>
      <c r="E317" s="88">
        <v>25</v>
      </c>
      <c r="F317" s="643">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row>
    <row r="318" spans="1:23" ht="15" customHeight="1">
      <c r="A318" s="120"/>
      <c r="B318" s="114"/>
      <c r="C318" s="174">
        <v>2</v>
      </c>
      <c r="D318" s="642">
        <v>14.285714285714286</v>
      </c>
      <c r="E318" s="88">
        <v>37.5</v>
      </c>
      <c r="F318" s="643">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c r="V318" s="56"/>
      <c r="W318" s="56"/>
    </row>
    <row r="319" spans="1:23" ht="15" customHeight="1">
      <c r="A319" s="120"/>
      <c r="B319" s="114"/>
      <c r="C319" s="174">
        <v>3</v>
      </c>
      <c r="D319" s="642">
        <v>42.857142857142854</v>
      </c>
      <c r="E319" s="88">
        <v>50</v>
      </c>
      <c r="F319" s="643">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c r="V319" s="56"/>
      <c r="W319" s="56"/>
    </row>
    <row r="320" spans="1:23" ht="15" customHeight="1">
      <c r="A320" s="120"/>
      <c r="B320" s="114"/>
      <c r="C320" s="174">
        <v>4</v>
      </c>
      <c r="D320" s="642">
        <v>28.571428571428573</v>
      </c>
      <c r="E320" s="88">
        <v>37.5</v>
      </c>
      <c r="F320" s="643">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c r="V320" s="56"/>
      <c r="W320" s="56"/>
    </row>
    <row r="321" spans="1:23" ht="15" customHeight="1">
      <c r="A321" s="120"/>
      <c r="B321" s="114"/>
      <c r="C321" s="174">
        <v>5</v>
      </c>
      <c r="D321" s="642">
        <v>71.428571428571431</v>
      </c>
      <c r="E321" s="88">
        <v>37.5</v>
      </c>
      <c r="F321" s="643">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c r="V321" s="56"/>
      <c r="W321" s="56"/>
    </row>
    <row r="322" spans="1:23" ht="15" customHeight="1">
      <c r="A322" s="120"/>
      <c r="B322" s="114"/>
      <c r="C322" s="174">
        <v>6</v>
      </c>
      <c r="D322" s="642">
        <v>28.571428571428573</v>
      </c>
      <c r="E322" s="88">
        <v>43.75</v>
      </c>
      <c r="F322" s="643">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c r="V322" s="56"/>
      <c r="W322" s="56"/>
    </row>
    <row r="323" spans="1:23" ht="15" customHeight="1">
      <c r="A323" s="120"/>
      <c r="B323" s="114"/>
      <c r="C323" s="174">
        <v>7</v>
      </c>
      <c r="D323" s="642">
        <v>57.142857142857146</v>
      </c>
      <c r="E323" s="88">
        <v>12.5</v>
      </c>
      <c r="F323" s="643">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c r="V323" s="56"/>
      <c r="W323" s="56"/>
    </row>
    <row r="324" spans="1:23" ht="15" customHeight="1">
      <c r="A324" s="120"/>
      <c r="B324" s="114"/>
      <c r="C324" s="174">
        <v>8</v>
      </c>
      <c r="D324" s="642">
        <v>42.857142857142854</v>
      </c>
      <c r="E324" s="88">
        <v>75</v>
      </c>
      <c r="F324" s="643">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c r="V324" s="56"/>
      <c r="W324" s="56"/>
    </row>
    <row r="325" spans="1:23" ht="15" customHeight="1">
      <c r="A325" s="120"/>
      <c r="B325" s="114"/>
      <c r="C325" s="174">
        <v>9</v>
      </c>
      <c r="D325" s="642">
        <v>71.428571428571431</v>
      </c>
      <c r="E325" s="88">
        <v>50</v>
      </c>
      <c r="F325" s="643">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c r="V325" s="56"/>
      <c r="W325" s="56"/>
    </row>
    <row r="326" spans="1:23" ht="15" customHeight="1">
      <c r="A326" s="120"/>
      <c r="B326" s="114"/>
      <c r="C326" s="174">
        <v>10</v>
      </c>
      <c r="D326" s="642">
        <v>71.428571428571431</v>
      </c>
      <c r="E326" s="88">
        <v>75</v>
      </c>
      <c r="F326" s="643">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c r="V326" s="56"/>
      <c r="W326" s="56"/>
    </row>
    <row r="327" spans="1:23" ht="15" customHeight="1">
      <c r="A327" s="120"/>
      <c r="B327" s="114"/>
      <c r="C327" s="174">
        <v>11</v>
      </c>
      <c r="D327" s="642">
        <v>85.714285714285708</v>
      </c>
      <c r="E327" s="88">
        <v>100</v>
      </c>
      <c r="F327" s="643">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c r="V327" s="56"/>
      <c r="W327" s="56"/>
    </row>
    <row r="328" spans="1:23" ht="15" customHeight="1">
      <c r="A328" s="132"/>
      <c r="B328" s="115"/>
      <c r="C328" s="175">
        <v>12</v>
      </c>
      <c r="D328" s="642">
        <v>57.142857142857146</v>
      </c>
      <c r="E328" s="88">
        <v>75</v>
      </c>
      <c r="F328" s="643">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c r="V328" s="65"/>
      <c r="W328" s="65"/>
    </row>
    <row r="329" spans="1:23" ht="15" customHeight="1">
      <c r="A329" s="120"/>
      <c r="B329" s="994" t="s">
        <v>724</v>
      </c>
      <c r="C329" s="176">
        <v>1</v>
      </c>
      <c r="D329" s="642">
        <v>85.714285714285708</v>
      </c>
      <c r="E329" s="88">
        <v>62.5</v>
      </c>
      <c r="F329" s="643">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row>
    <row r="330" spans="1:23" ht="15" customHeight="1">
      <c r="A330" s="120"/>
      <c r="B330" s="114"/>
      <c r="C330" s="174">
        <v>2</v>
      </c>
      <c r="D330" s="642">
        <v>57.142857142857146</v>
      </c>
      <c r="E330" s="88">
        <v>87.5</v>
      </c>
      <c r="F330" s="643">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c r="V330" s="56"/>
      <c r="W330" s="56"/>
    </row>
    <row r="331" spans="1:23" ht="15" customHeight="1">
      <c r="A331" s="120"/>
      <c r="B331" s="114"/>
      <c r="C331" s="174">
        <v>3</v>
      </c>
      <c r="D331" s="642">
        <v>57.142857142857146</v>
      </c>
      <c r="E331" s="88">
        <v>62.5</v>
      </c>
      <c r="F331" s="643">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c r="V331" s="56"/>
      <c r="W331" s="56"/>
    </row>
    <row r="332" spans="1:23" ht="15" customHeight="1">
      <c r="A332" s="120"/>
      <c r="B332" s="114"/>
      <c r="C332" s="174">
        <v>4</v>
      </c>
      <c r="D332" s="642">
        <v>57.142857142857146</v>
      </c>
      <c r="E332" s="88">
        <v>87.5</v>
      </c>
      <c r="F332" s="643">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c r="V332" s="56"/>
      <c r="W332" s="56"/>
    </row>
    <row r="333" spans="1:23" ht="15" customHeight="1">
      <c r="A333" s="120"/>
      <c r="B333" s="114"/>
      <c r="C333" s="174">
        <v>5</v>
      </c>
      <c r="D333" s="642">
        <v>85.714285714285708</v>
      </c>
      <c r="E333" s="88">
        <v>87.5</v>
      </c>
      <c r="F333" s="643">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c r="V333" s="56"/>
      <c r="W333" s="56"/>
    </row>
    <row r="334" spans="1:23" ht="15" customHeight="1">
      <c r="A334" s="120"/>
      <c r="B334" s="114"/>
      <c r="C334" s="174">
        <v>6</v>
      </c>
      <c r="D334" s="642">
        <v>28.571428571428573</v>
      </c>
      <c r="E334" s="88">
        <v>75</v>
      </c>
      <c r="F334" s="643">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c r="V334" s="56"/>
      <c r="W334" s="56"/>
    </row>
    <row r="335" spans="1:23" ht="15" customHeight="1">
      <c r="A335" s="120"/>
      <c r="B335" s="114"/>
      <c r="C335" s="174">
        <v>7</v>
      </c>
      <c r="D335" s="642">
        <v>85.714285714285708</v>
      </c>
      <c r="E335" s="88">
        <v>87.5</v>
      </c>
      <c r="F335" s="643">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c r="V335" s="56"/>
      <c r="W335" s="56"/>
    </row>
    <row r="336" spans="1:23" ht="15" customHeight="1">
      <c r="A336" s="120"/>
      <c r="B336" s="114"/>
      <c r="C336" s="174">
        <v>8</v>
      </c>
      <c r="D336" s="642">
        <v>57.142857142857146</v>
      </c>
      <c r="E336" s="88">
        <v>87.5</v>
      </c>
      <c r="F336" s="643">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c r="V336" s="56"/>
      <c r="W336" s="56"/>
    </row>
    <row r="337" spans="1:23" ht="15" customHeight="1">
      <c r="A337" s="120"/>
      <c r="B337" s="114"/>
      <c r="C337" s="174">
        <v>9</v>
      </c>
      <c r="D337" s="642">
        <v>57.142857142857146</v>
      </c>
      <c r="E337" s="88">
        <v>50</v>
      </c>
      <c r="F337" s="643">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c r="V337" s="56"/>
      <c r="W337" s="56"/>
    </row>
    <row r="338" spans="1:23" ht="15" customHeight="1">
      <c r="A338" s="120"/>
      <c r="B338" s="114"/>
      <c r="C338" s="174">
        <v>10</v>
      </c>
      <c r="D338" s="642">
        <v>64.285714285714292</v>
      </c>
      <c r="E338" s="88">
        <v>87.5</v>
      </c>
      <c r="F338" s="643">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c r="V338" s="56"/>
      <c r="W338" s="56"/>
    </row>
    <row r="339" spans="1:23" ht="15" customHeight="1">
      <c r="A339" s="120"/>
      <c r="B339" s="114"/>
      <c r="C339" s="174">
        <v>11</v>
      </c>
      <c r="D339" s="642">
        <v>71.428571428571431</v>
      </c>
      <c r="E339" s="88">
        <v>100</v>
      </c>
      <c r="F339" s="643">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c r="V339" s="56"/>
      <c r="W339" s="56"/>
    </row>
    <row r="340" spans="1:23" ht="15" customHeight="1">
      <c r="A340" s="120"/>
      <c r="B340" s="116"/>
      <c r="C340" s="177">
        <v>12</v>
      </c>
      <c r="D340" s="642">
        <v>57.142857142857146</v>
      </c>
      <c r="E340" s="88">
        <v>87.5</v>
      </c>
      <c r="F340" s="643">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c r="V340" s="65"/>
      <c r="W340" s="65"/>
    </row>
    <row r="341" spans="1:23" ht="15" customHeight="1">
      <c r="A341" s="125"/>
      <c r="B341" s="995" t="s">
        <v>725</v>
      </c>
      <c r="C341" s="173">
        <v>1</v>
      </c>
      <c r="D341" s="642">
        <v>57.142857142857146</v>
      </c>
      <c r="E341" s="88">
        <v>100</v>
      </c>
      <c r="F341" s="643">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row>
    <row r="342" spans="1:23" ht="15" customHeight="1">
      <c r="A342" s="120"/>
      <c r="B342" s="114"/>
      <c r="C342" s="174">
        <v>2</v>
      </c>
      <c r="D342" s="642">
        <v>42.857142857142854</v>
      </c>
      <c r="E342" s="88">
        <v>93.75</v>
      </c>
      <c r="F342" s="643">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c r="V342" s="56"/>
      <c r="W342" s="56"/>
    </row>
    <row r="343" spans="1:23" ht="15" customHeight="1">
      <c r="A343" s="120"/>
      <c r="B343" s="114"/>
      <c r="C343" s="174">
        <v>3</v>
      </c>
      <c r="D343" s="642">
        <v>14.285714285714286</v>
      </c>
      <c r="E343" s="88">
        <v>75</v>
      </c>
      <c r="F343" s="643">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c r="V343" s="56"/>
      <c r="W343" s="56"/>
    </row>
    <row r="344" spans="1:23" ht="15" customHeight="1">
      <c r="A344" s="120"/>
      <c r="B344" s="114"/>
      <c r="C344" s="174">
        <v>4</v>
      </c>
      <c r="D344" s="642">
        <v>14.285714285714286</v>
      </c>
      <c r="E344" s="88">
        <v>75</v>
      </c>
      <c r="F344" s="643">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c r="V344" s="56"/>
      <c r="W344" s="56"/>
    </row>
    <row r="345" spans="1:23" ht="15" customHeight="1">
      <c r="A345" s="120"/>
      <c r="B345" s="114"/>
      <c r="C345" s="174">
        <v>5</v>
      </c>
      <c r="D345" s="642">
        <v>42.857142857142854</v>
      </c>
      <c r="E345" s="88">
        <v>75</v>
      </c>
      <c r="F345" s="643">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c r="V345" s="56"/>
      <c r="W345" s="56"/>
    </row>
    <row r="346" spans="1:23" ht="15" customHeight="1">
      <c r="A346" s="120"/>
      <c r="B346" s="114"/>
      <c r="C346" s="174">
        <v>6</v>
      </c>
      <c r="D346" s="642">
        <v>71.428571428571431</v>
      </c>
      <c r="E346" s="88">
        <v>75</v>
      </c>
      <c r="F346" s="643">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c r="V346" s="56"/>
      <c r="W346" s="56"/>
    </row>
    <row r="347" spans="1:23" ht="15" customHeight="1">
      <c r="A347" s="120"/>
      <c r="B347" s="114"/>
      <c r="C347" s="174">
        <v>7</v>
      </c>
      <c r="D347" s="642">
        <v>14.285714285714286</v>
      </c>
      <c r="E347" s="88">
        <v>50</v>
      </c>
      <c r="F347" s="643">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c r="V347" s="56"/>
      <c r="W347" s="56"/>
    </row>
    <row r="348" spans="1:23" ht="15" customHeight="1">
      <c r="A348" s="120"/>
      <c r="B348" s="114"/>
      <c r="C348" s="174">
        <v>8</v>
      </c>
      <c r="D348" s="642">
        <v>35.714285714285715</v>
      </c>
      <c r="E348" s="88">
        <v>62.5</v>
      </c>
      <c r="F348" s="643">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c r="V348" s="56"/>
      <c r="W348" s="56"/>
    </row>
    <row r="349" spans="1:23" ht="15" customHeight="1">
      <c r="A349" s="120"/>
      <c r="B349" s="114"/>
      <c r="C349" s="174">
        <v>9</v>
      </c>
      <c r="D349" s="642">
        <v>14.285714285714286</v>
      </c>
      <c r="E349" s="88">
        <v>62.5</v>
      </c>
      <c r="F349" s="643">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c r="V349" s="56"/>
      <c r="W349" s="56"/>
    </row>
    <row r="350" spans="1:23" ht="15" customHeight="1">
      <c r="A350" s="120"/>
      <c r="B350" s="114"/>
      <c r="C350" s="174">
        <v>10</v>
      </c>
      <c r="D350" s="642">
        <v>42.857142857142854</v>
      </c>
      <c r="E350" s="88">
        <v>62.5</v>
      </c>
      <c r="F350" s="643">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c r="V350" s="56"/>
      <c r="W350" s="56"/>
    </row>
    <row r="351" spans="1:23" ht="15" customHeight="1">
      <c r="A351" s="120"/>
      <c r="B351" s="114"/>
      <c r="C351" s="174">
        <v>11</v>
      </c>
      <c r="D351" s="642">
        <v>28.571428571428573</v>
      </c>
      <c r="E351" s="88">
        <v>50</v>
      </c>
      <c r="F351" s="643">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c r="V351" s="56"/>
      <c r="W351" s="56"/>
    </row>
    <row r="352" spans="1:23" ht="15" customHeight="1">
      <c r="A352" s="132"/>
      <c r="B352" s="115"/>
      <c r="C352" s="175">
        <v>12</v>
      </c>
      <c r="D352" s="642">
        <v>71.428571428571431</v>
      </c>
      <c r="E352" s="88">
        <v>50</v>
      </c>
      <c r="F352" s="643">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c r="V352" s="65"/>
      <c r="W352" s="65"/>
    </row>
    <row r="353" spans="1:23" ht="15" customHeight="1">
      <c r="A353" s="120"/>
      <c r="B353" s="994" t="s">
        <v>726</v>
      </c>
      <c r="C353" s="176">
        <f>IF(初期登録!$B$10*12+初期登録!$D$10&lt;$A353,"",1)</f>
        <v>1</v>
      </c>
      <c r="D353" s="642">
        <v>21.428571428571427</v>
      </c>
      <c r="E353" s="88">
        <v>37.5</v>
      </c>
      <c r="F353" s="643">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row>
    <row r="354" spans="1:23" ht="15" customHeight="1">
      <c r="A354" s="120"/>
      <c r="B354" s="114"/>
      <c r="C354" s="174">
        <f>IF(初期登録!$B$10*12+初期登録!$D$10&lt;$A354,"",2)</f>
        <v>2</v>
      </c>
      <c r="D354" s="642">
        <v>42.857142857142854</v>
      </c>
      <c r="E354" s="88">
        <v>37.5</v>
      </c>
      <c r="F354" s="643">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c r="V354" s="56"/>
      <c r="W354" s="56"/>
    </row>
    <row r="355" spans="1:23" ht="15" customHeight="1">
      <c r="A355" s="120"/>
      <c r="B355" s="114"/>
      <c r="C355" s="174">
        <f>IF(初期登録!$B$10*12+初期登録!$D$10&lt;$A355,"",3)</f>
        <v>3</v>
      </c>
      <c r="D355" s="642">
        <v>42.857142857142854</v>
      </c>
      <c r="E355" s="88">
        <v>25</v>
      </c>
      <c r="F355" s="643">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c r="V355" s="56"/>
      <c r="W355" s="56"/>
    </row>
    <row r="356" spans="1:23" ht="15" customHeight="1">
      <c r="A356" s="120"/>
      <c r="B356" s="114"/>
      <c r="C356" s="174">
        <f>IF(初期登録!$B$10*12+初期登録!$D$10&lt;$A356,"",4)</f>
        <v>4</v>
      </c>
      <c r="D356" s="642">
        <v>42.857142857142854</v>
      </c>
      <c r="E356" s="88">
        <v>37.5</v>
      </c>
      <c r="F356" s="643">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row>
    <row r="357" spans="1:23" ht="15" customHeight="1">
      <c r="A357" s="120"/>
      <c r="B357" s="114"/>
      <c r="C357" s="174">
        <f>IF(初期登録!$B$10*12+初期登録!$D$10&lt;$A357,"",5)</f>
        <v>5</v>
      </c>
      <c r="D357" s="642">
        <v>14.285714285714286</v>
      </c>
      <c r="E357" s="88">
        <v>18.75</v>
      </c>
      <c r="F357" s="643">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row>
    <row r="358" spans="1:23" ht="15" customHeight="1">
      <c r="A358" s="120"/>
      <c r="B358" s="114"/>
      <c r="C358" s="174">
        <f>IF(初期登録!$B$10*12+初期登録!$D$10&lt;$A358,"",6)</f>
        <v>6</v>
      </c>
      <c r="D358" s="642">
        <v>42.857142857142854</v>
      </c>
      <c r="E358" s="88">
        <v>25</v>
      </c>
      <c r="F358" s="643">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row>
    <row r="359" spans="1:23" ht="15" customHeight="1">
      <c r="A359" s="120"/>
      <c r="B359" s="114"/>
      <c r="C359" s="174">
        <f>IF(初期登録!$B$10*12+初期登録!$D$10&lt;$A359,"",7)</f>
        <v>7</v>
      </c>
      <c r="D359" s="642">
        <v>28.571428571428573</v>
      </c>
      <c r="E359" s="88">
        <v>12.5</v>
      </c>
      <c r="F359" s="643">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row>
    <row r="360" spans="1:23" ht="15" customHeight="1">
      <c r="A360" s="120"/>
      <c r="B360" s="114"/>
      <c r="C360" s="174">
        <f>IF(初期登録!$B$10*12+初期登録!$D$10&lt;$A360,"",8)</f>
        <v>8</v>
      </c>
      <c r="D360" s="642">
        <v>28.571428571428573</v>
      </c>
      <c r="E360" s="88">
        <v>0</v>
      </c>
      <c r="F360" s="643">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row>
    <row r="361" spans="1:23" ht="15" customHeight="1">
      <c r="A361" s="120"/>
      <c r="B361" s="114"/>
      <c r="C361" s="174">
        <f>IF(初期登録!$B$10*12+初期登録!$D$10&lt;$A361,"",9)</f>
        <v>9</v>
      </c>
      <c r="D361" s="642">
        <v>28.571428571428573</v>
      </c>
      <c r="E361" s="88">
        <v>12.5</v>
      </c>
      <c r="F361" s="643">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row>
    <row r="362" spans="1:23" ht="15" customHeight="1">
      <c r="A362" s="120"/>
      <c r="B362" s="114"/>
      <c r="C362" s="174">
        <f>IF(初期登録!$B$10*12+初期登録!$D$10&lt;$A362,"",10)</f>
        <v>10</v>
      </c>
      <c r="D362" s="642">
        <v>28.571428571428573</v>
      </c>
      <c r="E362" s="88">
        <v>25</v>
      </c>
      <c r="F362" s="643">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row>
    <row r="363" spans="1:23" ht="15" customHeight="1">
      <c r="A363" s="120"/>
      <c r="B363" s="114"/>
      <c r="C363" s="174">
        <f>IF(初期登録!$B$10*12+初期登録!$D$10&lt;$A363,"",11)</f>
        <v>11</v>
      </c>
      <c r="D363" s="642">
        <v>28.571428571428573</v>
      </c>
      <c r="E363" s="88">
        <v>12.5</v>
      </c>
      <c r="F363" s="643">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row>
    <row r="364" spans="1:23" ht="15" customHeight="1">
      <c r="A364" s="120"/>
      <c r="B364" s="116"/>
      <c r="C364" s="177">
        <f>IF(初期登録!$B$10*12+初期登録!$D$10&lt;$A364,"",12)</f>
        <v>12</v>
      </c>
      <c r="D364" s="1037">
        <v>14.285714285714286</v>
      </c>
      <c r="E364" s="1038">
        <v>0</v>
      </c>
      <c r="F364" s="1039">
        <v>42.857142857142854</v>
      </c>
      <c r="G364" s="154">
        <f t="shared" si="36"/>
        <v>50.714285714285957</v>
      </c>
      <c r="H364" s="155">
        <f t="shared" si="37"/>
        <v>618.75</v>
      </c>
      <c r="I364" s="157">
        <f t="shared" si="38"/>
        <v>48.714285714285985</v>
      </c>
      <c r="J364" s="1040">
        <f t="shared" si="34"/>
        <v>2050.7142857142858</v>
      </c>
      <c r="K364" s="155">
        <f t="shared" si="39"/>
        <v>618.75</v>
      </c>
      <c r="L364" s="639">
        <f t="shared" si="35"/>
        <v>-451.28571428571399</v>
      </c>
      <c r="M364" s="120"/>
      <c r="N364" s="145">
        <v>50</v>
      </c>
      <c r="O364" s="146">
        <v>99</v>
      </c>
      <c r="P364" s="146">
        <v>0</v>
      </c>
      <c r="Q364" s="147">
        <v>2780</v>
      </c>
    </row>
    <row r="365" spans="1:23" ht="15" customHeight="1">
      <c r="A365" s="125"/>
      <c r="B365" s="996" t="s">
        <v>727</v>
      </c>
      <c r="C365" s="178">
        <f>IF(初期登録!$B$10*12+初期登録!$D$10&lt;$A365,"",1)</f>
        <v>1</v>
      </c>
      <c r="D365" s="1041">
        <v>28.571428571428573</v>
      </c>
      <c r="E365" s="1042">
        <v>0</v>
      </c>
      <c r="F365" s="1043">
        <v>14.285714285714286</v>
      </c>
      <c r="G365" s="1044">
        <f t="shared" si="36"/>
        <v>29.28571428571453</v>
      </c>
      <c r="H365" s="1045">
        <f t="shared" si="37"/>
        <v>568.75</v>
      </c>
      <c r="I365" s="1046">
        <f t="shared" si="38"/>
        <v>13.00000000000027</v>
      </c>
      <c r="J365" s="633">
        <f t="shared" si="34"/>
        <v>2029.2857142857144</v>
      </c>
      <c r="K365" s="1045">
        <f t="shared" si="39"/>
        <v>568.75</v>
      </c>
      <c r="L365" s="634">
        <f t="shared" si="35"/>
        <v>-486.99999999999972</v>
      </c>
      <c r="M365" s="125">
        <v>2009</v>
      </c>
      <c r="N365" s="133">
        <v>50</v>
      </c>
      <c r="O365" s="134">
        <v>99</v>
      </c>
      <c r="P365" s="134">
        <v>0</v>
      </c>
      <c r="Q365" s="159">
        <v>2780</v>
      </c>
    </row>
    <row r="366" spans="1:23" ht="15" customHeight="1">
      <c r="A366" s="120"/>
      <c r="B366" s="114"/>
      <c r="C366" s="174">
        <f>IF(初期登録!$B$10*12+初期登録!$D$10&lt;$A366,"",2)</f>
        <v>2</v>
      </c>
      <c r="D366" s="642">
        <v>14.285714285714286</v>
      </c>
      <c r="E366" s="88">
        <v>0</v>
      </c>
      <c r="F366" s="643">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row>
    <row r="367" spans="1:23" ht="15" customHeight="1">
      <c r="A367" s="120"/>
      <c r="B367" s="114"/>
      <c r="C367" s="174">
        <f>IF(初期登録!$B$10*12+初期登録!$D$10&lt;$A367,"",3)</f>
        <v>3</v>
      </c>
      <c r="D367" s="642">
        <v>14.285714285714286</v>
      </c>
      <c r="E367" s="88">
        <v>0</v>
      </c>
      <c r="F367" s="643">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row>
    <row r="368" spans="1:23" ht="15" customHeight="1">
      <c r="A368" s="120"/>
      <c r="B368" s="114"/>
      <c r="C368" s="174">
        <f>IF(初期登録!$B$10*12+初期登録!$D$10&lt;$A368,"",4)</f>
        <v>4</v>
      </c>
      <c r="D368" s="642">
        <v>14.285714285714286</v>
      </c>
      <c r="E368" s="88">
        <v>0</v>
      </c>
      <c r="F368" s="643">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row>
    <row r="369" spans="1:17" ht="15" customHeight="1">
      <c r="A369" s="120"/>
      <c r="B369" s="114"/>
      <c r="C369" s="174">
        <f>IF(初期登録!$B$10*12+初期登録!$D$10&lt;$A369,"",5)</f>
        <v>5</v>
      </c>
      <c r="D369" s="642">
        <v>14.285714285714286</v>
      </c>
      <c r="E369" s="88">
        <v>0</v>
      </c>
      <c r="F369" s="643">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row>
    <row r="370" spans="1:17" ht="15" customHeight="1">
      <c r="A370" s="120"/>
      <c r="B370" s="114"/>
      <c r="C370" s="174">
        <f>IF(初期登録!$B$10*12+初期登録!$D$10&lt;$A370,"",6)</f>
        <v>6</v>
      </c>
      <c r="D370" s="642">
        <v>14.285714285714286</v>
      </c>
      <c r="E370" s="88">
        <v>50</v>
      </c>
      <c r="F370" s="643">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row>
    <row r="371" spans="1:17" ht="15" customHeight="1">
      <c r="A371" s="120"/>
      <c r="B371" s="114"/>
      <c r="C371" s="174">
        <f>IF(初期登録!$B$10*12+初期登録!$D$10&lt;$A371,"",7)</f>
        <v>7</v>
      </c>
      <c r="D371" s="642">
        <v>42.857142857142854</v>
      </c>
      <c r="E371" s="88">
        <v>50</v>
      </c>
      <c r="F371" s="643">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row>
    <row r="372" spans="1:17" ht="15" customHeight="1">
      <c r="A372" s="120"/>
      <c r="B372" s="114"/>
      <c r="C372" s="174">
        <f>IF(初期登録!$B$10*12+初期登録!$D$10&lt;$A372,"",8)</f>
        <v>8</v>
      </c>
      <c r="D372" s="642">
        <v>42.857142857142854</v>
      </c>
      <c r="E372" s="88">
        <v>87.5</v>
      </c>
      <c r="F372" s="643">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row>
    <row r="373" spans="1:17" ht="15" customHeight="1">
      <c r="A373" s="120"/>
      <c r="B373" s="114"/>
      <c r="C373" s="174">
        <f>IF(初期登録!$B$10*12+初期登録!$D$10&lt;$A373,"",9)</f>
        <v>9</v>
      </c>
      <c r="D373" s="642">
        <v>85.714285714285708</v>
      </c>
      <c r="E373" s="88">
        <v>75</v>
      </c>
      <c r="F373" s="643">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row>
    <row r="374" spans="1:17" ht="15" customHeight="1">
      <c r="A374" s="120"/>
      <c r="B374" s="114"/>
      <c r="C374" s="174">
        <f>IF(初期登録!$B$10*12+初期登録!$D$10&lt;$A374,"",10)</f>
        <v>10</v>
      </c>
      <c r="D374" s="642">
        <v>71.428571428571431</v>
      </c>
      <c r="E374" s="88">
        <v>100</v>
      </c>
      <c r="F374" s="643">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row>
    <row r="375" spans="1:17" ht="15" customHeight="1">
      <c r="A375" s="120"/>
      <c r="B375" s="114"/>
      <c r="C375" s="174">
        <f>IF(初期登録!$B$10*12+初期登録!$D$10&lt;$A375,"",11)</f>
        <v>11</v>
      </c>
      <c r="D375" s="642">
        <v>85.714285714285708</v>
      </c>
      <c r="E375" s="88">
        <v>100</v>
      </c>
      <c r="F375" s="643">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row>
    <row r="376" spans="1:17" ht="15" customHeight="1">
      <c r="A376" s="132"/>
      <c r="B376" s="115"/>
      <c r="C376" s="177">
        <f>IF(初期登録!$B$10*12+初期登録!$D$10&lt;$A376,"",12)</f>
        <v>12</v>
      </c>
      <c r="D376" s="1037">
        <v>57.142857142857146</v>
      </c>
      <c r="E376" s="1038">
        <v>87.5</v>
      </c>
      <c r="F376" s="1039">
        <v>85.714285714285708</v>
      </c>
      <c r="G376" s="154">
        <f t="shared" si="36"/>
        <v>-63.571428571428335</v>
      </c>
      <c r="H376" s="155">
        <f t="shared" si="37"/>
        <v>568.75</v>
      </c>
      <c r="I376" s="157">
        <f t="shared" si="38"/>
        <v>-194.14285714285688</v>
      </c>
      <c r="J376" s="1040">
        <f t="shared" si="34"/>
        <v>1936.4285714285716</v>
      </c>
      <c r="K376" s="155">
        <f t="shared" si="39"/>
        <v>568.75</v>
      </c>
      <c r="L376" s="639">
        <f t="shared" si="35"/>
        <v>-694.14285714285688</v>
      </c>
      <c r="M376" s="120"/>
      <c r="N376" s="145">
        <f t="shared" si="40"/>
        <v>50</v>
      </c>
      <c r="O376" s="137"/>
      <c r="P376" s="137">
        <f t="shared" si="41"/>
        <v>0</v>
      </c>
      <c r="Q376" s="138"/>
    </row>
    <row r="377" spans="1:17" ht="15" customHeight="1">
      <c r="A377" s="120"/>
      <c r="B377" s="997" t="s">
        <v>728</v>
      </c>
      <c r="C377" s="178">
        <f>IF(初期登録!$B$10*12+初期登録!$D$10&lt;$A377,"",1)</f>
        <v>1</v>
      </c>
      <c r="D377" s="1041">
        <v>85.714285714285708</v>
      </c>
      <c r="E377" s="1042">
        <v>100</v>
      </c>
      <c r="F377" s="1043">
        <v>71.428571428571431</v>
      </c>
      <c r="G377" s="1044">
        <f t="shared" si="36"/>
        <v>-27.857142857142627</v>
      </c>
      <c r="H377" s="1045">
        <f t="shared" si="37"/>
        <v>618.75</v>
      </c>
      <c r="I377" s="1046">
        <f t="shared" si="38"/>
        <v>-172.71428571428544</v>
      </c>
      <c r="J377" s="633">
        <f t="shared" si="34"/>
        <v>1972.1428571428573</v>
      </c>
      <c r="K377" s="1045">
        <f t="shared" si="39"/>
        <v>618.75</v>
      </c>
      <c r="L377" s="634">
        <f t="shared" si="35"/>
        <v>-672.71428571428544</v>
      </c>
      <c r="M377" s="125">
        <v>2010</v>
      </c>
      <c r="N377" s="133">
        <f t="shared" si="40"/>
        <v>50</v>
      </c>
      <c r="O377" s="101"/>
      <c r="P377" s="101">
        <f t="shared" si="41"/>
        <v>0</v>
      </c>
      <c r="Q377" s="112"/>
    </row>
    <row r="378" spans="1:17" ht="15" customHeight="1">
      <c r="A378" s="120"/>
      <c r="B378" s="116"/>
      <c r="C378" s="177">
        <f>IF(初期登録!$B$10*12+初期登録!$D$10&lt;$A378,"",2)</f>
        <v>2</v>
      </c>
      <c r="D378" s="642">
        <v>35.714285714285715</v>
      </c>
      <c r="E378" s="88">
        <v>87.5</v>
      </c>
      <c r="F378" s="643">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row>
    <row r="379" spans="1:17" ht="15" customHeight="1">
      <c r="A379" s="120"/>
      <c r="B379" s="114"/>
      <c r="C379" s="174">
        <f>IF(初期登録!$B$10*12+初期登録!$D$10&lt;$A379,"",3)</f>
        <v>3</v>
      </c>
      <c r="D379" s="642">
        <v>57.142857142857146</v>
      </c>
      <c r="E379" s="88">
        <v>100</v>
      </c>
      <c r="F379" s="643">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row>
    <row r="380" spans="1:17" ht="15" customHeight="1">
      <c r="A380" s="120"/>
      <c r="B380" s="114"/>
      <c r="C380" s="174">
        <f>IF(初期登録!$B$10*12+初期登録!$D$10&lt;$A380,"",4)</f>
        <v>4</v>
      </c>
      <c r="D380" s="642">
        <v>71.428571428571431</v>
      </c>
      <c r="E380" s="88">
        <v>100</v>
      </c>
      <c r="F380" s="643">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row>
    <row r="381" spans="1:17" ht="15" customHeight="1">
      <c r="A381" s="120"/>
      <c r="B381" s="114"/>
      <c r="C381" s="174">
        <f>IF(初期登録!$B$10*12+初期登録!$D$10&lt;$A381,"",5)</f>
        <v>5</v>
      </c>
      <c r="D381" s="642">
        <v>71.428571428571431</v>
      </c>
      <c r="E381" s="88">
        <v>100</v>
      </c>
      <c r="F381" s="643">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row>
    <row r="382" spans="1:17" ht="15" customHeight="1">
      <c r="A382" s="120"/>
      <c r="B382" s="114"/>
      <c r="C382" s="174">
        <f>IF(初期登録!$B$10*12+初期登録!$D$10&lt;$A382,"",6)</f>
        <v>6</v>
      </c>
      <c r="D382" s="642">
        <v>92.857142857142861</v>
      </c>
      <c r="E382" s="88">
        <v>75</v>
      </c>
      <c r="F382" s="643">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row>
    <row r="383" spans="1:17" ht="15" customHeight="1">
      <c r="A383" s="120"/>
      <c r="B383" s="114"/>
      <c r="C383" s="174">
        <f>IF(初期登録!$B$10*12+初期登録!$D$10&lt;$A383,"",7)</f>
        <v>7</v>
      </c>
      <c r="D383" s="642">
        <v>71.428571428571431</v>
      </c>
      <c r="E383" s="88">
        <v>81.25</v>
      </c>
      <c r="F383" s="643">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row>
    <row r="384" spans="1:17" ht="15" customHeight="1">
      <c r="A384" s="120"/>
      <c r="B384" s="114"/>
      <c r="C384" s="174">
        <f>IF(初期登録!$B$10*12+初期登録!$D$10&lt;$A384,"",8)</f>
        <v>8</v>
      </c>
      <c r="D384" s="642">
        <v>71.428571428571431</v>
      </c>
      <c r="E384" s="88">
        <v>87.5</v>
      </c>
      <c r="F384" s="643">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row>
    <row r="385" spans="1:17" ht="15" customHeight="1">
      <c r="A385" s="120"/>
      <c r="B385" s="114"/>
      <c r="C385" s="174">
        <f>IF(初期登録!$B$10*12+初期登録!$D$10&lt;$A385,"",9)</f>
        <v>9</v>
      </c>
      <c r="D385" s="642">
        <v>85.714285714285708</v>
      </c>
      <c r="E385" s="88">
        <v>87.5</v>
      </c>
      <c r="F385" s="643">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row>
    <row r="386" spans="1:17" ht="15" customHeight="1">
      <c r="A386" s="120"/>
      <c r="B386" s="114"/>
      <c r="C386" s="174">
        <f>IF(初期登録!$B$10*12+初期登録!$D$10&lt;$A386,"",10)</f>
        <v>10</v>
      </c>
      <c r="D386" s="642">
        <v>42.857142857142854</v>
      </c>
      <c r="E386" s="88">
        <v>87.5</v>
      </c>
      <c r="F386" s="643">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row>
    <row r="387" spans="1:17" ht="15" customHeight="1">
      <c r="A387" s="120"/>
      <c r="B387" s="114"/>
      <c r="C387" s="174">
        <f>IF(初期登録!$B$10*12+初期登録!$D$10&lt;$A387,"",11)</f>
        <v>11</v>
      </c>
      <c r="D387" s="642">
        <v>42.857142857142854</v>
      </c>
      <c r="E387" s="88">
        <v>87.5</v>
      </c>
      <c r="F387" s="643">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row>
    <row r="388" spans="1:17" ht="15" customHeight="1">
      <c r="A388" s="120"/>
      <c r="B388" s="116"/>
      <c r="C388" s="177">
        <f>IF(初期登録!$B$10*12+初期登録!$D$10&lt;$A388,"",12)</f>
        <v>12</v>
      </c>
      <c r="D388" s="1037">
        <v>71.428571428571431</v>
      </c>
      <c r="E388" s="1038">
        <v>100</v>
      </c>
      <c r="F388" s="1039">
        <v>71.428571428571431</v>
      </c>
      <c r="G388" s="154">
        <f t="shared" si="36"/>
        <v>136.42857142857167</v>
      </c>
      <c r="H388" s="155">
        <f t="shared" si="37"/>
        <v>1062.5</v>
      </c>
      <c r="I388" s="157">
        <f t="shared" si="38"/>
        <v>55.857142857143138</v>
      </c>
      <c r="J388" s="1040">
        <f t="shared" si="34"/>
        <v>2136.4285714285716</v>
      </c>
      <c r="K388" s="155">
        <f t="shared" si="39"/>
        <v>1062.5</v>
      </c>
      <c r="L388" s="639">
        <f t="shared" si="35"/>
        <v>-444.14285714285688</v>
      </c>
      <c r="M388" s="120"/>
      <c r="N388" s="145">
        <f t="shared" si="40"/>
        <v>50</v>
      </c>
      <c r="O388" s="146"/>
      <c r="P388" s="146">
        <f t="shared" si="41"/>
        <v>0</v>
      </c>
      <c r="Q388" s="104"/>
    </row>
    <row r="389" spans="1:17" ht="15" customHeight="1">
      <c r="A389" s="125"/>
      <c r="B389" s="996" t="s">
        <v>729</v>
      </c>
      <c r="C389" s="178">
        <f>IF(初期登録!$B$10*12+初期登録!$D$10&lt;$A389,"",1)</f>
        <v>1</v>
      </c>
      <c r="D389" s="1041">
        <v>57.142857142857146</v>
      </c>
      <c r="E389" s="1042">
        <v>81.25</v>
      </c>
      <c r="F389" s="1043">
        <v>85.714285714285708</v>
      </c>
      <c r="G389" s="1044">
        <f t="shared" si="36"/>
        <v>143.57142857142881</v>
      </c>
      <c r="H389" s="1045">
        <f t="shared" si="37"/>
        <v>1093.75</v>
      </c>
      <c r="I389" s="1046">
        <f t="shared" si="38"/>
        <v>91.571428571428839</v>
      </c>
      <c r="J389" s="633">
        <f t="shared" si="34"/>
        <v>2143.5714285714289</v>
      </c>
      <c r="K389" s="1045">
        <f t="shared" si="39"/>
        <v>1093.75</v>
      </c>
      <c r="L389" s="634">
        <f t="shared" si="35"/>
        <v>-408.42857142857116</v>
      </c>
      <c r="M389" s="125">
        <v>2011</v>
      </c>
      <c r="N389" s="133">
        <f t="shared" ref="N389:N424" si="42">IF(C388="",NA(),50)</f>
        <v>50</v>
      </c>
      <c r="O389" s="134"/>
      <c r="P389" s="134">
        <f t="shared" ref="P389:P424" si="43">IF(C388="",NA(),0)</f>
        <v>0</v>
      </c>
      <c r="Q389" s="159"/>
    </row>
    <row r="390" spans="1:17" ht="15" customHeight="1">
      <c r="A390" s="120"/>
      <c r="B390" s="114"/>
      <c r="C390" s="174">
        <f>IF(初期登録!$B$10*12+初期登録!$D$10&lt;$A390,"",2)</f>
        <v>2</v>
      </c>
      <c r="D390" s="642">
        <v>35.714285714285715</v>
      </c>
      <c r="E390" s="88">
        <v>75</v>
      </c>
      <c r="F390" s="643">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row>
    <row r="391" spans="1:17" ht="15" customHeight="1">
      <c r="A391" s="120"/>
      <c r="B391" s="114"/>
      <c r="C391" s="174">
        <f>IF(初期登録!$B$10*12+初期登録!$D$10&lt;$A391,"",3)</f>
        <v>3</v>
      </c>
      <c r="D391" s="642">
        <v>14.285714285714286</v>
      </c>
      <c r="E391" s="88">
        <v>16.666666666666668</v>
      </c>
      <c r="F391" s="643">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row>
    <row r="392" spans="1:17" ht="15" customHeight="1">
      <c r="A392" s="120"/>
      <c r="B392" s="114"/>
      <c r="C392" s="174">
        <f>IF(初期登録!$B$10*12+初期登録!$D$10&lt;$A392,"",4)</f>
        <v>4</v>
      </c>
      <c r="D392" s="642">
        <v>35.714285714285715</v>
      </c>
      <c r="E392" s="88">
        <v>0</v>
      </c>
      <c r="F392" s="643">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row>
    <row r="393" spans="1:17" ht="15" customHeight="1">
      <c r="A393" s="120"/>
      <c r="B393" s="114"/>
      <c r="C393" s="174">
        <f>IF(初期登録!$B$10*12+初期登録!$D$10&lt;$A393,"",5)</f>
        <v>5</v>
      </c>
      <c r="D393" s="642">
        <v>42.857142857142854</v>
      </c>
      <c r="E393" s="88">
        <v>0</v>
      </c>
      <c r="F393" s="643">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row>
    <row r="394" spans="1:17" ht="15" customHeight="1">
      <c r="A394" s="120"/>
      <c r="B394" s="114"/>
      <c r="C394" s="174">
        <f>IF(初期登録!$B$10*12+初期登録!$D$10&lt;$A394,"",6)</f>
        <v>6</v>
      </c>
      <c r="D394" s="642">
        <v>28.571428571428573</v>
      </c>
      <c r="E394" s="88">
        <v>0</v>
      </c>
      <c r="F394" s="643">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row>
    <row r="395" spans="1:17" ht="15" customHeight="1">
      <c r="A395" s="120"/>
      <c r="B395" s="114"/>
      <c r="C395" s="174">
        <f>IF(初期登録!$B$10*12+初期登録!$D$10&lt;$A395,"",7)</f>
        <v>7</v>
      </c>
      <c r="D395" s="642">
        <v>57.142857142857146</v>
      </c>
      <c r="E395" s="88">
        <v>12.5</v>
      </c>
      <c r="F395" s="643">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row>
    <row r="396" spans="1:17" ht="15" customHeight="1">
      <c r="A396" s="120"/>
      <c r="B396" s="114"/>
      <c r="C396" s="174">
        <f>IF(初期登録!$B$10*12+初期登録!$D$10&lt;$A396,"",8)</f>
        <v>8</v>
      </c>
      <c r="D396" s="642">
        <v>100</v>
      </c>
      <c r="E396" s="88">
        <v>83.333333333333343</v>
      </c>
      <c r="F396" s="643">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row>
    <row r="397" spans="1:17" ht="15" customHeight="1">
      <c r="A397" s="120"/>
      <c r="B397" s="114"/>
      <c r="C397" s="174">
        <f>IF(初期登録!$B$10*12+初期登録!$D$10&lt;$A397,"",9)</f>
        <v>9</v>
      </c>
      <c r="D397" s="642">
        <v>100</v>
      </c>
      <c r="E397" s="88">
        <v>100</v>
      </c>
      <c r="F397" s="643">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row>
    <row r="398" spans="1:17" ht="15" customHeight="1">
      <c r="A398" s="120"/>
      <c r="B398" s="114"/>
      <c r="C398" s="174">
        <f>IF(初期登録!$B$10*12+初期登録!$D$10&lt;$A398,"",10)</f>
        <v>10</v>
      </c>
      <c r="D398" s="642">
        <v>85.714285714285708</v>
      </c>
      <c r="E398" s="88">
        <v>75</v>
      </c>
      <c r="F398" s="643">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row>
    <row r="399" spans="1:17" ht="15" customHeight="1">
      <c r="A399" s="120"/>
      <c r="B399" s="114"/>
      <c r="C399" s="174">
        <f>IF(初期登録!$B$10*12+初期登録!$D$10&lt;$A399,"",11)</f>
        <v>11</v>
      </c>
      <c r="D399" s="642">
        <v>100</v>
      </c>
      <c r="E399" s="88">
        <v>62.5</v>
      </c>
      <c r="F399" s="643">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row>
    <row r="400" spans="1:17" ht="15" customHeight="1">
      <c r="A400" s="132"/>
      <c r="C400" s="176">
        <f>IF(初期登録!$B$10*12+初期登録!$D$10&lt;$A400,"",12)</f>
        <v>12</v>
      </c>
      <c r="D400" s="1037">
        <v>71.428571428571431</v>
      </c>
      <c r="E400" s="1038">
        <v>75</v>
      </c>
      <c r="F400" s="1039">
        <v>57.142857142857146</v>
      </c>
      <c r="G400" s="154">
        <f t="shared" si="36"/>
        <v>265.00000000000028</v>
      </c>
      <c r="H400" s="155">
        <f t="shared" si="37"/>
        <v>1043.75</v>
      </c>
      <c r="I400" s="157">
        <f t="shared" si="38"/>
        <v>210.6190476190479</v>
      </c>
      <c r="J400" s="1040">
        <f t="shared" si="44"/>
        <v>2265.0000000000005</v>
      </c>
      <c r="K400" s="155">
        <f t="shared" si="39"/>
        <v>1043.75</v>
      </c>
      <c r="L400" s="639">
        <f t="shared" si="45"/>
        <v>-289.38095238095207</v>
      </c>
      <c r="M400" s="120"/>
      <c r="N400" s="1258">
        <f t="shared" si="42"/>
        <v>50</v>
      </c>
      <c r="O400" s="179"/>
      <c r="P400" s="137">
        <f t="shared" si="43"/>
        <v>0</v>
      </c>
      <c r="Q400" s="579"/>
    </row>
    <row r="401" spans="1:17" ht="15" customHeight="1">
      <c r="A401" s="180"/>
      <c r="B401" s="998" t="s">
        <v>730</v>
      </c>
      <c r="C401" s="178">
        <f>IF(初期登録!$B$10*12+初期登録!$D$10&lt;$A401,"",1)</f>
        <v>1</v>
      </c>
      <c r="D401" s="1041">
        <v>92.857142857142861</v>
      </c>
      <c r="E401" s="1042">
        <v>87.5</v>
      </c>
      <c r="F401" s="1043">
        <v>42.857142857142854</v>
      </c>
      <c r="G401" s="1044">
        <f t="shared" si="36"/>
        <v>307.85714285714312</v>
      </c>
      <c r="H401" s="1045">
        <f t="shared" si="37"/>
        <v>1081.25</v>
      </c>
      <c r="I401" s="1046">
        <f t="shared" si="38"/>
        <v>203.47619047619077</v>
      </c>
      <c r="J401" s="633">
        <f t="shared" si="44"/>
        <v>2307.8571428571431</v>
      </c>
      <c r="K401" s="1045">
        <f t="shared" si="39"/>
        <v>1081.25</v>
      </c>
      <c r="L401" s="634">
        <f t="shared" si="45"/>
        <v>-296.52380952380923</v>
      </c>
      <c r="M401" s="188">
        <v>2012</v>
      </c>
      <c r="N401" s="171">
        <f t="shared" si="42"/>
        <v>50</v>
      </c>
      <c r="O401" s="134"/>
      <c r="P401" s="134">
        <f t="shared" si="43"/>
        <v>0</v>
      </c>
      <c r="Q401" s="159"/>
    </row>
    <row r="402" spans="1:17" ht="15" customHeight="1">
      <c r="A402" s="117"/>
      <c r="B402" s="185"/>
      <c r="C402" s="174">
        <f>IF(初期登録!$B$10*12+初期登録!$D$10&lt;$A402,"",2)</f>
        <v>2</v>
      </c>
      <c r="D402" s="642">
        <v>85.714285714285708</v>
      </c>
      <c r="E402" s="88">
        <v>75</v>
      </c>
      <c r="F402" s="643">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row>
    <row r="403" spans="1:17" ht="15" customHeight="1">
      <c r="A403" s="117"/>
      <c r="B403" s="185"/>
      <c r="C403" s="174">
        <f>IF(初期登録!$B$10*12+初期登録!$D$10&lt;$A403,"",3)</f>
        <v>3</v>
      </c>
      <c r="D403" s="642">
        <v>71.428571428571431</v>
      </c>
      <c r="E403" s="88">
        <v>75</v>
      </c>
      <c r="F403" s="643">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row>
    <row r="404" spans="1:17" ht="15" customHeight="1">
      <c r="A404" s="117"/>
      <c r="B404" s="185"/>
      <c r="C404" s="174">
        <f>IF(初期登録!$B$10*12+初期登録!$D$10&lt;$A404,"",4)</f>
        <v>4</v>
      </c>
      <c r="D404" s="642">
        <v>85.714285714285708</v>
      </c>
      <c r="E404" s="88">
        <v>75</v>
      </c>
      <c r="F404" s="643">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row>
    <row r="405" spans="1:17" ht="15" customHeight="1">
      <c r="A405" s="117"/>
      <c r="B405" s="185"/>
      <c r="C405" s="174">
        <f>IF(初期登録!$B$10*12+初期登録!$D$10&lt;$A405,"",5)</f>
        <v>5</v>
      </c>
      <c r="D405" s="642">
        <v>100</v>
      </c>
      <c r="E405" s="88">
        <v>75</v>
      </c>
      <c r="F405" s="643">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row>
    <row r="406" spans="1:17" ht="15" customHeight="1">
      <c r="A406" s="117"/>
      <c r="B406" s="185"/>
      <c r="C406" s="174">
        <f>IF(初期登録!$B$10*12+初期登録!$D$10&lt;$A406,"",6)</f>
        <v>6</v>
      </c>
      <c r="D406" s="642">
        <v>57.142857142857146</v>
      </c>
      <c r="E406" s="88">
        <v>37.5</v>
      </c>
      <c r="F406" s="643">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row>
    <row r="407" spans="1:17" ht="15" customHeight="1">
      <c r="A407" s="117"/>
      <c r="B407" s="185"/>
      <c r="C407" s="174">
        <f>IF(初期登録!$B$10*12+初期登録!$D$10&lt;$A407,"",7)</f>
        <v>7</v>
      </c>
      <c r="D407" s="642">
        <v>71.428571428571431</v>
      </c>
      <c r="E407" s="88">
        <v>62.5</v>
      </c>
      <c r="F407" s="643">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row>
    <row r="408" spans="1:17" ht="15" customHeight="1">
      <c r="A408" s="117"/>
      <c r="B408" s="185"/>
      <c r="C408" s="174">
        <f>IF(初期登録!$B$10*12+初期登録!$D$10&lt;$A408,"",8)</f>
        <v>8</v>
      </c>
      <c r="D408" s="642">
        <v>64.285714285714292</v>
      </c>
      <c r="E408" s="88">
        <v>25</v>
      </c>
      <c r="F408" s="643">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row>
    <row r="409" spans="1:17" ht="15" customHeight="1">
      <c r="A409" s="117"/>
      <c r="B409" s="185"/>
      <c r="C409" s="174">
        <f>IF(初期登録!$B$10*12+初期登録!$D$10&lt;$A409,"",9)</f>
        <v>9</v>
      </c>
      <c r="D409" s="642">
        <v>28.571428571428573</v>
      </c>
      <c r="E409" s="88">
        <v>37.5</v>
      </c>
      <c r="F409" s="643">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row>
    <row r="410" spans="1:17" ht="15" customHeight="1">
      <c r="A410" s="117"/>
      <c r="B410" s="185"/>
      <c r="C410" s="174">
        <f>IF(初期登録!$B$10*12+初期登録!$D$10&lt;$A410,"",10)</f>
        <v>10</v>
      </c>
      <c r="D410" s="642">
        <v>35.714285714285715</v>
      </c>
      <c r="E410" s="88">
        <v>12.5</v>
      </c>
      <c r="F410" s="643">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row>
    <row r="411" spans="1:17" ht="15" customHeight="1">
      <c r="A411" s="117"/>
      <c r="B411" s="185"/>
      <c r="C411" s="174">
        <f>IF(初期登録!$B$10*12+初期登録!$D$10&lt;$A411,"",11)</f>
        <v>11</v>
      </c>
      <c r="D411" s="642">
        <v>42.857142857142854</v>
      </c>
      <c r="E411" s="88">
        <v>12.5</v>
      </c>
      <c r="F411" s="643">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row>
    <row r="412" spans="1:17" ht="15" customHeight="1">
      <c r="A412" s="181"/>
      <c r="B412" s="186"/>
      <c r="C412" s="175">
        <f>IF(初期登録!$B$10*12+初期登録!$D$10&lt;$A412,"",12)</f>
        <v>12</v>
      </c>
      <c r="D412" s="1037">
        <v>14.285714285714286</v>
      </c>
      <c r="E412" s="1038">
        <v>37.5</v>
      </c>
      <c r="F412" s="1039">
        <v>57.142857142857146</v>
      </c>
      <c r="G412" s="154">
        <f t="shared" si="36"/>
        <v>415.00000000000028</v>
      </c>
      <c r="H412" s="155">
        <f t="shared" si="37"/>
        <v>1056.25</v>
      </c>
      <c r="I412" s="157">
        <f t="shared" si="38"/>
        <v>296.33333333333371</v>
      </c>
      <c r="J412" s="1040">
        <f t="shared" si="44"/>
        <v>2415.0000000000005</v>
      </c>
      <c r="K412" s="155">
        <f t="shared" si="39"/>
        <v>1056.25</v>
      </c>
      <c r="L412" s="639">
        <f t="shared" si="45"/>
        <v>-203.66666666666629</v>
      </c>
      <c r="M412" s="189"/>
      <c r="N412" s="182">
        <f t="shared" si="42"/>
        <v>50</v>
      </c>
      <c r="O412" s="137"/>
      <c r="P412" s="137">
        <f t="shared" si="43"/>
        <v>0</v>
      </c>
      <c r="Q412" s="138"/>
    </row>
    <row r="413" spans="1:17" ht="15" customHeight="1">
      <c r="A413" s="180"/>
      <c r="B413" s="184">
        <v>25</v>
      </c>
      <c r="C413" s="178">
        <f>IF(初期登録!$B$10*12+初期登録!$D$10&lt;$A413,"",1)</f>
        <v>1</v>
      </c>
      <c r="D413" s="1041">
        <v>42.857142857142854</v>
      </c>
      <c r="E413" s="1042">
        <v>50</v>
      </c>
      <c r="F413" s="1043">
        <v>14.285714285714286</v>
      </c>
      <c r="G413" s="1044">
        <f t="shared" si="36"/>
        <v>407.85714285714312</v>
      </c>
      <c r="H413" s="1045">
        <f t="shared" si="37"/>
        <v>1056.25</v>
      </c>
      <c r="I413" s="1046">
        <f t="shared" si="38"/>
        <v>260.61904761904799</v>
      </c>
      <c r="J413" s="633">
        <f t="shared" si="44"/>
        <v>2407.8571428571431</v>
      </c>
      <c r="K413" s="1045">
        <f t="shared" si="39"/>
        <v>1056.25</v>
      </c>
      <c r="L413" s="634">
        <f t="shared" si="45"/>
        <v>-239.38095238095201</v>
      </c>
      <c r="M413" s="188">
        <v>2013</v>
      </c>
      <c r="N413" s="171">
        <f t="shared" si="42"/>
        <v>50</v>
      </c>
      <c r="O413" s="134"/>
      <c r="P413" s="134">
        <f t="shared" si="43"/>
        <v>0</v>
      </c>
      <c r="Q413" s="159"/>
    </row>
    <row r="414" spans="1:17" ht="15" customHeight="1">
      <c r="A414" s="117"/>
      <c r="B414" s="185"/>
      <c r="C414" s="174">
        <f>IF(初期登録!$B$10*12+初期登録!$D$10&lt;$A414,"",2)</f>
        <v>2</v>
      </c>
      <c r="D414" s="642">
        <v>57.142857142857146</v>
      </c>
      <c r="E414" s="88">
        <v>50</v>
      </c>
      <c r="F414" s="643">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row>
    <row r="415" spans="1:17" ht="15" customHeight="1">
      <c r="A415" s="117"/>
      <c r="B415" s="185"/>
      <c r="C415" s="174">
        <f>IF(初期登録!$B$10*12+初期登録!$D$10&lt;$A415,"",3)</f>
        <v>3</v>
      </c>
      <c r="D415" s="642">
        <v>57.142857142857146</v>
      </c>
      <c r="E415" s="88">
        <v>62.5</v>
      </c>
      <c r="F415" s="643">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row>
    <row r="416" spans="1:17" ht="15" customHeight="1">
      <c r="A416" s="117"/>
      <c r="B416" s="185"/>
      <c r="C416" s="174">
        <f>IF(初期登録!$B$10*12+初期登録!$D$10&lt;$A416,"",4)</f>
        <v>4</v>
      </c>
      <c r="D416" s="642">
        <v>28.571428571428573</v>
      </c>
      <c r="E416" s="88">
        <v>62.5</v>
      </c>
      <c r="F416" s="643">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row>
    <row r="417" spans="1:17" ht="15" customHeight="1">
      <c r="A417" s="117"/>
      <c r="B417" s="185"/>
      <c r="C417" s="174">
        <f>IF(初期登録!$B$10*12+初期登録!$D$10&lt;$A417,"",5)</f>
        <v>5</v>
      </c>
      <c r="D417" s="642">
        <v>71.428571428571431</v>
      </c>
      <c r="E417" s="88">
        <v>50</v>
      </c>
      <c r="F417" s="643">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row>
    <row r="418" spans="1:17" ht="15" customHeight="1">
      <c r="A418" s="117"/>
      <c r="B418" s="185"/>
      <c r="C418" s="174">
        <f>IF(初期登録!$B$10*12+初期登録!$D$10&lt;$A418,"",6)</f>
        <v>6</v>
      </c>
      <c r="D418" s="642">
        <v>57.142857142857146</v>
      </c>
      <c r="E418" s="88">
        <v>62.5</v>
      </c>
      <c r="F418" s="643">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row>
    <row r="419" spans="1:17" ht="15" customHeight="1">
      <c r="A419" s="117"/>
      <c r="B419" s="185"/>
      <c r="C419" s="174">
        <f>IF(初期登録!$B$10*12+初期登録!$D$10&lt;$A419,"",7)</f>
        <v>7</v>
      </c>
      <c r="D419" s="642">
        <v>35.714285714285715</v>
      </c>
      <c r="E419" s="88">
        <v>75</v>
      </c>
      <c r="F419" s="643">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row>
    <row r="420" spans="1:17" ht="15" customHeight="1">
      <c r="A420" s="117"/>
      <c r="B420" s="185"/>
      <c r="C420" s="174">
        <f>IF(初期登録!$B$10*12+初期登録!$D$10&lt;$A420,"",8)</f>
        <v>8</v>
      </c>
      <c r="D420" s="642">
        <v>57.142857142857146</v>
      </c>
      <c r="E420" s="88">
        <v>50</v>
      </c>
      <c r="F420" s="643">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row>
    <row r="421" spans="1:17" ht="15" customHeight="1">
      <c r="A421" s="117"/>
      <c r="B421" s="185"/>
      <c r="C421" s="174">
        <f>IF(初期登録!$B$10*12+初期登録!$D$10&lt;$A421,"",9)</f>
        <v>9</v>
      </c>
      <c r="D421" s="642">
        <v>78.571428571428569</v>
      </c>
      <c r="E421" s="88">
        <v>100</v>
      </c>
      <c r="F421" s="643">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row>
    <row r="422" spans="1:17" ht="15" customHeight="1">
      <c r="A422" s="117"/>
      <c r="B422" s="185"/>
      <c r="C422" s="174">
        <f>IF(初期登録!$B$10*12+初期登録!$D$10&lt;$A422,"",10)</f>
        <v>10</v>
      </c>
      <c r="D422" s="642">
        <v>42.857142857142854</v>
      </c>
      <c r="E422" s="88">
        <v>75</v>
      </c>
      <c r="F422" s="643">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row>
    <row r="423" spans="1:17" ht="15" customHeight="1">
      <c r="A423" s="117"/>
      <c r="B423" s="185"/>
      <c r="C423" s="174">
        <f>IF(初期登録!$B$10*12+初期登録!$D$10&lt;$A423,"",11)</f>
        <v>11</v>
      </c>
      <c r="D423" s="642">
        <v>57.142857142857146</v>
      </c>
      <c r="E423" s="88">
        <v>62.5</v>
      </c>
      <c r="F423" s="643">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row>
    <row r="424" spans="1:17" ht="15" customHeight="1">
      <c r="A424" s="117"/>
      <c r="B424" s="186"/>
      <c r="C424" s="175">
        <f>IF(初期登録!$B$10*12+初期登録!$D$10&lt;$A424,"",12)</f>
        <v>12</v>
      </c>
      <c r="D424" s="644">
        <v>57.142857142857146</v>
      </c>
      <c r="E424" s="92">
        <v>62.5</v>
      </c>
      <c r="F424" s="93">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row>
    <row r="425" spans="1:17" ht="15" customHeight="1">
      <c r="A425" s="180"/>
      <c r="B425" s="1123">
        <v>26</v>
      </c>
      <c r="C425" s="1124">
        <f>IF(初期登録!$B$10*12+初期登録!$D$10&lt;$A425,"",1)</f>
        <v>1</v>
      </c>
      <c r="D425" s="1116">
        <v>42.857142857142854</v>
      </c>
      <c r="E425" s="1117">
        <v>62.5</v>
      </c>
      <c r="F425" s="1118">
        <v>71.428571428571431</v>
      </c>
      <c r="G425" s="1119">
        <f t="shared" si="46"/>
        <v>450.71428571428606</v>
      </c>
      <c r="H425" s="1120">
        <f t="shared" si="47"/>
        <v>1231.25</v>
      </c>
      <c r="I425" s="1121">
        <f t="shared" si="48"/>
        <v>532.04761904761949</v>
      </c>
      <c r="J425" s="1122">
        <f t="shared" si="44"/>
        <v>2450.7142857142862</v>
      </c>
      <c r="K425" s="1120">
        <f t="shared" si="49"/>
        <v>1231.25</v>
      </c>
      <c r="L425" s="632">
        <f t="shared" si="45"/>
        <v>32.047619047619492</v>
      </c>
      <c r="M425" s="188">
        <v>2014</v>
      </c>
      <c r="N425" s="171">
        <f>IF(C412="",NA(),50)</f>
        <v>50</v>
      </c>
      <c r="O425" s="134"/>
      <c r="P425" s="134">
        <f>IF(C412="",NA(),0)</f>
        <v>0</v>
      </c>
      <c r="Q425" s="159"/>
    </row>
    <row r="426" spans="1:17" ht="15" customHeight="1">
      <c r="A426" s="117"/>
      <c r="B426" s="185"/>
      <c r="C426" s="174">
        <f>IF(初期登録!$B$10*12+初期登録!$D$10&lt;$A426,"",2)</f>
        <v>2</v>
      </c>
      <c r="D426" s="642">
        <v>35.714285714285715</v>
      </c>
      <c r="E426" s="88">
        <v>75</v>
      </c>
      <c r="F426" s="643">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row>
    <row r="427" spans="1:17" ht="15" customHeight="1">
      <c r="A427" s="117"/>
      <c r="B427" s="185"/>
      <c r="C427" s="174">
        <f>IF(初期登録!$B$10*12+初期登録!$D$10&lt;$A427,"",3)</f>
        <v>3</v>
      </c>
      <c r="D427" s="642">
        <v>35.714285714285715</v>
      </c>
      <c r="E427" s="88">
        <v>50</v>
      </c>
      <c r="F427" s="643">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row>
    <row r="428" spans="1:17" ht="15" customHeight="1">
      <c r="A428" s="117"/>
      <c r="B428" s="185"/>
      <c r="C428" s="174">
        <f>IF(初期登録!$B$10*12+初期登録!$D$10&lt;$A428,"",4)</f>
        <v>4</v>
      </c>
      <c r="D428" s="642">
        <v>21.428571428571427</v>
      </c>
      <c r="E428" s="88">
        <v>37.5</v>
      </c>
      <c r="F428" s="643">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row>
    <row r="429" spans="1:17" ht="15" customHeight="1">
      <c r="A429" s="117"/>
      <c r="B429" s="185"/>
      <c r="C429" s="174">
        <f>IF(初期登録!$B$10*12+初期登録!$D$10&lt;$A429,"",5)</f>
        <v>5</v>
      </c>
      <c r="D429" s="642">
        <v>28.571428571428573</v>
      </c>
      <c r="E429" s="88">
        <v>43.75</v>
      </c>
      <c r="F429" s="643">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row>
    <row r="430" spans="1:17" ht="15" customHeight="1">
      <c r="A430" s="117"/>
      <c r="B430" s="185"/>
      <c r="C430" s="174">
        <f>IF(初期登録!$B$10*12+初期登録!$D$10&lt;$A430,"",6)</f>
        <v>6</v>
      </c>
      <c r="D430" s="642">
        <v>28.571428571428573</v>
      </c>
      <c r="E430" s="88">
        <v>75</v>
      </c>
      <c r="F430" s="643">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row>
    <row r="431" spans="1:17" ht="15" customHeight="1">
      <c r="A431" s="117"/>
      <c r="B431" s="185"/>
      <c r="C431" s="174">
        <f>IF(初期登録!$B$10*12+初期登録!$D$10&lt;$A431,"",7)</f>
        <v>7</v>
      </c>
      <c r="D431" s="642">
        <v>14.285714285714286</v>
      </c>
      <c r="E431" s="88">
        <v>37.5</v>
      </c>
      <c r="F431" s="643">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row>
    <row r="432" spans="1:17" ht="15" customHeight="1">
      <c r="A432" s="117"/>
      <c r="B432" s="185"/>
      <c r="C432" s="174">
        <f>IF(初期登録!$B$10*12+初期登録!$D$10&lt;$A432,"",8)</f>
        <v>8</v>
      </c>
      <c r="D432" s="642">
        <v>28.571428571428573</v>
      </c>
      <c r="E432" s="88">
        <v>12.5</v>
      </c>
      <c r="F432" s="643">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row>
    <row r="433" spans="1:17" ht="15" customHeight="1">
      <c r="A433" s="117"/>
      <c r="B433" s="185"/>
      <c r="C433" s="174">
        <f>IF(初期登録!$B$10*12+初期登録!$D$10&lt;$A433,"",9)</f>
        <v>9</v>
      </c>
      <c r="D433" s="642">
        <v>57.142857142857146</v>
      </c>
      <c r="E433" s="88">
        <v>87.5</v>
      </c>
      <c r="F433" s="643">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row>
    <row r="434" spans="1:17" ht="15" customHeight="1">
      <c r="A434" s="117"/>
      <c r="B434" s="185"/>
      <c r="C434" s="174">
        <f>IF(初期登録!$B$10*12+初期登録!$D$10&lt;$A434,"",10)</f>
        <v>10</v>
      </c>
      <c r="D434" s="642">
        <v>64.285714285714292</v>
      </c>
      <c r="E434" s="88">
        <v>62.5</v>
      </c>
      <c r="F434" s="643">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row>
    <row r="435" spans="1:17" ht="15" customHeight="1">
      <c r="A435" s="117"/>
      <c r="B435" s="185"/>
      <c r="C435" s="174">
        <f>IF(初期登録!$B$10*12+初期登録!$D$10&lt;$A435,"",11)</f>
        <v>11</v>
      </c>
      <c r="D435" s="642">
        <v>71.428571428571431</v>
      </c>
      <c r="E435" s="88">
        <v>50</v>
      </c>
      <c r="F435" s="643">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row>
    <row r="436" spans="1:17" ht="15" customHeight="1">
      <c r="A436" s="117"/>
      <c r="B436" s="186"/>
      <c r="C436" s="175">
        <f>IF(初期登録!$B$10*12+初期登録!$D$10&lt;$A436,"",12)</f>
        <v>12</v>
      </c>
      <c r="D436" s="644">
        <v>85.714285714285708</v>
      </c>
      <c r="E436" s="92">
        <v>37.5</v>
      </c>
      <c r="F436" s="93">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row>
    <row r="437" spans="1:17" ht="15" customHeight="1">
      <c r="A437" s="180"/>
      <c r="B437" s="184">
        <v>27</v>
      </c>
      <c r="C437" s="178">
        <f>IF(初期登録!$B$10*12+初期登録!$D$10&lt;$A437,"",1)</f>
        <v>1</v>
      </c>
      <c r="D437" s="1116">
        <v>64.285714285714292</v>
      </c>
      <c r="E437" s="1117">
        <v>100</v>
      </c>
      <c r="F437" s="1118">
        <v>28.571428571428573</v>
      </c>
      <c r="G437" s="1119">
        <f t="shared" si="46"/>
        <v>386.42857142857179</v>
      </c>
      <c r="H437" s="1120">
        <f t="shared" si="47"/>
        <v>1300</v>
      </c>
      <c r="I437" s="1121">
        <f t="shared" si="48"/>
        <v>582.04761904761949</v>
      </c>
      <c r="J437" s="1122">
        <f t="shared" si="44"/>
        <v>2386.4285714285716</v>
      </c>
      <c r="K437" s="1120">
        <f t="shared" si="49"/>
        <v>1300</v>
      </c>
      <c r="L437" s="632">
        <f t="shared" si="45"/>
        <v>82.047619047619492</v>
      </c>
      <c r="M437" s="188">
        <v>2015</v>
      </c>
      <c r="N437" s="171">
        <f>IF(C424="",NA(),50)</f>
        <v>50</v>
      </c>
      <c r="O437" s="134"/>
      <c r="P437" s="134">
        <f>IF(C424="",NA(),0)</f>
        <v>0</v>
      </c>
      <c r="Q437" s="159"/>
    </row>
    <row r="438" spans="1:17" ht="15" customHeight="1">
      <c r="A438" s="117"/>
      <c r="B438" s="185"/>
      <c r="C438" s="174">
        <f>IF(初期登録!$B$10*12+初期登録!$D$10&lt;$A438,"",2)</f>
        <v>2</v>
      </c>
      <c r="D438" s="642">
        <v>50</v>
      </c>
      <c r="E438" s="88">
        <v>50</v>
      </c>
      <c r="F438" s="643">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row>
    <row r="439" spans="1:17" ht="15" customHeight="1">
      <c r="A439" s="117"/>
      <c r="B439" s="185"/>
      <c r="C439" s="174">
        <f>IF(初期登録!$B$10*12+初期登録!$D$10&lt;$A439,"",3)</f>
        <v>3</v>
      </c>
      <c r="D439" s="642">
        <v>14.285714285714286</v>
      </c>
      <c r="E439" s="88">
        <v>62.5</v>
      </c>
      <c r="F439" s="643">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row>
    <row r="440" spans="1:17" ht="15" customHeight="1">
      <c r="A440" s="117"/>
      <c r="B440" s="185"/>
      <c r="C440" s="174">
        <f>IF(初期登録!$B$10*12+初期登録!$D$10&lt;$A440,"",4)</f>
        <v>4</v>
      </c>
      <c r="D440" s="642">
        <v>28.571428571428573</v>
      </c>
      <c r="E440" s="88">
        <v>50</v>
      </c>
      <c r="F440" s="643">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row>
    <row r="441" spans="1:17" ht="15" customHeight="1">
      <c r="A441" s="117"/>
      <c r="B441" s="185"/>
      <c r="C441" s="174">
        <f>IF(初期登録!$B$10*12+初期登録!$D$10&lt;$A441,"",5)</f>
        <v>5</v>
      </c>
      <c r="D441" s="642">
        <v>28.571428571428573</v>
      </c>
      <c r="E441" s="88">
        <v>75</v>
      </c>
      <c r="F441" s="643">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row>
    <row r="442" spans="1:17" ht="15" customHeight="1">
      <c r="A442" s="117"/>
      <c r="B442" s="185"/>
      <c r="C442" s="174">
        <f>IF(初期登録!$B$10*12+初期登録!$D$10&lt;$A442,"",6)</f>
        <v>6</v>
      </c>
      <c r="D442" s="642">
        <v>42.857142857142854</v>
      </c>
      <c r="E442" s="88">
        <v>12.5</v>
      </c>
      <c r="F442" s="643">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row>
    <row r="443" spans="1:17" ht="15" customHeight="1">
      <c r="A443" s="117"/>
      <c r="B443" s="185"/>
      <c r="C443" s="174">
        <f>IF(初期登録!$B$10*12+初期登録!$D$10&lt;$A443,"",7)</f>
        <v>7</v>
      </c>
      <c r="D443" s="642">
        <v>57.142857142857146</v>
      </c>
      <c r="E443" s="88">
        <v>50</v>
      </c>
      <c r="F443" s="643">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row>
    <row r="444" spans="1:17" ht="15" customHeight="1">
      <c r="A444" s="117"/>
      <c r="B444" s="185"/>
      <c r="C444" s="174">
        <f>IF(初期登録!$B$10*12+初期登録!$D$10&lt;$A444,"",8)</f>
        <v>8</v>
      </c>
      <c r="D444" s="642">
        <v>42.857142857142854</v>
      </c>
      <c r="E444" s="88">
        <v>50</v>
      </c>
      <c r="F444" s="643">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row>
    <row r="445" spans="1:17" ht="15" customHeight="1">
      <c r="A445" s="117"/>
      <c r="B445" s="185"/>
      <c r="C445" s="174">
        <f>IF(初期登録!$B$10*12+初期登録!$D$10&lt;$A445,"",9)</f>
        <v>9</v>
      </c>
      <c r="D445" s="642">
        <v>42.857142857142854</v>
      </c>
      <c r="E445" s="88">
        <v>25</v>
      </c>
      <c r="F445" s="643">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row>
    <row r="446" spans="1:17" ht="15" customHeight="1">
      <c r="A446" s="117"/>
      <c r="B446" s="185"/>
      <c r="C446" s="174">
        <f>IF(初期登録!$B$10*12+初期登録!$D$10&lt;$A446,"",10)</f>
        <v>10</v>
      </c>
      <c r="D446" s="642">
        <v>14.285714285714286</v>
      </c>
      <c r="E446" s="88">
        <v>25</v>
      </c>
      <c r="F446" s="643">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row>
    <row r="447" spans="1:17" ht="15" customHeight="1">
      <c r="A447" s="117"/>
      <c r="B447" s="185"/>
      <c r="C447" s="174">
        <f>IF(初期登録!$B$10*12+初期登録!$D$10&lt;$A447,"",11)</f>
        <v>11</v>
      </c>
      <c r="D447" s="642">
        <v>14.285714285714286</v>
      </c>
      <c r="E447" s="88">
        <v>37.5</v>
      </c>
      <c r="F447" s="643">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row>
    <row r="448" spans="1:17" ht="15" customHeight="1">
      <c r="A448" s="117"/>
      <c r="B448" s="186"/>
      <c r="C448" s="175">
        <f>IF(初期登録!$B$10*12+初期登録!$D$10&lt;$A448,"",12)</f>
        <v>12</v>
      </c>
      <c r="D448" s="644">
        <v>28.571428571428573</v>
      </c>
      <c r="E448" s="92">
        <v>25</v>
      </c>
      <c r="F448" s="93">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row>
    <row r="449" spans="1:17" ht="15" customHeight="1">
      <c r="A449" s="180"/>
      <c r="B449" s="1123">
        <v>28</v>
      </c>
      <c r="C449" s="1124">
        <f>IF(初期登録!$B$10*12+初期登録!$D$10&lt;$A449,"",1)</f>
        <v>1</v>
      </c>
      <c r="D449" s="1116">
        <v>14.285714285714286</v>
      </c>
      <c r="E449" s="1117">
        <v>25</v>
      </c>
      <c r="F449" s="1118">
        <v>71.428571428571431</v>
      </c>
      <c r="G449" s="1119">
        <f t="shared" si="46"/>
        <v>165.00000000000026</v>
      </c>
      <c r="H449" s="1120">
        <f t="shared" si="47"/>
        <v>1187.5</v>
      </c>
      <c r="I449" s="1121">
        <f t="shared" si="48"/>
        <v>524.90476190476227</v>
      </c>
      <c r="J449" s="1122">
        <f t="shared" si="44"/>
        <v>2165.0000000000005</v>
      </c>
      <c r="K449" s="1120">
        <f t="shared" si="49"/>
        <v>1187.5</v>
      </c>
      <c r="L449" s="632">
        <f t="shared" si="45"/>
        <v>24.904761904762267</v>
      </c>
      <c r="M449" s="188">
        <v>2016</v>
      </c>
      <c r="N449" s="171">
        <f>IF(C424="",NA(),50)</f>
        <v>50</v>
      </c>
      <c r="O449" s="134"/>
      <c r="P449" s="134">
        <f>IF(C424="",NA(),0)</f>
        <v>0</v>
      </c>
      <c r="Q449" s="159"/>
    </row>
    <row r="450" spans="1:17" ht="15" customHeight="1">
      <c r="B450" s="185"/>
      <c r="C450" s="174">
        <f>IF(初期登録!$B$10*12+初期登録!$D$10&lt;$A450,"",2)</f>
        <v>2</v>
      </c>
      <c r="D450" s="642">
        <v>35.714285714285715</v>
      </c>
      <c r="E450" s="88">
        <v>50</v>
      </c>
      <c r="F450" s="643">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row>
    <row r="451" spans="1:17" ht="15" customHeight="1">
      <c r="B451" s="185"/>
      <c r="C451" s="174">
        <f>IF(初期登録!$B$10*12+初期登録!$D$10&lt;$A451,"",3)</f>
        <v>3</v>
      </c>
      <c r="D451" s="642">
        <v>28.571428571428573</v>
      </c>
      <c r="E451" s="88">
        <v>50</v>
      </c>
      <c r="F451" s="643">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row>
    <row r="452" spans="1:17">
      <c r="B452" s="185"/>
      <c r="C452" s="174">
        <f>IF(初期登録!$B$10*12+初期登録!$D$10&lt;$A452,"",4)</f>
        <v>4</v>
      </c>
      <c r="D452" s="642">
        <v>42.857142857142854</v>
      </c>
      <c r="E452" s="88">
        <v>62.5</v>
      </c>
      <c r="F452" s="643">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row>
    <row r="453" spans="1:17">
      <c r="B453" s="185"/>
      <c r="C453" s="174">
        <f>IF(初期登録!$B$10*12+初期登録!$D$10&lt;$A453,"",5)</f>
        <v>5</v>
      </c>
      <c r="D453" s="642">
        <v>57.142857142857146</v>
      </c>
      <c r="E453" s="88">
        <v>31.25</v>
      </c>
      <c r="F453" s="643">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row>
    <row r="454" spans="1:17">
      <c r="B454" s="185"/>
      <c r="C454" s="174">
        <f>IF(初期登録!$B$10*12+初期登録!$D$10&lt;$A454,"",6)</f>
        <v>6</v>
      </c>
      <c r="D454" s="642">
        <v>28.571428571428573</v>
      </c>
      <c r="E454" s="88">
        <v>25</v>
      </c>
      <c r="F454" s="643">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row>
    <row r="455" spans="1:17">
      <c r="B455" s="185"/>
      <c r="C455" s="174">
        <f>IF(初期登録!$B$10*12+初期登録!$D$10&lt;$A455,"",7)</f>
        <v>7</v>
      </c>
      <c r="D455" s="642">
        <v>28.571428571428573</v>
      </c>
      <c r="E455" s="88">
        <v>37.5</v>
      </c>
      <c r="F455" s="643">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row>
    <row r="456" spans="1:17">
      <c r="B456" s="185"/>
      <c r="C456" s="174">
        <f>IF(初期登録!$B$10*12+初期登録!$D$10&lt;$A456,"",8)</f>
        <v>8</v>
      </c>
      <c r="D456" s="642">
        <v>57.142857142857146</v>
      </c>
      <c r="E456" s="88">
        <v>25</v>
      </c>
      <c r="F456" s="643">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row>
    <row r="457" spans="1:17">
      <c r="B457" s="185"/>
      <c r="C457" s="174">
        <f>IF(初期登録!$B$10*12+初期登録!$D$10&lt;$A457,"",9)</f>
        <v>9</v>
      </c>
      <c r="D457" s="642">
        <v>42.857142857142854</v>
      </c>
      <c r="E457" s="88">
        <v>87.5</v>
      </c>
      <c r="F457" s="643">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row>
    <row r="458" spans="1:17">
      <c r="B458" s="185"/>
      <c r="C458" s="174">
        <f>IF(初期登録!$B$10*12+初期登録!$D$10&lt;$A458,"",10)</f>
        <v>10</v>
      </c>
      <c r="D458" s="642">
        <v>28.571428571428573</v>
      </c>
      <c r="E458" s="88">
        <v>87.5</v>
      </c>
      <c r="F458" s="643">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row>
    <row r="459" spans="1:17">
      <c r="B459" s="185"/>
      <c r="C459" s="174">
        <f>IF(初期登録!$B$10*12+初期登録!$D$10&lt;$A459,"",11)</f>
        <v>11</v>
      </c>
      <c r="D459" s="642">
        <v>71.428571428571431</v>
      </c>
      <c r="E459" s="88">
        <v>87.5</v>
      </c>
      <c r="F459" s="643">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row>
    <row r="460" spans="1:17">
      <c r="B460" s="186"/>
      <c r="C460" s="175">
        <f>IF(初期登録!$B$10*12+初期登録!$D$10&lt;$A460,"",12)</f>
        <v>12</v>
      </c>
      <c r="D460" s="644">
        <v>71.428571428571431</v>
      </c>
      <c r="E460" s="92">
        <v>100</v>
      </c>
      <c r="F460" s="93">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row>
    <row r="461" spans="1:17" ht="15" customHeight="1">
      <c r="A461" s="180"/>
      <c r="B461" s="1123">
        <v>29</v>
      </c>
      <c r="C461" s="1124">
        <f>IF(初期登録!$B$10*12+初期登録!$D$10&lt;$A461,"",1)</f>
        <v>1</v>
      </c>
      <c r="D461" s="1116">
        <v>71.428571428571431</v>
      </c>
      <c r="E461" s="1117">
        <v>100</v>
      </c>
      <c r="F461" s="1118">
        <v>71.428571428571431</v>
      </c>
      <c r="G461" s="1119">
        <f t="shared" si="46"/>
        <v>129.28571428571456</v>
      </c>
      <c r="H461" s="1120">
        <f t="shared" si="47"/>
        <v>1331.25</v>
      </c>
      <c r="I461" s="1121">
        <f t="shared" si="48"/>
        <v>524.90476190476215</v>
      </c>
      <c r="J461" s="1122">
        <f t="shared" si="56"/>
        <v>2129.2857142857147</v>
      </c>
      <c r="K461" s="1120">
        <f t="shared" si="49"/>
        <v>1331.25</v>
      </c>
      <c r="L461" s="632">
        <f t="shared" si="57"/>
        <v>24.904761904762154</v>
      </c>
      <c r="M461" s="188">
        <v>2017</v>
      </c>
      <c r="N461" s="183">
        <f t="shared" ref="N461:N532" si="58">IF(C460="",NA(),50)</f>
        <v>50</v>
      </c>
      <c r="O461" s="146"/>
      <c r="P461" s="146">
        <f t="shared" ref="P461:P532" si="59">IF(C460="",NA(),0)</f>
        <v>0</v>
      </c>
      <c r="Q461" s="159"/>
    </row>
    <row r="462" spans="1:17" ht="15" customHeight="1">
      <c r="B462" s="185"/>
      <c r="C462" s="174">
        <f>IF(初期登録!$B$10*12+初期登録!$D$10&lt;$A462,"",2)</f>
        <v>2</v>
      </c>
      <c r="D462" s="642">
        <v>57.142857142857146</v>
      </c>
      <c r="E462" s="88">
        <v>75</v>
      </c>
      <c r="F462" s="643">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row>
    <row r="463" spans="1:17" ht="15" customHeight="1">
      <c r="B463" s="185"/>
      <c r="C463" s="174">
        <f>IF(初期登録!$B$10*12+初期登録!$D$10&lt;$A463,"",3)</f>
        <v>3</v>
      </c>
      <c r="D463" s="642">
        <v>42.857142857142854</v>
      </c>
      <c r="E463" s="88">
        <v>87.5</v>
      </c>
      <c r="F463" s="643">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row>
    <row r="464" spans="1:17">
      <c r="B464" s="185"/>
      <c r="C464" s="174">
        <f>IF(初期登録!$B$10*12+初期登録!$D$10&lt;$A464,"",4)</f>
        <v>4</v>
      </c>
      <c r="D464" s="642">
        <v>64.285714285714292</v>
      </c>
      <c r="E464" s="88">
        <v>87.5</v>
      </c>
      <c r="F464" s="643">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row>
    <row r="465" spans="1:17">
      <c r="B465" s="185"/>
      <c r="C465" s="174">
        <f>IF(初期登録!$B$10*12+初期登録!$D$10&lt;$A465,"",5)</f>
        <v>5</v>
      </c>
      <c r="D465" s="642">
        <v>28.571428571428573</v>
      </c>
      <c r="E465" s="88">
        <v>75</v>
      </c>
      <c r="F465" s="643">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row>
    <row r="466" spans="1:17">
      <c r="B466" s="185"/>
      <c r="C466" s="174">
        <f>IF(初期登録!$B$10*12+初期登録!$D$10&lt;$A466,"",6)</f>
        <v>6</v>
      </c>
      <c r="D466" s="642">
        <v>50</v>
      </c>
      <c r="E466" s="88">
        <v>87.5</v>
      </c>
      <c r="F466" s="643">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row>
    <row r="467" spans="1:17">
      <c r="B467" s="185"/>
      <c r="C467" s="174">
        <f>IF(初期登録!$B$10*12+初期登録!$D$10&lt;$A467,"",7)</f>
        <v>7</v>
      </c>
      <c r="D467" s="642">
        <v>57.142857142857146</v>
      </c>
      <c r="E467" s="88">
        <v>87.5</v>
      </c>
      <c r="F467" s="643">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row>
    <row r="468" spans="1:17">
      <c r="B468" s="185"/>
      <c r="C468" s="174">
        <f>IF(初期登録!$B$10*12+初期登録!$D$10&lt;$A468,"",8)</f>
        <v>8</v>
      </c>
      <c r="D468" s="642">
        <v>42.857142857142854</v>
      </c>
      <c r="E468" s="88">
        <v>62.5</v>
      </c>
      <c r="F468" s="643">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row>
    <row r="469" spans="1:17">
      <c r="B469" s="185"/>
      <c r="C469" s="174">
        <f>IF(初期登録!$B$10*12+初期登録!$D$10&lt;$A469,"",9)</f>
        <v>9</v>
      </c>
      <c r="D469" s="642">
        <v>28.571428571428573</v>
      </c>
      <c r="E469" s="88">
        <v>31.25</v>
      </c>
      <c r="F469" s="643">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row>
    <row r="470" spans="1:17">
      <c r="B470" s="185"/>
      <c r="C470" s="174">
        <f>IF(初期登録!$B$10*12+初期登録!$D$10&lt;$A470,"",10)</f>
        <v>10</v>
      </c>
      <c r="D470" s="642">
        <v>14.285714285714286</v>
      </c>
      <c r="E470" s="88">
        <v>43.75</v>
      </c>
      <c r="F470" s="643">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row>
    <row r="471" spans="1:17">
      <c r="B471" s="185"/>
      <c r="C471" s="174">
        <f>IF(初期登録!$B$10*12+初期登録!$D$10&lt;$A471,"",11)</f>
        <v>11</v>
      </c>
      <c r="D471" s="642">
        <v>28.571428571428573</v>
      </c>
      <c r="E471" s="88">
        <v>75</v>
      </c>
      <c r="F471" s="643">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row>
    <row r="472" spans="1:17">
      <c r="B472" s="186"/>
      <c r="C472" s="175">
        <f>IF(初期登録!$B$10*12+初期登録!$D$10&lt;$A472,"",12)</f>
        <v>12</v>
      </c>
      <c r="D472" s="644">
        <v>28.571428571428573</v>
      </c>
      <c r="E472" s="92">
        <v>75</v>
      </c>
      <c r="F472" s="93">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row>
    <row r="473" spans="1:17" ht="15" customHeight="1">
      <c r="A473" s="180"/>
      <c r="B473" s="1123">
        <v>30</v>
      </c>
      <c r="C473" s="1124">
        <f>IF(初期登録!$B$10*12+初期登録!$D$10&lt;$A473,"",1)</f>
        <v>1</v>
      </c>
      <c r="D473" s="1116">
        <v>71.428571428571431</v>
      </c>
      <c r="E473" s="1117">
        <v>75</v>
      </c>
      <c r="F473" s="1118">
        <v>50</v>
      </c>
      <c r="G473" s="1119">
        <f t="shared" ref="G473:G484" si="60">D473-50+G472</f>
        <v>43.571428571428854</v>
      </c>
      <c r="H473" s="1120">
        <f t="shared" ref="H473:H484" si="61">E473-50+H472</f>
        <v>1593.75</v>
      </c>
      <c r="I473" s="1121">
        <f t="shared" ref="I473:I484" si="62">F473-50+I472</f>
        <v>603.4761904761906</v>
      </c>
      <c r="J473" s="1122">
        <f t="shared" si="56"/>
        <v>2043.5714285714289</v>
      </c>
      <c r="K473" s="1120">
        <f t="shared" ref="K473:K484" si="63">IF(E473="",NA,H473)</f>
        <v>1593.75</v>
      </c>
      <c r="L473" s="632">
        <f t="shared" si="57"/>
        <v>103.4761904761906</v>
      </c>
      <c r="M473" s="188">
        <v>2018</v>
      </c>
      <c r="N473" s="183">
        <f t="shared" si="58"/>
        <v>50</v>
      </c>
      <c r="O473" s="146"/>
      <c r="P473" s="146">
        <f t="shared" si="59"/>
        <v>0</v>
      </c>
      <c r="Q473" s="159"/>
    </row>
    <row r="474" spans="1:17" ht="15" customHeight="1">
      <c r="B474" s="185"/>
      <c r="C474" s="174">
        <f>IF(初期登録!$B$10*12+初期登録!$D$10&lt;$A474,"",2)</f>
        <v>2</v>
      </c>
      <c r="D474" s="642">
        <v>71.428571428571431</v>
      </c>
      <c r="E474" s="88">
        <v>62.5</v>
      </c>
      <c r="F474" s="643">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row>
    <row r="475" spans="1:17" ht="15" customHeight="1">
      <c r="B475" s="185"/>
      <c r="C475" s="174">
        <f>IF(初期登録!$B$10*12+初期登録!$D$10&lt;$A475,"",3)</f>
        <v>3</v>
      </c>
      <c r="D475" s="642">
        <v>85.714285714285708</v>
      </c>
      <c r="E475" s="88">
        <v>75</v>
      </c>
      <c r="F475" s="643">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row>
    <row r="476" spans="1:17">
      <c r="B476" s="185"/>
      <c r="C476" s="174">
        <f>IF(初期登録!$B$10*12+初期登録!$D$10&lt;$A476,"",4)</f>
        <v>4</v>
      </c>
      <c r="D476" s="642">
        <v>78.571428571428569</v>
      </c>
      <c r="E476" s="88">
        <v>75</v>
      </c>
      <c r="F476" s="643">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row>
    <row r="477" spans="1:17">
      <c r="B477" s="185"/>
      <c r="C477" s="174">
        <f>IF(初期登録!$B$10*12+初期登録!$D$10&lt;$A477,"",5)</f>
        <v>5</v>
      </c>
      <c r="D477" s="642">
        <v>71.428571428571431</v>
      </c>
      <c r="E477" s="88">
        <v>62.5</v>
      </c>
      <c r="F477" s="643">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row>
    <row r="478" spans="1:17">
      <c r="B478" s="185"/>
      <c r="C478" s="174">
        <f>IF(初期登録!$B$10*12+初期登録!$D$10&lt;$A478,"",6)</f>
        <v>6</v>
      </c>
      <c r="D478" s="642">
        <v>64.285714285714292</v>
      </c>
      <c r="E478" s="88">
        <v>75</v>
      </c>
      <c r="F478" s="643">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row>
    <row r="479" spans="1:17">
      <c r="B479" s="185"/>
      <c r="C479" s="174">
        <f>IF(初期登録!$B$10*12+初期登録!$D$10&lt;$A479,"",7)</f>
        <v>7</v>
      </c>
      <c r="D479" s="642">
        <v>78.571428571428569</v>
      </c>
      <c r="E479" s="88">
        <v>87.5</v>
      </c>
      <c r="F479" s="643">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row>
    <row r="480" spans="1:17">
      <c r="B480" s="185"/>
      <c r="C480" s="174">
        <f>IF(初期登録!$B$10*12+初期登録!$D$10&lt;$A480,"",8)</f>
        <v>8</v>
      </c>
      <c r="D480" s="642">
        <v>57.142857142857146</v>
      </c>
      <c r="E480" s="88">
        <v>62.5</v>
      </c>
      <c r="F480" s="643">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row>
    <row r="481" spans="1:17">
      <c r="B481" s="185"/>
      <c r="C481" s="174">
        <f>IF(初期登録!$B$10*12+初期登録!$D$10&lt;$A481,"",9)</f>
        <v>9</v>
      </c>
      <c r="D481" s="642">
        <v>50</v>
      </c>
      <c r="E481" s="88">
        <v>50</v>
      </c>
      <c r="F481" s="643">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row>
    <row r="482" spans="1:17">
      <c r="B482" s="185"/>
      <c r="C482" s="174">
        <f>IF(初期登録!$B$10*12+初期登録!$D$10&lt;$A482,"",10)</f>
        <v>10</v>
      </c>
      <c r="D482" s="642">
        <v>57.142857142857146</v>
      </c>
      <c r="E482" s="88">
        <v>62.5</v>
      </c>
      <c r="F482" s="643">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row>
    <row r="483" spans="1:17">
      <c r="B483" s="185"/>
      <c r="C483" s="174">
        <f>IF(初期登録!$B$10*12+初期登録!$D$10&lt;$A483,"",11)</f>
        <v>11</v>
      </c>
      <c r="D483" s="642">
        <v>57.142857142857146</v>
      </c>
      <c r="E483" s="88">
        <v>6.25</v>
      </c>
      <c r="F483" s="643">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row>
    <row r="484" spans="1:17">
      <c r="B484" s="186"/>
      <c r="C484" s="175">
        <f>IF(初期登録!$B$10*12+初期登録!$D$10&lt;$A484,"",12)</f>
        <v>12</v>
      </c>
      <c r="D484" s="644">
        <v>42.857142857142854</v>
      </c>
      <c r="E484" s="92">
        <v>6.25</v>
      </c>
      <c r="F484" s="93">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row>
    <row r="485" spans="1:17" ht="15" customHeight="1">
      <c r="A485" s="180"/>
      <c r="B485" s="1123" t="s">
        <v>731</v>
      </c>
      <c r="C485" s="1124">
        <f>IF(初期登録!$B$10*12+初期登録!$D$10&lt;$A473,"",1)</f>
        <v>1</v>
      </c>
      <c r="D485" s="1116">
        <v>85.714285714285708</v>
      </c>
      <c r="E485" s="1117">
        <v>12.5</v>
      </c>
      <c r="F485" s="1118">
        <v>14.285714285714286</v>
      </c>
      <c r="G485" s="1119">
        <f t="shared" ref="G485:G496" si="64">D485-50+G484</f>
        <v>243.57142857142884</v>
      </c>
      <c r="H485" s="1120">
        <f t="shared" ref="H485:H496" si="65">E485-50+H484</f>
        <v>1631.25</v>
      </c>
      <c r="I485" s="1121">
        <f t="shared" ref="I485:I496" si="66">F485-50+I484</f>
        <v>503.47619047619065</v>
      </c>
      <c r="J485" s="1122">
        <f t="shared" si="56"/>
        <v>2243.5714285714289</v>
      </c>
      <c r="K485" s="1120">
        <f t="shared" ref="K485:K496" si="67">IF(E485="",NA,H485)</f>
        <v>1631.25</v>
      </c>
      <c r="L485" s="632">
        <f t="shared" si="57"/>
        <v>3.4761904761906521</v>
      </c>
      <c r="M485" s="188">
        <v>2019</v>
      </c>
      <c r="N485" s="183">
        <f t="shared" si="58"/>
        <v>50</v>
      </c>
      <c r="O485" s="146">
        <v>99</v>
      </c>
      <c r="P485" s="146">
        <f t="shared" si="59"/>
        <v>0</v>
      </c>
      <c r="Q485" s="159">
        <v>2780</v>
      </c>
    </row>
    <row r="486" spans="1:17" ht="15" customHeight="1">
      <c r="B486" s="185"/>
      <c r="C486" s="174">
        <f>IF(初期登録!$B$10*12+初期登録!$D$10&lt;$A474,"",2)</f>
        <v>2</v>
      </c>
      <c r="D486" s="642">
        <v>57.142857142857146</v>
      </c>
      <c r="E486" s="88">
        <v>25</v>
      </c>
      <c r="F486" s="643">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row>
    <row r="487" spans="1:17" ht="15" customHeight="1">
      <c r="B487" s="185"/>
      <c r="C487" s="174">
        <f>IF(初期登録!$B$10*12+初期登録!$D$10&lt;$A475,"",3)</f>
        <v>3</v>
      </c>
      <c r="D487" s="642">
        <v>14.285714285714286</v>
      </c>
      <c r="E487" s="88">
        <v>37.5</v>
      </c>
      <c r="F487" s="643">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row>
    <row r="488" spans="1:17">
      <c r="B488" s="185"/>
      <c r="C488" s="174">
        <f>IF(初期登録!$B$10*12+初期登録!$D$10&lt;$A476,"",4)</f>
        <v>4</v>
      </c>
      <c r="D488" s="642">
        <v>28.571428571428573</v>
      </c>
      <c r="E488" s="88">
        <v>50</v>
      </c>
      <c r="F488" s="643">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row>
    <row r="489" spans="1:17">
      <c r="B489" s="185"/>
      <c r="C489" s="174">
        <f>IF(初期登録!$B$10*12+初期登録!$D$10&lt;$A477,"",5)</f>
        <v>5</v>
      </c>
      <c r="D489" s="642">
        <v>42.857142857142854</v>
      </c>
      <c r="E489" s="88">
        <v>37.5</v>
      </c>
      <c r="F489" s="643">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row>
    <row r="490" spans="1:17">
      <c r="B490" s="185"/>
      <c r="C490" s="174">
        <f>IF(初期登録!$B$10*12+初期登録!$D$10&lt;$A478,"",6)</f>
        <v>6</v>
      </c>
      <c r="D490" s="642">
        <v>50</v>
      </c>
      <c r="E490" s="88">
        <v>62.5</v>
      </c>
      <c r="F490" s="643">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row>
    <row r="491" spans="1:17">
      <c r="B491" s="185"/>
      <c r="C491" s="174">
        <f>IF(初期登録!$B$10*12+初期登録!$D$10&lt;$A479,"",7)</f>
        <v>7</v>
      </c>
      <c r="D491" s="642">
        <v>28.571428571428573</v>
      </c>
      <c r="E491" s="88">
        <v>12.5</v>
      </c>
      <c r="F491" s="643">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row>
    <row r="492" spans="1:17">
      <c r="B492" s="185"/>
      <c r="C492" s="174">
        <f>IF(初期登録!$B$10*12+初期登録!$D$10&lt;$A480,"",8)</f>
        <v>8</v>
      </c>
      <c r="D492" s="642">
        <v>28.571428571428573</v>
      </c>
      <c r="E492" s="88">
        <v>25</v>
      </c>
      <c r="F492" s="643">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row>
    <row r="493" spans="1:17">
      <c r="B493" s="185"/>
      <c r="C493" s="174">
        <f>IF(初期登録!$B$10*12+初期登録!$D$10&lt;$A481,"",9)</f>
        <v>9</v>
      </c>
      <c r="D493" s="642">
        <v>28.571428571428573</v>
      </c>
      <c r="E493" s="88">
        <v>62.5</v>
      </c>
      <c r="F493" s="643">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row>
    <row r="494" spans="1:17">
      <c r="B494" s="185"/>
      <c r="C494" s="174">
        <f>IF(初期登録!$B$10*12+初期登録!$D$10&lt;$A482,"",10)</f>
        <v>10</v>
      </c>
      <c r="D494" s="642">
        <v>21.428571428571427</v>
      </c>
      <c r="E494" s="88">
        <v>25</v>
      </c>
      <c r="F494" s="643">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row>
    <row r="495" spans="1:17">
      <c r="B495" s="185"/>
      <c r="C495" s="174">
        <f>IF(初期登録!$B$10*12+初期登録!$D$10&lt;$A483,"",11)</f>
        <v>11</v>
      </c>
      <c r="D495" s="642">
        <v>28.571428571428573</v>
      </c>
      <c r="E495" s="88">
        <v>12.5</v>
      </c>
      <c r="F495" s="643">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row>
    <row r="496" spans="1:17">
      <c r="B496" s="186"/>
      <c r="C496" s="175">
        <f>IF(初期登録!$B$10*12+初期登録!$D$10&lt;$A484,"",12)</f>
        <v>12</v>
      </c>
      <c r="D496" s="644">
        <v>14.285714285714286</v>
      </c>
      <c r="E496" s="92">
        <v>12.5</v>
      </c>
      <c r="F496" s="93">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row>
    <row r="497" spans="2:17">
      <c r="B497" s="1123">
        <v>2</v>
      </c>
      <c r="C497" s="1124">
        <f>IF(初期登録!$B$10*12+初期登録!$D$10&lt;$A473,"",1)</f>
        <v>1</v>
      </c>
      <c r="D497" s="1116">
        <v>28.571428571428573</v>
      </c>
      <c r="E497" s="1117">
        <v>12.5</v>
      </c>
      <c r="F497" s="1118">
        <v>28.571428571428573</v>
      </c>
      <c r="G497" s="1119">
        <f t="shared" ref="G497:G521" si="68">D497-50+G496</f>
        <v>15.000000000000295</v>
      </c>
      <c r="H497" s="1120">
        <f t="shared" ref="H497:H521" si="69">E497-50+H496</f>
        <v>1406.25</v>
      </c>
      <c r="I497" s="1121">
        <f t="shared" ref="I497:I521" si="70">F497-50+I496</f>
        <v>574.90476190476193</v>
      </c>
      <c r="J497" s="1122">
        <f t="shared" si="56"/>
        <v>2015.0000000000002</v>
      </c>
      <c r="K497" s="1120">
        <f t="shared" ref="K497:K521" si="71">IF(E497="",NA,H497)</f>
        <v>1406.25</v>
      </c>
      <c r="L497" s="632">
        <f t="shared" si="57"/>
        <v>74.904761904761926</v>
      </c>
      <c r="M497" s="188">
        <v>2020</v>
      </c>
      <c r="N497" s="183">
        <f>IF(C484="",NA(),50)</f>
        <v>50</v>
      </c>
      <c r="O497" s="146">
        <v>99</v>
      </c>
      <c r="P497" s="146">
        <f>IF(C484="",NA(),0)</f>
        <v>0</v>
      </c>
      <c r="Q497" s="159">
        <v>2780</v>
      </c>
    </row>
    <row r="498" spans="2:17">
      <c r="B498" s="185"/>
      <c r="C498" s="174">
        <f>IF(初期登録!$B$10*12+初期登録!$D$10&lt;$A474,"",2)</f>
        <v>2</v>
      </c>
      <c r="D498" s="642">
        <v>14.285714285714286</v>
      </c>
      <c r="E498" s="88">
        <v>37.5</v>
      </c>
      <c r="F498" s="643">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row>
    <row r="499" spans="2:17">
      <c r="B499" s="185"/>
      <c r="C499" s="174">
        <f>IF(初期登録!$B$10*12+初期登録!$D$10&lt;$A475,"",3)</f>
        <v>3</v>
      </c>
      <c r="D499" s="642">
        <v>28.571428571428573</v>
      </c>
      <c r="E499" s="88">
        <v>37.5</v>
      </c>
      <c r="F499" s="643">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row>
    <row r="500" spans="2:17">
      <c r="B500" s="185"/>
      <c r="C500" s="174">
        <f>IF(初期登録!$B$10*12+初期登録!$D$10&lt;$A476,"",4)</f>
        <v>4</v>
      </c>
      <c r="D500" s="642">
        <v>14.285714285714286</v>
      </c>
      <c r="E500" s="88">
        <v>50</v>
      </c>
      <c r="F500" s="643">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row>
    <row r="501" spans="2:17">
      <c r="B501" s="185"/>
      <c r="C501" s="174">
        <f>IF(初期登録!$B$10*12+初期登録!$D$10&lt;$A477,"",5)</f>
        <v>5</v>
      </c>
      <c r="D501" s="642">
        <v>14.285714285714286</v>
      </c>
      <c r="E501" s="88">
        <v>0</v>
      </c>
      <c r="F501" s="643">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row>
    <row r="502" spans="2:17">
      <c r="B502" s="185"/>
      <c r="C502" s="174">
        <f>IF(初期登録!$B$10*12+初期登録!$D$10&lt;$A478,"",6)</f>
        <v>6</v>
      </c>
      <c r="D502" s="642">
        <v>14.285714285714286</v>
      </c>
      <c r="E502" s="88">
        <v>0</v>
      </c>
      <c r="F502" s="643">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row>
    <row r="503" spans="2:17">
      <c r="B503" s="185"/>
      <c r="C503" s="174">
        <f>IF(初期登録!$B$10*12+初期登録!$D$10&lt;$A479,"",7)</f>
        <v>7</v>
      </c>
      <c r="D503" s="642">
        <v>14.285714285714286</v>
      </c>
      <c r="E503" s="88">
        <v>12.5</v>
      </c>
      <c r="F503" s="643">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row>
    <row r="504" spans="2:17">
      <c r="B504" s="185"/>
      <c r="C504" s="174">
        <f>IF(初期登録!$B$10*12+初期登録!$D$10&lt;$A480,"",8)</f>
        <v>8</v>
      </c>
      <c r="D504" s="642">
        <v>42.857142857142854</v>
      </c>
      <c r="E504" s="88">
        <v>0</v>
      </c>
      <c r="F504" s="643">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row>
    <row r="505" spans="2:17">
      <c r="B505" s="185"/>
      <c r="C505" s="174">
        <f>IF(初期登録!$B$10*12+初期登録!$D$10&lt;$A481,"",9)</f>
        <v>9</v>
      </c>
      <c r="D505" s="642">
        <v>71.428571428571431</v>
      </c>
      <c r="E505" s="88">
        <v>0</v>
      </c>
      <c r="F505" s="643">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row>
    <row r="506" spans="2:17">
      <c r="B506" s="185"/>
      <c r="C506" s="174">
        <f>IF(初期登録!$B$10*12+初期登録!$D$10&lt;$A482,"",10)</f>
        <v>10</v>
      </c>
      <c r="D506" s="642">
        <v>71.428571428571431</v>
      </c>
      <c r="E506" s="88">
        <v>75</v>
      </c>
      <c r="F506" s="643">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row>
    <row r="507" spans="2:17">
      <c r="B507" s="185"/>
      <c r="C507" s="174">
        <f>IF(初期登録!$B$10*12+初期登録!$D$10&lt;$A483,"",11)</f>
        <v>11</v>
      </c>
      <c r="D507" s="642">
        <v>85.714285714285708</v>
      </c>
      <c r="E507" s="88">
        <v>100</v>
      </c>
      <c r="F507" s="643">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row>
    <row r="508" spans="2:17" ht="12.75" customHeight="1">
      <c r="B508" s="186"/>
      <c r="C508" s="175">
        <f>IF(初期登録!$B$10*12+初期登録!$D$10&lt;$A484,"",12)</f>
        <v>12</v>
      </c>
      <c r="D508" s="644">
        <v>71.428571428571431</v>
      </c>
      <c r="E508" s="92">
        <v>87.5</v>
      </c>
      <c r="F508" s="93">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row>
    <row r="509" spans="2:17">
      <c r="B509" s="1123">
        <v>3</v>
      </c>
      <c r="C509" s="1124">
        <f>IF(初期登録!$B$10*12+初期登録!$D$10&lt;$A473,"",1)</f>
        <v>1</v>
      </c>
      <c r="D509" s="1116">
        <v>57.142857142857146</v>
      </c>
      <c r="E509" s="1117">
        <v>87.5</v>
      </c>
      <c r="F509" s="1118">
        <v>50</v>
      </c>
      <c r="G509" s="1119">
        <f t="shared" si="68"/>
        <v>-84.999999999999716</v>
      </c>
      <c r="H509" s="1120">
        <f t="shared" si="69"/>
        <v>1293.75</v>
      </c>
      <c r="I509" s="1121">
        <f t="shared" si="70"/>
        <v>467.76190476190465</v>
      </c>
      <c r="J509" s="1122">
        <f t="shared" si="56"/>
        <v>1915.0000000000002</v>
      </c>
      <c r="K509" s="1120">
        <f t="shared" si="71"/>
        <v>1293.75</v>
      </c>
      <c r="L509" s="632">
        <f t="shared" si="57"/>
        <v>-32.238095238095354</v>
      </c>
      <c r="M509" s="188">
        <v>2021</v>
      </c>
      <c r="N509" s="183">
        <f>IF(C484="",NA(),50)</f>
        <v>50</v>
      </c>
      <c r="O509" s="146"/>
      <c r="P509" s="146">
        <f>IF(C484="",NA(),0)</f>
        <v>0</v>
      </c>
      <c r="Q509" s="159"/>
    </row>
    <row r="510" spans="2:17">
      <c r="B510" s="185"/>
      <c r="C510" s="174">
        <f>IF(初期登録!$B$10*12+初期登録!$D$10&lt;$A474,"",2)</f>
        <v>2</v>
      </c>
      <c r="D510" s="642">
        <v>28.571428571428573</v>
      </c>
      <c r="E510" s="88">
        <v>87.5</v>
      </c>
      <c r="F510" s="643">
        <v>42.857142857142854</v>
      </c>
      <c r="G510" s="89">
        <f t="shared" si="68"/>
        <v>-106.42857142857115</v>
      </c>
      <c r="H510" s="90">
        <f t="shared" si="69"/>
        <v>1331.25</v>
      </c>
      <c r="I510" s="91">
        <f t="shared" si="70"/>
        <v>460.61904761904748</v>
      </c>
      <c r="J510" s="635">
        <f t="shared" si="56"/>
        <v>1893.5714285714289</v>
      </c>
      <c r="K510" s="90">
        <f t="shared" si="71"/>
        <v>1331.25</v>
      </c>
      <c r="L510" s="58">
        <f t="shared" si="57"/>
        <v>-39.380952380952522</v>
      </c>
      <c r="M510" s="189"/>
      <c r="N510" s="183">
        <f t="shared" ref="N510:N520" si="74">IF(C509="",NA(),50)</f>
        <v>50</v>
      </c>
      <c r="O510" s="146"/>
      <c r="P510" s="146">
        <f t="shared" ref="P510:P520" si="75">IF(C509="",NA(),0)</f>
        <v>0</v>
      </c>
      <c r="Q510" s="112"/>
    </row>
    <row r="511" spans="2:17">
      <c r="B511" s="185"/>
      <c r="C511" s="174">
        <f>IF(初期登録!$B$10*12+初期登録!$D$10&lt;$A475,"",3)</f>
        <v>3</v>
      </c>
      <c r="D511" s="642">
        <v>42.857142857142854</v>
      </c>
      <c r="E511" s="88">
        <v>75</v>
      </c>
      <c r="F511" s="643">
        <v>57.142857142857146</v>
      </c>
      <c r="G511" s="89">
        <f t="shared" si="68"/>
        <v>-113.5714285714283</v>
      </c>
      <c r="H511" s="90">
        <f t="shared" si="69"/>
        <v>1356.25</v>
      </c>
      <c r="I511" s="91">
        <f t="shared" si="70"/>
        <v>467.76190476190465</v>
      </c>
      <c r="J511" s="635">
        <f t="shared" si="56"/>
        <v>1886.4285714285718</v>
      </c>
      <c r="K511" s="90">
        <f t="shared" si="71"/>
        <v>1356.25</v>
      </c>
      <c r="L511" s="58">
        <f t="shared" si="57"/>
        <v>-32.238095238095354</v>
      </c>
      <c r="M511" s="189"/>
      <c r="N511" s="183">
        <f t="shared" si="74"/>
        <v>50</v>
      </c>
      <c r="O511" s="146"/>
      <c r="P511" s="146">
        <f t="shared" si="75"/>
        <v>0</v>
      </c>
      <c r="Q511" s="112"/>
    </row>
    <row r="512" spans="2:17">
      <c r="B512" s="185"/>
      <c r="C512" s="174">
        <f>IF(初期登録!$B$10*12+初期登録!$D$10&lt;$A476,"",4)</f>
        <v>4</v>
      </c>
      <c r="D512" s="642">
        <v>71.428571428571431</v>
      </c>
      <c r="E512" s="88">
        <v>87.5</v>
      </c>
      <c r="F512" s="643">
        <v>85.714285714285708</v>
      </c>
      <c r="G512" s="89">
        <f t="shared" si="68"/>
        <v>-92.142857142856869</v>
      </c>
      <c r="H512" s="90">
        <f t="shared" si="69"/>
        <v>1393.75</v>
      </c>
      <c r="I512" s="91">
        <f t="shared" si="70"/>
        <v>503.47619047619037</v>
      </c>
      <c r="J512" s="635">
        <f t="shared" si="56"/>
        <v>1907.8571428571431</v>
      </c>
      <c r="K512" s="90">
        <f t="shared" si="71"/>
        <v>1393.75</v>
      </c>
      <c r="L512" s="58">
        <f t="shared" si="57"/>
        <v>3.4761904761903679</v>
      </c>
      <c r="M512" s="189"/>
      <c r="N512" s="183">
        <f t="shared" si="74"/>
        <v>50</v>
      </c>
      <c r="O512" s="146"/>
      <c r="P512" s="146">
        <f t="shared" si="75"/>
        <v>0</v>
      </c>
      <c r="Q512" s="112"/>
    </row>
    <row r="513" spans="2:17">
      <c r="B513" s="185"/>
      <c r="C513" s="174">
        <f>IF(初期登録!$B$10*12+初期登録!$D$10&lt;$A477,"",5)</f>
        <v>5</v>
      </c>
      <c r="D513" s="642">
        <v>57.142857142857146</v>
      </c>
      <c r="E513" s="88">
        <v>100</v>
      </c>
      <c r="F513" s="643">
        <v>85.714285714285708</v>
      </c>
      <c r="G513" s="89">
        <f t="shared" si="68"/>
        <v>-84.999999999999716</v>
      </c>
      <c r="H513" s="90">
        <f t="shared" si="69"/>
        <v>1443.75</v>
      </c>
      <c r="I513" s="91">
        <f t="shared" si="70"/>
        <v>539.19047619047603</v>
      </c>
      <c r="J513" s="635">
        <f t="shared" si="56"/>
        <v>1915.0000000000002</v>
      </c>
      <c r="K513" s="90">
        <f t="shared" si="71"/>
        <v>1443.75</v>
      </c>
      <c r="L513" s="58">
        <f t="shared" si="57"/>
        <v>39.190476190476033</v>
      </c>
      <c r="M513" s="189"/>
      <c r="N513" s="183">
        <f t="shared" si="74"/>
        <v>50</v>
      </c>
      <c r="O513" s="146"/>
      <c r="P513" s="146">
        <f t="shared" si="75"/>
        <v>0</v>
      </c>
      <c r="Q513" s="112"/>
    </row>
    <row r="514" spans="2:17">
      <c r="B514" s="185"/>
      <c r="C514" s="174">
        <f>IF(初期登録!$B$10*12+初期登録!$D$10&lt;$A478,"",6)</f>
        <v>6</v>
      </c>
      <c r="D514" s="642">
        <v>42.857142857142854</v>
      </c>
      <c r="E514" s="88">
        <v>87.5</v>
      </c>
      <c r="F514" s="643">
        <v>71.428571428571431</v>
      </c>
      <c r="G514" s="89">
        <f t="shared" si="68"/>
        <v>-92.142857142856855</v>
      </c>
      <c r="H514" s="90">
        <f t="shared" si="69"/>
        <v>1481.25</v>
      </c>
      <c r="I514" s="91">
        <f t="shared" si="70"/>
        <v>560.61904761904748</v>
      </c>
      <c r="J514" s="635">
        <f t="shared" si="56"/>
        <v>1907.8571428571431</v>
      </c>
      <c r="K514" s="90">
        <f t="shared" si="71"/>
        <v>1481.25</v>
      </c>
      <c r="L514" s="58">
        <f t="shared" si="57"/>
        <v>60.619047619047478</v>
      </c>
      <c r="M514" s="189"/>
      <c r="N514" s="183">
        <f t="shared" si="74"/>
        <v>50</v>
      </c>
      <c r="O514" s="146"/>
      <c r="P514" s="146">
        <f t="shared" si="75"/>
        <v>0</v>
      </c>
      <c r="Q514" s="112"/>
    </row>
    <row r="515" spans="2:17">
      <c r="B515" s="185"/>
      <c r="C515" s="174">
        <f>IF(初期登録!$B$10*12+初期登録!$D$10&lt;$A479,"",7)</f>
        <v>7</v>
      </c>
      <c r="D515" s="642">
        <v>64.285714285714292</v>
      </c>
      <c r="E515" s="88">
        <v>87.5</v>
      </c>
      <c r="F515" s="643">
        <v>71.428571428571431</v>
      </c>
      <c r="G515" s="89">
        <f t="shared" si="68"/>
        <v>-77.857142857142563</v>
      </c>
      <c r="H515" s="90">
        <f t="shared" si="69"/>
        <v>1518.75</v>
      </c>
      <c r="I515" s="91">
        <f t="shared" si="70"/>
        <v>582.04761904761892</v>
      </c>
      <c r="J515" s="635">
        <f t="shared" si="56"/>
        <v>1922.1428571428573</v>
      </c>
      <c r="K515" s="90">
        <f t="shared" si="71"/>
        <v>1518.75</v>
      </c>
      <c r="L515" s="58">
        <f t="shared" si="57"/>
        <v>82.047619047618923</v>
      </c>
      <c r="M515" s="189"/>
      <c r="N515" s="183">
        <f t="shared" si="74"/>
        <v>50</v>
      </c>
      <c r="O515" s="146"/>
      <c r="P515" s="146">
        <f t="shared" si="75"/>
        <v>0</v>
      </c>
      <c r="Q515" s="112"/>
    </row>
    <row r="516" spans="2:17">
      <c r="B516" s="185"/>
      <c r="C516" s="174">
        <f>IF(初期登録!$B$10*12+初期登録!$D$10&lt;$A480,"",8)</f>
        <v>8</v>
      </c>
      <c r="D516" s="642">
        <v>71.428571428571431</v>
      </c>
      <c r="E516" s="88">
        <v>100</v>
      </c>
      <c r="F516" s="643">
        <v>28.571428571428573</v>
      </c>
      <c r="G516" s="89">
        <f t="shared" si="68"/>
        <v>-56.428571428571132</v>
      </c>
      <c r="H516" s="90">
        <f t="shared" si="69"/>
        <v>1568.75</v>
      </c>
      <c r="I516" s="91">
        <f t="shared" si="70"/>
        <v>560.61904761904748</v>
      </c>
      <c r="J516" s="635">
        <f t="shared" si="56"/>
        <v>1943.5714285714289</v>
      </c>
      <c r="K516" s="90">
        <f t="shared" si="71"/>
        <v>1568.75</v>
      </c>
      <c r="L516" s="58">
        <f t="shared" si="57"/>
        <v>60.619047619047478</v>
      </c>
      <c r="M516" s="189"/>
      <c r="N516" s="183">
        <f t="shared" si="74"/>
        <v>50</v>
      </c>
      <c r="O516" s="146"/>
      <c r="P516" s="146">
        <f t="shared" si="75"/>
        <v>0</v>
      </c>
      <c r="Q516" s="112"/>
    </row>
    <row r="517" spans="2:17">
      <c r="B517" s="185"/>
      <c r="C517" s="174">
        <f>IF(初期登録!$B$10*12+初期登録!$D$10&lt;$A481,"",9)</f>
        <v>9</v>
      </c>
      <c r="D517" s="642">
        <v>42.857142857142854</v>
      </c>
      <c r="E517" s="88">
        <v>75</v>
      </c>
      <c r="F517" s="643">
        <v>28.571428571428573</v>
      </c>
      <c r="G517" s="89">
        <f t="shared" si="68"/>
        <v>-63.571428571428278</v>
      </c>
      <c r="H517" s="90">
        <f t="shared" si="69"/>
        <v>1593.75</v>
      </c>
      <c r="I517" s="91">
        <f t="shared" si="70"/>
        <v>539.19047619047603</v>
      </c>
      <c r="J517" s="635">
        <f t="shared" si="56"/>
        <v>1936.4285714285718</v>
      </c>
      <c r="K517" s="90">
        <f t="shared" si="71"/>
        <v>1593.75</v>
      </c>
      <c r="L517" s="58">
        <f t="shared" si="57"/>
        <v>39.190476190476033</v>
      </c>
      <c r="M517" s="189"/>
      <c r="N517" s="183">
        <f t="shared" si="74"/>
        <v>50</v>
      </c>
      <c r="O517" s="146"/>
      <c r="P517" s="146">
        <f t="shared" si="75"/>
        <v>0</v>
      </c>
      <c r="Q517" s="112"/>
    </row>
    <row r="518" spans="2:17">
      <c r="B518" s="185"/>
      <c r="C518" s="174">
        <f>IF(初期登録!$B$10*12+初期登録!$D$10&lt;$A482,"",10)</f>
        <v>10</v>
      </c>
      <c r="D518" s="642">
        <v>35.714285714285715</v>
      </c>
      <c r="E518" s="88">
        <v>75</v>
      </c>
      <c r="F518" s="643">
        <v>57.142857142857146</v>
      </c>
      <c r="G518" s="89">
        <f t="shared" si="68"/>
        <v>-77.857142857142563</v>
      </c>
      <c r="H518" s="90">
        <f t="shared" si="69"/>
        <v>1618.75</v>
      </c>
      <c r="I518" s="91">
        <f t="shared" si="70"/>
        <v>546.33333333333314</v>
      </c>
      <c r="J518" s="635">
        <f t="shared" si="56"/>
        <v>1922.1428571428573</v>
      </c>
      <c r="K518" s="90">
        <f t="shared" si="71"/>
        <v>1618.75</v>
      </c>
      <c r="L518" s="58">
        <f t="shared" si="57"/>
        <v>46.333333333333144</v>
      </c>
      <c r="M518" s="189"/>
      <c r="N518" s="183">
        <f t="shared" si="74"/>
        <v>50</v>
      </c>
      <c r="O518" s="146"/>
      <c r="P518" s="146">
        <f t="shared" si="75"/>
        <v>0</v>
      </c>
      <c r="Q518" s="112"/>
    </row>
    <row r="519" spans="2:17">
      <c r="B519" s="185"/>
      <c r="C519" s="174">
        <f>IF(初期登録!$B$10*12+初期登録!$D$10&lt;$A483,"",11)</f>
        <v>11</v>
      </c>
      <c r="D519" s="642">
        <v>42.857142857142854</v>
      </c>
      <c r="E519" s="88">
        <v>75</v>
      </c>
      <c r="F519" s="643">
        <v>57.142857142857146</v>
      </c>
      <c r="G519" s="89">
        <f t="shared" si="68"/>
        <v>-84.999999999999716</v>
      </c>
      <c r="H519" s="90">
        <f t="shared" si="69"/>
        <v>1643.75</v>
      </c>
      <c r="I519" s="91">
        <f t="shared" si="70"/>
        <v>553.47619047619025</v>
      </c>
      <c r="J519" s="635">
        <f t="shared" si="56"/>
        <v>1915.0000000000002</v>
      </c>
      <c r="K519" s="90">
        <f t="shared" si="71"/>
        <v>1643.75</v>
      </c>
      <c r="L519" s="58">
        <f t="shared" si="57"/>
        <v>53.476190476190254</v>
      </c>
      <c r="M519" s="189"/>
      <c r="N519" s="183">
        <f t="shared" si="74"/>
        <v>50</v>
      </c>
      <c r="O519" s="146"/>
      <c r="P519" s="146">
        <f t="shared" si="75"/>
        <v>0</v>
      </c>
      <c r="Q519" s="112"/>
    </row>
    <row r="520" spans="2:17">
      <c r="B520" s="186"/>
      <c r="C520" s="175">
        <f>IF(初期登録!$B$10*12+初期登録!$D$10&lt;$A484,"",12)</f>
        <v>12</v>
      </c>
      <c r="D520" s="1037">
        <v>42.857142857142854</v>
      </c>
      <c r="E520" s="1038">
        <v>75</v>
      </c>
      <c r="F520" s="1039">
        <v>57.142857142857146</v>
      </c>
      <c r="G520" s="154">
        <f t="shared" si="68"/>
        <v>-92.142857142856855</v>
      </c>
      <c r="H520" s="155">
        <f t="shared" si="69"/>
        <v>1668.75</v>
      </c>
      <c r="I520" s="157">
        <f t="shared" si="70"/>
        <v>560.61904761904736</v>
      </c>
      <c r="J520" s="1040">
        <f t="shared" si="56"/>
        <v>1907.8571428571431</v>
      </c>
      <c r="K520" s="155">
        <f t="shared" si="71"/>
        <v>1668.75</v>
      </c>
      <c r="L520" s="639">
        <f t="shared" si="57"/>
        <v>60.619047619047365</v>
      </c>
      <c r="M520" s="190"/>
      <c r="N520" s="183">
        <f t="shared" si="74"/>
        <v>50</v>
      </c>
      <c r="O520" s="146"/>
      <c r="P520" s="146">
        <f t="shared" si="75"/>
        <v>0</v>
      </c>
      <c r="Q520" s="147"/>
    </row>
    <row r="521" spans="2:17">
      <c r="B521" s="184">
        <v>4</v>
      </c>
      <c r="C521" s="178">
        <f>IF(初期登録!$B$10*12+初期登録!$D$10&lt;$A485,"",1)</f>
        <v>1</v>
      </c>
      <c r="D521" s="1041">
        <v>35.714285714285715</v>
      </c>
      <c r="E521" s="1042">
        <v>62.5</v>
      </c>
      <c r="F521" s="1043">
        <v>57.142857142857146</v>
      </c>
      <c r="G521" s="1044">
        <f t="shared" si="68"/>
        <v>-106.42857142857113</v>
      </c>
      <c r="H521" s="1045">
        <f t="shared" si="69"/>
        <v>1681.25</v>
      </c>
      <c r="I521" s="1046">
        <f t="shared" si="70"/>
        <v>567.76190476190447</v>
      </c>
      <c r="J521" s="633">
        <f t="shared" si="56"/>
        <v>1893.5714285714289</v>
      </c>
      <c r="K521" s="1045">
        <f t="shared" si="71"/>
        <v>1681.25</v>
      </c>
      <c r="L521" s="634">
        <f t="shared" si="57"/>
        <v>67.761904761904475</v>
      </c>
      <c r="M521" s="188">
        <v>2022</v>
      </c>
      <c r="N521" s="133">
        <f>IF(C496="",NA(),50)</f>
        <v>50</v>
      </c>
      <c r="O521" s="134"/>
      <c r="P521" s="134">
        <f>IF(C496="",NA(),0)</f>
        <v>0</v>
      </c>
      <c r="Q521" s="159"/>
    </row>
    <row r="522" spans="2:17">
      <c r="B522" s="185"/>
      <c r="C522" s="174">
        <f>IF(初期登録!$B$10*12+初期登録!$D$10&lt;$A486,"",2)</f>
        <v>2</v>
      </c>
      <c r="D522" s="642">
        <v>42.857142857142854</v>
      </c>
      <c r="E522" s="88">
        <v>62.5</v>
      </c>
      <c r="F522" s="643">
        <v>57.142857142857146</v>
      </c>
      <c r="G522" s="89">
        <f t="shared" ref="G522:I523" si="76">D522-50+G521</f>
        <v>-113.57142857142827</v>
      </c>
      <c r="H522" s="90">
        <f t="shared" si="76"/>
        <v>1693.75</v>
      </c>
      <c r="I522" s="91">
        <f t="shared" si="76"/>
        <v>574.90476190476159</v>
      </c>
      <c r="J522" s="635">
        <f t="shared" si="56"/>
        <v>1886.4285714285718</v>
      </c>
      <c r="K522" s="90">
        <f>IF(E522="",NA,H522)</f>
        <v>1693.75</v>
      </c>
      <c r="L522" s="58">
        <f t="shared" si="57"/>
        <v>74.904761904761585</v>
      </c>
      <c r="M522" s="189"/>
      <c r="N522" s="183">
        <f t="shared" si="58"/>
        <v>50</v>
      </c>
      <c r="O522" s="146"/>
      <c r="P522" s="146">
        <f t="shared" si="59"/>
        <v>0</v>
      </c>
      <c r="Q522" s="112"/>
    </row>
    <row r="523" spans="2:17">
      <c r="B523" s="185"/>
      <c r="C523" s="174">
        <f>IF(初期登録!$B$10*12+初期登録!$D$10&lt;$A487,"",3)</f>
        <v>3</v>
      </c>
      <c r="D523" s="642">
        <v>28.571428571428573</v>
      </c>
      <c r="E523" s="88">
        <v>87.5</v>
      </c>
      <c r="F523" s="643">
        <v>57.142857142857146</v>
      </c>
      <c r="G523" s="89">
        <f t="shared" si="76"/>
        <v>-134.99999999999969</v>
      </c>
      <c r="H523" s="90">
        <f t="shared" si="76"/>
        <v>1731.25</v>
      </c>
      <c r="I523" s="91">
        <f t="shared" si="76"/>
        <v>582.0476190476187</v>
      </c>
      <c r="J523" s="635">
        <f t="shared" si="56"/>
        <v>1865.0000000000002</v>
      </c>
      <c r="K523" s="90">
        <f>IF(E523="",NA,H523)</f>
        <v>1731.25</v>
      </c>
      <c r="L523" s="58">
        <f t="shared" si="57"/>
        <v>82.047619047618696</v>
      </c>
      <c r="M523" s="189"/>
      <c r="N523" s="183">
        <f t="shared" si="58"/>
        <v>50</v>
      </c>
      <c r="O523" s="146"/>
      <c r="P523" s="146">
        <f t="shared" si="59"/>
        <v>0</v>
      </c>
      <c r="Q523" s="112"/>
    </row>
    <row r="524" spans="2:17">
      <c r="B524" s="185"/>
      <c r="C524" s="174">
        <f>IF(初期登録!$B$10*12+初期登録!$D$10&lt;$A488,"",4)</f>
        <v>4</v>
      </c>
      <c r="D524" s="642">
        <v>42.857142857142854</v>
      </c>
      <c r="E524" s="88">
        <v>87.5</v>
      </c>
      <c r="F524" s="643">
        <v>71.428571428571431</v>
      </c>
      <c r="G524" s="89">
        <f t="shared" ref="G524:I525" si="77">D524-50+G523</f>
        <v>-142.14285714285683</v>
      </c>
      <c r="H524" s="90">
        <f t="shared" si="77"/>
        <v>1768.75</v>
      </c>
      <c r="I524" s="91">
        <f t="shared" si="77"/>
        <v>603.47619047619014</v>
      </c>
      <c r="J524" s="635">
        <f t="shared" si="56"/>
        <v>1857.8571428571431</v>
      </c>
      <c r="K524" s="90">
        <f>IF(E524="",NA,H524)</f>
        <v>1768.75</v>
      </c>
      <c r="L524" s="58">
        <f t="shared" si="57"/>
        <v>103.47619047619014</v>
      </c>
      <c r="M524" s="189"/>
      <c r="N524" s="183">
        <f t="shared" si="58"/>
        <v>50</v>
      </c>
      <c r="O524" s="146"/>
      <c r="P524" s="146">
        <f t="shared" si="59"/>
        <v>0</v>
      </c>
      <c r="Q524" s="112"/>
    </row>
    <row r="525" spans="2:17">
      <c r="B525" s="185"/>
      <c r="C525" s="174">
        <f>IF(初期登録!$B$10*12+初期登録!$D$10&lt;$A489,"",5)</f>
        <v>5</v>
      </c>
      <c r="D525" s="642">
        <v>42.857142857142854</v>
      </c>
      <c r="E525" s="88">
        <v>87.5</v>
      </c>
      <c r="F525" s="643">
        <v>85.714285714285708</v>
      </c>
      <c r="G525" s="89">
        <f t="shared" si="77"/>
        <v>-149.28571428571396</v>
      </c>
      <c r="H525" s="90">
        <f t="shared" si="77"/>
        <v>1806.25</v>
      </c>
      <c r="I525" s="91">
        <f t="shared" si="77"/>
        <v>639.19047619047581</v>
      </c>
      <c r="J525" s="635">
        <f t="shared" si="56"/>
        <v>1850.714285714286</v>
      </c>
      <c r="K525" s="90">
        <f>IF(E525="",NA,H525)</f>
        <v>1806.25</v>
      </c>
      <c r="L525" s="58">
        <f t="shared" si="57"/>
        <v>139.19047619047581</v>
      </c>
      <c r="M525" s="189"/>
      <c r="N525" s="183">
        <f t="shared" si="58"/>
        <v>50</v>
      </c>
      <c r="O525" s="146"/>
      <c r="P525" s="146">
        <f t="shared" si="59"/>
        <v>0</v>
      </c>
      <c r="Q525" s="112"/>
    </row>
    <row r="526" spans="2:17">
      <c r="B526" s="185"/>
      <c r="C526" s="174">
        <f>IF(初期登録!$B$10*12+初期登録!$D$10&lt;$A490,"",6)</f>
        <v>6</v>
      </c>
      <c r="D526" s="642">
        <v>64.285714285714292</v>
      </c>
      <c r="E526" s="88">
        <v>62.5</v>
      </c>
      <c r="F526" s="643">
        <v>57.142857142857146</v>
      </c>
      <c r="G526" s="89">
        <f t="shared" ref="G526:I527" si="78">D526-50+G525</f>
        <v>-134.99999999999966</v>
      </c>
      <c r="H526" s="90">
        <f t="shared" si="78"/>
        <v>1818.75</v>
      </c>
      <c r="I526" s="91">
        <f t="shared" si="78"/>
        <v>646.33333333333292</v>
      </c>
      <c r="J526" s="635">
        <f t="shared" si="56"/>
        <v>1865.0000000000005</v>
      </c>
      <c r="K526" s="90">
        <f>IF(E526="",NA,H526)</f>
        <v>1818.75</v>
      </c>
      <c r="L526" s="58">
        <f t="shared" si="57"/>
        <v>146.33333333333292</v>
      </c>
      <c r="M526" s="189"/>
      <c r="N526" s="183">
        <f t="shared" si="58"/>
        <v>50</v>
      </c>
      <c r="O526" s="146"/>
      <c r="P526" s="146">
        <f t="shared" si="59"/>
        <v>0</v>
      </c>
      <c r="Q526" s="112"/>
    </row>
    <row r="527" spans="2:17">
      <c r="B527" s="185"/>
      <c r="C527" s="174">
        <f>IF(初期登録!$B$10*12+初期登録!$D$10&lt;$A491,"",7)</f>
        <v>7</v>
      </c>
      <c r="D527" s="642">
        <v>85.714285714285708</v>
      </c>
      <c r="E527" s="88">
        <v>62.5</v>
      </c>
      <c r="F527" s="643">
        <v>85.714285714285708</v>
      </c>
      <c r="G527" s="89">
        <f t="shared" si="78"/>
        <v>-99.285714285713951</v>
      </c>
      <c r="H527" s="90">
        <f t="shared" si="78"/>
        <v>1831.25</v>
      </c>
      <c r="I527" s="91">
        <f t="shared" si="78"/>
        <v>682.04761904761858</v>
      </c>
      <c r="J527" s="635">
        <f t="shared" si="56"/>
        <v>1900.714285714286</v>
      </c>
      <c r="K527" s="90">
        <f>IF(E527="",NA,H527)</f>
        <v>1831.25</v>
      </c>
      <c r="L527" s="58">
        <f t="shared" si="57"/>
        <v>182.04761904761858</v>
      </c>
      <c r="M527" s="189"/>
      <c r="N527" s="183">
        <f t="shared" si="58"/>
        <v>50</v>
      </c>
      <c r="O527" s="146"/>
      <c r="P527" s="146">
        <f t="shared" si="59"/>
        <v>0</v>
      </c>
      <c r="Q527" s="112"/>
    </row>
    <row r="528" spans="2:17">
      <c r="B528" s="185"/>
      <c r="C528" s="174">
        <f>IF(初期登録!$B$10*12+初期登録!$D$10&lt;$A492,"",8)</f>
        <v>8</v>
      </c>
      <c r="D528" s="642">
        <v>57.142857142857146</v>
      </c>
      <c r="E528" s="88">
        <v>62.5</v>
      </c>
      <c r="F528" s="643">
        <v>85.714285714285708</v>
      </c>
      <c r="G528" s="89">
        <f t="shared" ref="G528:I530" si="79">D528-50+G527</f>
        <v>-92.142857142856798</v>
      </c>
      <c r="H528" s="90">
        <f t="shared" si="79"/>
        <v>1843.75</v>
      </c>
      <c r="I528" s="91">
        <f t="shared" si="79"/>
        <v>717.76190476190425</v>
      </c>
      <c r="J528" s="635">
        <f t="shared" si="56"/>
        <v>1907.8571428571431</v>
      </c>
      <c r="K528" s="90">
        <f>IF(E528="",NA,H528)</f>
        <v>1843.75</v>
      </c>
      <c r="L528" s="58">
        <f t="shared" si="57"/>
        <v>217.76190476190425</v>
      </c>
      <c r="M528" s="189"/>
      <c r="N528" s="183">
        <f t="shared" si="58"/>
        <v>50</v>
      </c>
      <c r="O528" s="146"/>
      <c r="P528" s="146">
        <f t="shared" si="59"/>
        <v>0</v>
      </c>
      <c r="Q528" s="112"/>
    </row>
    <row r="529" spans="2:17">
      <c r="B529" s="185"/>
      <c r="C529" s="174">
        <f>IF(初期登録!$B$10*12+初期登録!$D$10&lt;$A493,"",9)</f>
        <v>9</v>
      </c>
      <c r="D529" s="642">
        <v>42.857142857142854</v>
      </c>
      <c r="E529" s="88">
        <v>62.5</v>
      </c>
      <c r="F529" s="643">
        <v>85.714285714285708</v>
      </c>
      <c r="G529" s="89">
        <f t="shared" si="79"/>
        <v>-99.285714285713937</v>
      </c>
      <c r="H529" s="90">
        <f t="shared" si="79"/>
        <v>1856.25</v>
      </c>
      <c r="I529" s="91">
        <f t="shared" si="79"/>
        <v>753.47619047618991</v>
      </c>
      <c r="J529" s="635">
        <f t="shared" si="56"/>
        <v>1900.714285714286</v>
      </c>
      <c r="K529" s="90">
        <f>IF(E529="",NA,H529)</f>
        <v>1856.25</v>
      </c>
      <c r="L529" s="58">
        <f t="shared" si="57"/>
        <v>253.47619047618991</v>
      </c>
      <c r="M529" s="189"/>
      <c r="N529" s="183">
        <f t="shared" si="58"/>
        <v>50</v>
      </c>
      <c r="O529" s="146"/>
      <c r="P529" s="146">
        <f t="shared" si="59"/>
        <v>0</v>
      </c>
      <c r="Q529" s="112"/>
    </row>
    <row r="530" spans="2:17">
      <c r="B530" s="185"/>
      <c r="C530" s="174">
        <f>IF(初期登録!$B$10*12+初期登録!$D$10&lt;$A494,"",10)</f>
        <v>10</v>
      </c>
      <c r="D530" s="642">
        <v>71.428571428571431</v>
      </c>
      <c r="E530" s="88">
        <v>25</v>
      </c>
      <c r="F530" s="643">
        <v>50</v>
      </c>
      <c r="G530" s="89">
        <f t="shared" si="79"/>
        <v>-77.857142857142506</v>
      </c>
      <c r="H530" s="90">
        <f t="shared" si="79"/>
        <v>1831.25</v>
      </c>
      <c r="I530" s="91">
        <f t="shared" si="79"/>
        <v>753.47619047618991</v>
      </c>
      <c r="J530" s="635">
        <f>IF($D530="",NA,$G530+2000)</f>
        <v>1922.1428571428576</v>
      </c>
      <c r="K530" s="90">
        <f>IF(E530="",NA,H530)</f>
        <v>1831.25</v>
      </c>
      <c r="L530" s="58">
        <f>IF($F530="",NA,$I530-500)</f>
        <v>253.47619047618991</v>
      </c>
      <c r="M530" s="189"/>
      <c r="N530" s="183">
        <f t="shared" si="58"/>
        <v>50</v>
      </c>
      <c r="O530" s="146"/>
      <c r="P530" s="146">
        <f t="shared" si="59"/>
        <v>0</v>
      </c>
      <c r="Q530" s="112"/>
    </row>
    <row r="531" spans="2:17">
      <c r="B531" s="185"/>
      <c r="C531" s="174">
        <f>IF(初期登録!$B$10*12+初期登録!$D$10&lt;$A495,"",11)</f>
        <v>11</v>
      </c>
      <c r="D531" s="642">
        <v>50</v>
      </c>
      <c r="E531" s="88">
        <v>50</v>
      </c>
      <c r="F531" s="643">
        <v>71.428571428571431</v>
      </c>
      <c r="G531" s="89">
        <f t="shared" ref="G531:I533" si="80">D531-50+G530</f>
        <v>-77.857142857142506</v>
      </c>
      <c r="H531" s="90">
        <f t="shared" si="80"/>
        <v>1831.25</v>
      </c>
      <c r="I531" s="91">
        <f t="shared" si="80"/>
        <v>774.90476190476136</v>
      </c>
      <c r="J531" s="635">
        <f>IF($D531="",NA,$G531+2000)</f>
        <v>1922.1428571428576</v>
      </c>
      <c r="K531" s="90">
        <f>IF(E531="",NA,H531)</f>
        <v>1831.25</v>
      </c>
      <c r="L531" s="58">
        <f>IF($F531="",NA,$I531-500)</f>
        <v>274.90476190476136</v>
      </c>
      <c r="M531" s="189"/>
      <c r="N531" s="183">
        <f t="shared" si="58"/>
        <v>50</v>
      </c>
      <c r="O531" s="146"/>
      <c r="P531" s="146">
        <f t="shared" si="59"/>
        <v>0</v>
      </c>
      <c r="Q531" s="112"/>
    </row>
    <row r="532" spans="2:17">
      <c r="B532" s="186"/>
      <c r="C532" s="175">
        <f>IF(初期登録!$B$10*12+初期登録!$D$10&lt;$A496,"",12)</f>
        <v>12</v>
      </c>
      <c r="D532" s="1037">
        <v>50</v>
      </c>
      <c r="E532" s="1038">
        <v>25</v>
      </c>
      <c r="F532" s="1039">
        <v>42.857142857142854</v>
      </c>
      <c r="G532" s="154">
        <f t="shared" si="80"/>
        <v>-77.857142857142506</v>
      </c>
      <c r="H532" s="155">
        <f t="shared" si="80"/>
        <v>1806.25</v>
      </c>
      <c r="I532" s="157">
        <f t="shared" si="80"/>
        <v>767.76190476190425</v>
      </c>
      <c r="J532" s="1040">
        <f>IF($D532="",NA,$G532+2000)</f>
        <v>1922.1428571428576</v>
      </c>
      <c r="K532" s="155">
        <f>IF(E532="",NA,H532)</f>
        <v>1806.25</v>
      </c>
      <c r="L532" s="639">
        <f>IF($F532="",NA,$I532-500)</f>
        <v>267.76190476190425</v>
      </c>
      <c r="M532" s="190"/>
      <c r="N532" s="183">
        <f t="shared" si="58"/>
        <v>50</v>
      </c>
      <c r="O532" s="146"/>
      <c r="P532" s="146">
        <f t="shared" si="59"/>
        <v>0</v>
      </c>
      <c r="Q532" s="147"/>
    </row>
    <row r="533" spans="2:17">
      <c r="B533" s="184">
        <v>5</v>
      </c>
      <c r="C533" s="178">
        <f>IF(初期登録!$B$10*12+初期登録!$D$10&lt;$A497,"",1)</f>
        <v>1</v>
      </c>
      <c r="D533" s="1041">
        <v>50</v>
      </c>
      <c r="E533" s="1042">
        <v>18.75</v>
      </c>
      <c r="F533" s="1043">
        <v>85.714285714285708</v>
      </c>
      <c r="G533" s="1044">
        <f t="shared" si="80"/>
        <v>-77.857142857142506</v>
      </c>
      <c r="H533" s="1045">
        <f t="shared" si="80"/>
        <v>1775</v>
      </c>
      <c r="I533" s="1046">
        <f t="shared" si="80"/>
        <v>803.47619047618991</v>
      </c>
      <c r="J533" s="633">
        <f>IF($D533="",NA,$G533+2000)</f>
        <v>1922.1428571428576</v>
      </c>
      <c r="K533" s="1045">
        <f>IF(E533="",NA,H533)</f>
        <v>1775</v>
      </c>
      <c r="L533" s="634">
        <f>IF($F533="",NA,$I533-500)</f>
        <v>303.47619047618991</v>
      </c>
      <c r="M533" s="188">
        <v>2023</v>
      </c>
      <c r="N533" s="133">
        <f>IF(C508="",NA(),50)</f>
        <v>50</v>
      </c>
      <c r="O533" s="134"/>
      <c r="P533" s="134">
        <f>IF(C508="",NA(),0)</f>
        <v>0</v>
      </c>
      <c r="Q533" s="159"/>
    </row>
    <row r="534" spans="2:17">
      <c r="B534" s="185"/>
      <c r="C534" s="174">
        <f>IF(初期登録!$B$10*12+初期登録!$D$10&lt;$A498,"",2)</f>
        <v>2</v>
      </c>
      <c r="D534" s="642">
        <v>57.142857142857146</v>
      </c>
      <c r="E534" s="88">
        <v>25</v>
      </c>
      <c r="F534" s="643">
        <v>57.142857142857146</v>
      </c>
      <c r="G534" s="89">
        <f t="shared" ref="G534:I535" si="81">D534-50+G533</f>
        <v>-70.714285714285353</v>
      </c>
      <c r="H534" s="90">
        <f t="shared" si="81"/>
        <v>1750</v>
      </c>
      <c r="I534" s="91">
        <f t="shared" si="81"/>
        <v>810.61904761904702</v>
      </c>
      <c r="J534" s="635">
        <f>IF($D534="",NA,$G534+2000)</f>
        <v>1929.2857142857147</v>
      </c>
      <c r="K534" s="90">
        <f>IF(E534="",NA,H534)</f>
        <v>1750</v>
      </c>
      <c r="L534" s="58">
        <f>IF($F534="",NA,$I534-500)</f>
        <v>310.61904761904702</v>
      </c>
      <c r="M534" s="189"/>
      <c r="N534" s="183">
        <f t="shared" ref="N534:N544" si="82">IF(C533="",NA(),50)</f>
        <v>50</v>
      </c>
      <c r="O534" s="146"/>
      <c r="P534" s="146">
        <f t="shared" ref="P534:P544" si="83">IF(C533="",NA(),0)</f>
        <v>0</v>
      </c>
      <c r="Q534" s="112"/>
    </row>
    <row r="535" spans="2:17">
      <c r="B535" s="185"/>
      <c r="C535" s="174">
        <f>IF(初期登録!$B$10*12+初期登録!$D$10&lt;$A499,"",3)</f>
        <v>3</v>
      </c>
      <c r="D535" s="642">
        <v>28.571428571428573</v>
      </c>
      <c r="E535" s="88">
        <v>50</v>
      </c>
      <c r="F535" s="643">
        <v>57.142857142857146</v>
      </c>
      <c r="G535" s="89">
        <f t="shared" si="81"/>
        <v>-92.142857142856784</v>
      </c>
      <c r="H535" s="90">
        <f t="shared" si="81"/>
        <v>1750</v>
      </c>
      <c r="I535" s="91">
        <f t="shared" si="81"/>
        <v>817.76190476190413</v>
      </c>
      <c r="J535" s="635">
        <f>IF($D535="",NA,$G535+2000)</f>
        <v>1907.8571428571431</v>
      </c>
      <c r="K535" s="90">
        <f>IF(E535="",NA,H535)</f>
        <v>1750</v>
      </c>
      <c r="L535" s="58">
        <f>IF($F535="",NA,$I535-500)</f>
        <v>317.76190476190413</v>
      </c>
      <c r="M535" s="189"/>
      <c r="N535" s="183">
        <f t="shared" si="82"/>
        <v>50</v>
      </c>
      <c r="O535" s="146"/>
      <c r="P535" s="146">
        <f t="shared" si="83"/>
        <v>0</v>
      </c>
      <c r="Q535" s="112"/>
    </row>
    <row r="536" spans="2:17">
      <c r="B536" s="185"/>
      <c r="C536" s="174">
        <f>IF(初期登録!$B$10*12+初期登録!$D$10&lt;$A500,"",4)</f>
        <v>4</v>
      </c>
      <c r="D536" s="642">
        <v>57.142857142857146</v>
      </c>
      <c r="E536" s="88">
        <v>37.5</v>
      </c>
      <c r="F536" s="643">
        <v>57.142857142857146</v>
      </c>
      <c r="G536" s="89">
        <f t="shared" ref="G536:I537" si="84">D536-50+G535</f>
        <v>-84.999999999999631</v>
      </c>
      <c r="H536" s="90">
        <f t="shared" si="84"/>
        <v>1737.5</v>
      </c>
      <c r="I536" s="91">
        <f t="shared" si="84"/>
        <v>824.90476190476124</v>
      </c>
      <c r="J536" s="635">
        <f>IF($D536="",NA,$G536+2000)</f>
        <v>1915.0000000000005</v>
      </c>
      <c r="K536" s="90">
        <f>IF(E536="",NA,H536)</f>
        <v>1737.5</v>
      </c>
      <c r="L536" s="58">
        <f>IF($F536="",NA,$I536-500)</f>
        <v>324.90476190476124</v>
      </c>
      <c r="M536" s="189"/>
      <c r="N536" s="183">
        <f t="shared" si="82"/>
        <v>50</v>
      </c>
      <c r="O536" s="146"/>
      <c r="P536" s="146">
        <f t="shared" si="83"/>
        <v>0</v>
      </c>
      <c r="Q536" s="112"/>
    </row>
    <row r="537" spans="2:17">
      <c r="B537" s="185"/>
      <c r="C537" s="174">
        <f>IF(初期登録!$B$10*12+初期登録!$D$10&lt;$A501,"",5)</f>
        <v>5</v>
      </c>
      <c r="D537" s="642">
        <v>28.571428571428573</v>
      </c>
      <c r="E537" s="88">
        <v>50</v>
      </c>
      <c r="F537" s="643">
        <v>14.285714285714286</v>
      </c>
      <c r="G537" s="89">
        <f t="shared" si="84"/>
        <v>-106.42857142857106</v>
      </c>
      <c r="H537" s="90">
        <f t="shared" si="84"/>
        <v>1737.5</v>
      </c>
      <c r="I537" s="91">
        <f t="shared" si="84"/>
        <v>789.19047619047558</v>
      </c>
      <c r="J537" s="635">
        <f>IF($D537="",NA,$G537+2000)</f>
        <v>1893.5714285714289</v>
      </c>
      <c r="K537" s="90">
        <f>IF(E537="",NA,H537)</f>
        <v>1737.5</v>
      </c>
      <c r="L537" s="58">
        <f>IF($F537="",NA,$I537-500)</f>
        <v>289.19047619047558</v>
      </c>
      <c r="M537" s="189"/>
      <c r="N537" s="183">
        <f t="shared" si="82"/>
        <v>50</v>
      </c>
      <c r="O537" s="146"/>
      <c r="P537" s="146">
        <f t="shared" si="83"/>
        <v>0</v>
      </c>
      <c r="Q537" s="112"/>
    </row>
    <row r="538" spans="2:17">
      <c r="B538" s="185"/>
      <c r="C538" s="174">
        <f>IF(初期登録!$B$10*12+初期登録!$D$10&lt;$A502,"",6)</f>
        <v>6</v>
      </c>
      <c r="D538" s="642">
        <v>42.857142857142854</v>
      </c>
      <c r="E538" s="88">
        <v>25</v>
      </c>
      <c r="F538" s="643">
        <v>14.285714285714286</v>
      </c>
      <c r="G538" s="89">
        <f t="shared" ref="G538:I539" si="85">D538-50+G537</f>
        <v>-113.57142857142821</v>
      </c>
      <c r="H538" s="90">
        <f t="shared" si="85"/>
        <v>1712.5</v>
      </c>
      <c r="I538" s="91">
        <f t="shared" si="85"/>
        <v>753.47619047618991</v>
      </c>
      <c r="J538" s="635">
        <f>IF($D538="",NA,$G538+2000)</f>
        <v>1886.4285714285718</v>
      </c>
      <c r="K538" s="90">
        <f>IF(E538="",NA,H538)</f>
        <v>1712.5</v>
      </c>
      <c r="L538" s="58">
        <f>IF($F538="",NA,$I538-500)</f>
        <v>253.47619047618991</v>
      </c>
      <c r="M538" s="189"/>
      <c r="N538" s="183">
        <f t="shared" si="82"/>
        <v>50</v>
      </c>
      <c r="O538" s="146"/>
      <c r="P538" s="146">
        <f t="shared" si="83"/>
        <v>0</v>
      </c>
      <c r="Q538" s="112"/>
    </row>
    <row r="539" spans="2:17">
      <c r="B539" s="185"/>
      <c r="C539" s="174">
        <f>IF(初期登録!$B$10*12+初期登録!$D$10&lt;$A503,"",7)</f>
        <v>7</v>
      </c>
      <c r="D539" s="642">
        <v>28.571428571428573</v>
      </c>
      <c r="E539" s="88">
        <v>25</v>
      </c>
      <c r="F539" s="643">
        <v>42.857142857142854</v>
      </c>
      <c r="G539" s="89">
        <f t="shared" si="85"/>
        <v>-134.99999999999963</v>
      </c>
      <c r="H539" s="90">
        <f t="shared" si="85"/>
        <v>1687.5</v>
      </c>
      <c r="I539" s="91">
        <f t="shared" si="85"/>
        <v>746.3333333333328</v>
      </c>
      <c r="J539" s="635">
        <f>IF($D539="",NA,$G539+2000)</f>
        <v>1865.0000000000005</v>
      </c>
      <c r="K539" s="90">
        <f>IF(E539="",NA,H539)</f>
        <v>1687.5</v>
      </c>
      <c r="L539" s="58">
        <f>IF($F539="",NA,$I539-500)</f>
        <v>246.3333333333328</v>
      </c>
      <c r="M539" s="189"/>
      <c r="N539" s="183">
        <f t="shared" si="82"/>
        <v>50</v>
      </c>
      <c r="O539" s="146"/>
      <c r="P539" s="146">
        <f t="shared" si="83"/>
        <v>0</v>
      </c>
      <c r="Q539" s="112"/>
    </row>
    <row r="540" spans="2:17">
      <c r="B540" s="185"/>
      <c r="C540" s="174">
        <f>IF(初期登録!$B$10*12+初期登録!$D$10&lt;$A504,"",8)</f>
        <v>8</v>
      </c>
      <c r="D540" s="642">
        <v>57.142857142857146</v>
      </c>
      <c r="E540" s="88">
        <v>25</v>
      </c>
      <c r="F540" s="643">
        <v>71.428571428571431</v>
      </c>
      <c r="G540" s="89">
        <f t="shared" ref="G540:I541" si="86">D540-50+G539</f>
        <v>-127.85714285714249</v>
      </c>
      <c r="H540" s="90">
        <f t="shared" si="86"/>
        <v>1662.5</v>
      </c>
      <c r="I540" s="91">
        <f t="shared" si="86"/>
        <v>767.76190476190425</v>
      </c>
      <c r="J540" s="635">
        <f>IF($D540="",NA,$G540+2000)</f>
        <v>1872.1428571428576</v>
      </c>
      <c r="K540" s="90">
        <f>IF(E540="",NA,H540)</f>
        <v>1662.5</v>
      </c>
      <c r="L540" s="58">
        <f>IF($F540="",NA,$I540-500)</f>
        <v>267.76190476190425</v>
      </c>
      <c r="M540" s="189"/>
      <c r="N540" s="183">
        <f t="shared" si="82"/>
        <v>50</v>
      </c>
      <c r="O540" s="146"/>
      <c r="P540" s="146">
        <f t="shared" si="83"/>
        <v>0</v>
      </c>
      <c r="Q540" s="112"/>
    </row>
    <row r="541" spans="2:17">
      <c r="B541" s="185"/>
      <c r="C541" s="174">
        <f>IF(初期登録!$B$10*12+初期登録!$D$10&lt;$A505,"",9)</f>
        <v>9</v>
      </c>
      <c r="D541" s="642">
        <v>57.142857142857146</v>
      </c>
      <c r="E541" s="88">
        <v>25</v>
      </c>
      <c r="F541" s="643">
        <v>78.571428571428569</v>
      </c>
      <c r="G541" s="89">
        <f t="shared" si="86"/>
        <v>-120.71428571428535</v>
      </c>
      <c r="H541" s="90">
        <f t="shared" si="86"/>
        <v>1637.5</v>
      </c>
      <c r="I541" s="91">
        <f t="shared" si="86"/>
        <v>796.3333333333328</v>
      </c>
      <c r="J541" s="635">
        <f>IF($D541="",NA,$G541+2000)</f>
        <v>1879.2857142857147</v>
      </c>
      <c r="K541" s="90">
        <f>IF(E541="",NA,H541)</f>
        <v>1637.5</v>
      </c>
      <c r="L541" s="58">
        <f>IF($F541="",NA,$I541-500)</f>
        <v>296.3333333333328</v>
      </c>
      <c r="M541" s="189"/>
      <c r="N541" s="183">
        <f t="shared" si="82"/>
        <v>50</v>
      </c>
      <c r="O541" s="146"/>
      <c r="P541" s="146">
        <f t="shared" si="83"/>
        <v>0</v>
      </c>
      <c r="Q541" s="112"/>
    </row>
    <row r="542" spans="2:17">
      <c r="B542" s="185"/>
      <c r="C542" s="174">
        <f>IF(初期登録!$B$10*12+初期登録!$D$10&lt;$A506,"",10)</f>
        <v>10</v>
      </c>
      <c r="D542" s="642">
        <v>21.428571428571427</v>
      </c>
      <c r="E542" s="88">
        <v>37.5</v>
      </c>
      <c r="F542" s="643">
        <v>85.714285714285708</v>
      </c>
      <c r="G542" s="89">
        <f t="shared" ref="G542:I543" si="87">D542-50+G541</f>
        <v>-149.28571428571394</v>
      </c>
      <c r="H542" s="90">
        <f t="shared" si="87"/>
        <v>1625</v>
      </c>
      <c r="I542" s="91">
        <f t="shared" si="87"/>
        <v>832.04761904761847</v>
      </c>
      <c r="J542" s="635">
        <f>IF($D542="",NA,$G542+2000)</f>
        <v>1850.714285714286</v>
      </c>
      <c r="K542" s="90">
        <f>IF(E542="",NA,H542)</f>
        <v>1625</v>
      </c>
      <c r="L542" s="58">
        <f>IF($F542="",NA,$I542-500)</f>
        <v>332.04761904761847</v>
      </c>
      <c r="M542" s="189"/>
      <c r="N542" s="183">
        <f t="shared" si="82"/>
        <v>50</v>
      </c>
      <c r="O542" s="146"/>
      <c r="P542" s="146">
        <f t="shared" si="83"/>
        <v>0</v>
      </c>
      <c r="Q542" s="112"/>
    </row>
    <row r="543" spans="2:17">
      <c r="B543" s="185"/>
      <c r="C543" s="174">
        <f>IF(初期登録!$B$10*12+初期登録!$D$10&lt;$A507,"",11)</f>
        <v>11</v>
      </c>
      <c r="D543" s="642">
        <v>28.571428571428573</v>
      </c>
      <c r="E543" s="88">
        <v>12.5</v>
      </c>
      <c r="F543" s="643">
        <v>71.428571428571431</v>
      </c>
      <c r="G543" s="89">
        <f t="shared" si="87"/>
        <v>-170.71428571428535</v>
      </c>
      <c r="H543" s="90">
        <f t="shared" si="87"/>
        <v>1587.5</v>
      </c>
      <c r="I543" s="91">
        <f t="shared" si="87"/>
        <v>853.47619047618991</v>
      </c>
      <c r="J543" s="635">
        <f>IF($D543="",NA,$G543+2000)</f>
        <v>1829.2857142857147</v>
      </c>
      <c r="K543" s="90">
        <f>IF(E543="",NA,H543)</f>
        <v>1587.5</v>
      </c>
      <c r="L543" s="58">
        <f>IF($F543="",NA,$I543-500)</f>
        <v>353.47619047618991</v>
      </c>
      <c r="M543" s="189"/>
      <c r="N543" s="183">
        <f t="shared" si="82"/>
        <v>50</v>
      </c>
      <c r="O543" s="146"/>
      <c r="P543" s="146">
        <f t="shared" si="83"/>
        <v>0</v>
      </c>
      <c r="Q543" s="112"/>
    </row>
    <row r="544" spans="2:17">
      <c r="B544" s="186"/>
      <c r="C544" s="175">
        <f>IF(初期登録!$B$10*12+初期登録!$D$10&lt;$A508,"",12)</f>
        <v>12</v>
      </c>
      <c r="D544" s="644">
        <v>64.285714285714292</v>
      </c>
      <c r="E544" s="92">
        <v>37.5</v>
      </c>
      <c r="F544" s="93">
        <v>85.714285714285708</v>
      </c>
      <c r="G544" s="94">
        <f>D544-50+G543</f>
        <v>-156.42857142857105</v>
      </c>
      <c r="H544" s="95">
        <f>E544-50+H543</f>
        <v>1575</v>
      </c>
      <c r="I544" s="96">
        <f>F544-50+I543</f>
        <v>889.19047619047558</v>
      </c>
      <c r="J544" s="636">
        <f>IF($D544="",NA,$G544+2000)</f>
        <v>1843.5714285714289</v>
      </c>
      <c r="K544" s="95">
        <f>IF(E544="",NA,H544)</f>
        <v>1575</v>
      </c>
      <c r="L544" s="637">
        <f>IF($F544="",NA,$I544-500)</f>
        <v>389.19047619047558</v>
      </c>
      <c r="M544" s="190"/>
      <c r="N544" s="136">
        <f t="shared" si="82"/>
        <v>50</v>
      </c>
      <c r="O544" s="137"/>
      <c r="P544" s="137">
        <f t="shared" si="83"/>
        <v>0</v>
      </c>
      <c r="Q544" s="138"/>
    </row>
    <row r="545" spans="2:17">
      <c r="B545" s="184">
        <v>6</v>
      </c>
      <c r="C545" s="178">
        <f>IF(初期登録!$B$10*12+初期登録!$D$10&lt;$A509,"",1)</f>
        <v>1</v>
      </c>
      <c r="D545" s="1041">
        <v>28.571428571428573</v>
      </c>
      <c r="E545" s="1042">
        <v>12.5</v>
      </c>
      <c r="F545" s="1043">
        <v>28.571428571428573</v>
      </c>
      <c r="G545" s="1044">
        <f t="shared" ref="G545:G551" si="88">D545-50+G544</f>
        <v>-177.85714285714246</v>
      </c>
      <c r="H545" s="1045">
        <f t="shared" ref="H545:H551" si="89">E545-50+H544</f>
        <v>1537.5</v>
      </c>
      <c r="I545" s="1046">
        <f t="shared" ref="I545:I551" si="90">F545-50+I544</f>
        <v>867.76190476190413</v>
      </c>
      <c r="J545" s="633">
        <f>IF($D545="",NA,$G545+2000)</f>
        <v>1822.1428571428576</v>
      </c>
      <c r="K545" s="1045">
        <f>IF(E545="",NA,H545)</f>
        <v>1537.5</v>
      </c>
      <c r="L545" s="634">
        <f>IF($F545="",NA,$I545-500)</f>
        <v>367.76190476190413</v>
      </c>
      <c r="M545" s="188"/>
      <c r="N545" s="133">
        <f>IF(C520="",NA(),50)</f>
        <v>50</v>
      </c>
      <c r="O545" s="134"/>
      <c r="P545" s="134">
        <f>IF(C520="",NA(),0)</f>
        <v>0</v>
      </c>
      <c r="Q545" s="159"/>
    </row>
    <row r="546" spans="2:17">
      <c r="B546" s="185"/>
      <c r="C546" s="174">
        <f>IF(初期登録!$B$10*12+初期登録!$D$10&lt;$A510,"",2)</f>
        <v>2</v>
      </c>
      <c r="D546" s="642">
        <v>0</v>
      </c>
      <c r="E546" s="88">
        <v>62.5</v>
      </c>
      <c r="F546" s="643">
        <v>42.857142857142854</v>
      </c>
      <c r="G546" s="89">
        <f t="shared" si="88"/>
        <v>-227.85714285714246</v>
      </c>
      <c r="H546" s="90">
        <f t="shared" si="89"/>
        <v>1550</v>
      </c>
      <c r="I546" s="91">
        <f t="shared" si="90"/>
        <v>860.61904761904702</v>
      </c>
      <c r="J546" s="635">
        <f>IF($D546="",NA,$G546+2000)</f>
        <v>1772.1428571428576</v>
      </c>
      <c r="K546" s="90">
        <f>IF(E546="",NA,H546)</f>
        <v>1550</v>
      </c>
      <c r="L546" s="58">
        <f>IF($F546="",NA,$I546-500)</f>
        <v>360.61904761904702</v>
      </c>
      <c r="M546" s="189"/>
      <c r="N546" s="183">
        <f t="shared" ref="N546:N568" si="91">IF(C545="",NA(),50)</f>
        <v>50</v>
      </c>
      <c r="O546" s="146"/>
      <c r="P546" s="146">
        <f t="shared" ref="P546:P568" si="92">IF(C545="",NA(),0)</f>
        <v>0</v>
      </c>
      <c r="Q546" s="112"/>
    </row>
    <row r="547" spans="2:17">
      <c r="B547" s="185"/>
      <c r="C547" s="174">
        <f>IF(初期登録!$B$10*12+初期登録!$D$10&lt;$A511,"",3)</f>
        <v>3</v>
      </c>
      <c r="D547" s="642">
        <v>57.142857142857146</v>
      </c>
      <c r="E547" s="88">
        <v>62.5</v>
      </c>
      <c r="F547" s="643">
        <v>28.571428571428573</v>
      </c>
      <c r="G547" s="89">
        <f t="shared" si="88"/>
        <v>-220.71428571428532</v>
      </c>
      <c r="H547" s="90">
        <f t="shared" si="89"/>
        <v>1562.5</v>
      </c>
      <c r="I547" s="91">
        <f t="shared" si="90"/>
        <v>839.19047619047558</v>
      </c>
      <c r="J547" s="635">
        <f>IF($D547="",NA,$G547+2000)</f>
        <v>1779.2857142857147</v>
      </c>
      <c r="K547" s="90">
        <f>IF(E547="",NA,H547)</f>
        <v>1562.5</v>
      </c>
      <c r="L547" s="58">
        <f>IF($F547="",NA,$I547-500)</f>
        <v>339.19047619047558</v>
      </c>
      <c r="M547" s="189"/>
      <c r="N547" s="183">
        <f t="shared" si="91"/>
        <v>50</v>
      </c>
      <c r="O547" s="146"/>
      <c r="P547" s="146">
        <f t="shared" si="92"/>
        <v>0</v>
      </c>
      <c r="Q547" s="112"/>
    </row>
    <row r="548" spans="2:17">
      <c r="B548" s="185"/>
      <c r="C548" s="174">
        <f>IF(初期登録!$B$10*12+初期登録!$D$10&lt;$A512,"",4)</f>
        <v>4</v>
      </c>
      <c r="D548" s="642">
        <v>42.857142857142854</v>
      </c>
      <c r="E548" s="88">
        <v>62.5</v>
      </c>
      <c r="F548" s="643">
        <v>28.571428571428573</v>
      </c>
      <c r="G548" s="89">
        <f t="shared" si="88"/>
        <v>-227.85714285714246</v>
      </c>
      <c r="H548" s="90">
        <f t="shared" si="89"/>
        <v>1575</v>
      </c>
      <c r="I548" s="91">
        <f t="shared" si="90"/>
        <v>817.76190476190413</v>
      </c>
      <c r="J548" s="635">
        <f>IF($D548="",NA,$G548+2000)</f>
        <v>1772.1428571428576</v>
      </c>
      <c r="K548" s="90">
        <f>IF(E548="",NA,H548)</f>
        <v>1575</v>
      </c>
      <c r="L548" s="58">
        <f>IF($F548="",NA,$I548-500)</f>
        <v>317.76190476190413</v>
      </c>
      <c r="M548" s="189"/>
      <c r="N548" s="183">
        <f t="shared" si="91"/>
        <v>50</v>
      </c>
      <c r="O548" s="146"/>
      <c r="P548" s="146">
        <f t="shared" si="92"/>
        <v>0</v>
      </c>
      <c r="Q548" s="112"/>
    </row>
    <row r="549" spans="2:17">
      <c r="B549" s="185"/>
      <c r="C549" s="174">
        <f>IF(初期登録!$B$10*12+初期登録!$D$10&lt;$A513,"",5)</f>
        <v>5</v>
      </c>
      <c r="D549" s="642">
        <v>28.571428571428573</v>
      </c>
      <c r="E549" s="88">
        <v>62.5</v>
      </c>
      <c r="F549" s="643">
        <v>28.571428571428573</v>
      </c>
      <c r="G549" s="89">
        <f t="shared" si="88"/>
        <v>-249.28571428571388</v>
      </c>
      <c r="H549" s="90">
        <f t="shared" si="89"/>
        <v>1587.5</v>
      </c>
      <c r="I549" s="91">
        <f t="shared" si="90"/>
        <v>796.33333333333269</v>
      </c>
      <c r="J549" s="635">
        <f>IF($D549="",NA,$G549+2000)</f>
        <v>1750.7142857142862</v>
      </c>
      <c r="K549" s="90">
        <f>IF(E549="",NA,H549)</f>
        <v>1587.5</v>
      </c>
      <c r="L549" s="58">
        <f>IF($F549="",NA,$I549-500)</f>
        <v>296.33333333333269</v>
      </c>
      <c r="M549" s="189"/>
      <c r="N549" s="183">
        <f t="shared" si="91"/>
        <v>50</v>
      </c>
      <c r="O549" s="146"/>
      <c r="P549" s="146">
        <f t="shared" si="92"/>
        <v>0</v>
      </c>
      <c r="Q549" s="112"/>
    </row>
    <row r="550" spans="2:17">
      <c r="B550" s="185"/>
      <c r="C550" s="174">
        <f>IF(初期登録!$B$10*12+初期登録!$D$10&lt;$A514,"",6)</f>
        <v>6</v>
      </c>
      <c r="D550" s="642">
        <v>42.857142857142854</v>
      </c>
      <c r="E550" s="88">
        <v>75</v>
      </c>
      <c r="F550" s="643">
        <v>85.714285714285708</v>
      </c>
      <c r="G550" s="89">
        <f t="shared" si="88"/>
        <v>-256.42857142857105</v>
      </c>
      <c r="H550" s="90">
        <f t="shared" si="89"/>
        <v>1612.5</v>
      </c>
      <c r="I550" s="91">
        <f t="shared" si="90"/>
        <v>832.04761904761835</v>
      </c>
      <c r="J550" s="635">
        <f>IF($D550="",NA,$G550+2000)</f>
        <v>1743.5714285714289</v>
      </c>
      <c r="K550" s="90">
        <f>IF(E550="",NA,H550)</f>
        <v>1612.5</v>
      </c>
      <c r="L550" s="58">
        <f>IF($F550="",NA,$I550-500)</f>
        <v>332.04761904761835</v>
      </c>
      <c r="M550" s="189"/>
      <c r="N550" s="183">
        <f t="shared" si="91"/>
        <v>50</v>
      </c>
      <c r="O550" s="146"/>
      <c r="P550" s="146">
        <f t="shared" si="92"/>
        <v>0</v>
      </c>
      <c r="Q550" s="112"/>
    </row>
    <row r="551" spans="2:17">
      <c r="B551" s="185"/>
      <c r="C551" s="174">
        <f>IF(初期登録!$B$10*12+初期登録!$D$10&lt;$A515,"",7)</f>
        <v>7</v>
      </c>
      <c r="D551" s="642">
        <v>64.285714285714292</v>
      </c>
      <c r="E551" s="88">
        <v>50</v>
      </c>
      <c r="F551" s="643">
        <v>28.571428571428573</v>
      </c>
      <c r="G551" s="89">
        <f t="shared" si="88"/>
        <v>-242.14285714285677</v>
      </c>
      <c r="H551" s="90">
        <f t="shared" si="89"/>
        <v>1612.5</v>
      </c>
      <c r="I551" s="91">
        <f t="shared" si="90"/>
        <v>810.61904761904691</v>
      </c>
      <c r="J551" s="635">
        <f>IF($D551="",NA,$G551+2000)</f>
        <v>1757.8571428571431</v>
      </c>
      <c r="K551" s="90">
        <f>IF(E551="",NA,H551)</f>
        <v>1612.5</v>
      </c>
      <c r="L551" s="58">
        <f>IF($F551="",NA,$I551-500)</f>
        <v>310.61904761904691</v>
      </c>
      <c r="M551" s="189"/>
      <c r="N551" s="183">
        <f t="shared" si="91"/>
        <v>50</v>
      </c>
      <c r="O551" s="146"/>
      <c r="P551" s="146">
        <f t="shared" si="92"/>
        <v>0</v>
      </c>
      <c r="Q551" s="112"/>
    </row>
    <row r="552" spans="2:17">
      <c r="B552" s="185"/>
      <c r="C552" s="174">
        <f>IF(初期登録!$B$10*12+初期登録!$D$10&lt;$A516,"",8)</f>
        <v>8</v>
      </c>
      <c r="D552" s="642">
        <v>42.857142857142854</v>
      </c>
      <c r="E552" s="88">
        <v>25</v>
      </c>
      <c r="F552" s="643">
        <v>57.142857142857146</v>
      </c>
      <c r="G552" s="89">
        <f t="shared" ref="G552:I554" si="93">D552-50+G551</f>
        <v>-249.28571428571391</v>
      </c>
      <c r="H552" s="90">
        <f t="shared" si="93"/>
        <v>1587.5</v>
      </c>
      <c r="I552" s="91">
        <f t="shared" si="93"/>
        <v>817.76190476190402</v>
      </c>
      <c r="J552" s="635">
        <f>IF($D552="",NA,$G552+2000)</f>
        <v>1750.714285714286</v>
      </c>
      <c r="K552" s="90">
        <f>IF(E552="",NA,H552)</f>
        <v>1587.5</v>
      </c>
      <c r="L552" s="58">
        <f>IF($F552="",NA,$I552-500)</f>
        <v>317.76190476190402</v>
      </c>
      <c r="M552" s="189"/>
      <c r="N552" s="183">
        <f t="shared" si="91"/>
        <v>50</v>
      </c>
      <c r="O552" s="146"/>
      <c r="P552" s="146">
        <f t="shared" si="92"/>
        <v>0</v>
      </c>
      <c r="Q552" s="112"/>
    </row>
    <row r="553" spans="2:17">
      <c r="B553" s="185"/>
      <c r="C553" s="174">
        <f>IF(初期登録!$B$10*12+初期登録!$D$10&lt;$A517,"",9)</f>
        <v>9</v>
      </c>
      <c r="D553" s="642">
        <v>57.142857142857146</v>
      </c>
      <c r="E553" s="88">
        <v>43.75</v>
      </c>
      <c r="F553" s="643">
        <v>57.142857142857146</v>
      </c>
      <c r="G553" s="89">
        <f t="shared" si="93"/>
        <v>-242.14285714285677</v>
      </c>
      <c r="H553" s="90">
        <f t="shared" si="93"/>
        <v>1581.25</v>
      </c>
      <c r="I553" s="91">
        <f t="shared" si="93"/>
        <v>824.90476190476113</v>
      </c>
      <c r="J553" s="635">
        <f>IF($D553="",NA,$G553+2000)</f>
        <v>1757.8571428571431</v>
      </c>
      <c r="K553" s="90">
        <f>IF(E553="",NA,H553)</f>
        <v>1581.25</v>
      </c>
      <c r="L553" s="58">
        <f>IF($F553="",NA,$I553-500)</f>
        <v>324.90476190476113</v>
      </c>
      <c r="M553" s="189"/>
      <c r="N553" s="183">
        <f t="shared" si="91"/>
        <v>50</v>
      </c>
      <c r="O553" s="146"/>
      <c r="P553" s="146">
        <f t="shared" si="92"/>
        <v>0</v>
      </c>
      <c r="Q553" s="112"/>
    </row>
    <row r="554" spans="2:17">
      <c r="B554" s="185"/>
      <c r="C554" s="174">
        <f>IF(初期登録!$B$10*12+初期登録!$D$10&lt;$A518,"",10)</f>
        <v>10</v>
      </c>
      <c r="D554" s="642">
        <v>71.428571428571431</v>
      </c>
      <c r="E554" s="88">
        <v>75</v>
      </c>
      <c r="F554" s="643">
        <v>57.142857142857146</v>
      </c>
      <c r="G554" s="89">
        <f t="shared" si="93"/>
        <v>-220.71428571428532</v>
      </c>
      <c r="H554" s="90">
        <f t="shared" si="93"/>
        <v>1606.25</v>
      </c>
      <c r="I554" s="91">
        <f t="shared" si="93"/>
        <v>832.04761904761824</v>
      </c>
      <c r="J554" s="635">
        <f>IF($D554="",NA,$G554+2000)</f>
        <v>1779.2857142857147</v>
      </c>
      <c r="K554" s="90">
        <f>IF(E554="",NA,H554)</f>
        <v>1606.25</v>
      </c>
      <c r="L554" s="58">
        <f>IF($F554="",NA,$I554-500)</f>
        <v>332.04761904761824</v>
      </c>
      <c r="M554" s="189"/>
      <c r="N554" s="183">
        <f t="shared" si="91"/>
        <v>50</v>
      </c>
      <c r="O554" s="146"/>
      <c r="P554" s="146">
        <f t="shared" si="92"/>
        <v>0</v>
      </c>
      <c r="Q554" s="112"/>
    </row>
    <row r="555" spans="2:17">
      <c r="B555" s="185"/>
      <c r="C555" s="174">
        <f>IF(初期登録!$B$10*12+初期登録!$D$10&lt;$A519,"",11)</f>
        <v>11</v>
      </c>
      <c r="D555" s="642">
        <v>42.857142857142854</v>
      </c>
      <c r="E555" s="88">
        <v>68.75</v>
      </c>
      <c r="F555" s="643">
        <v>71.428571428571431</v>
      </c>
      <c r="G555" s="89">
        <f t="shared" ref="G555:I556" si="94">D555-50+G554</f>
        <v>-227.85714285714246</v>
      </c>
      <c r="H555" s="90">
        <f t="shared" si="94"/>
        <v>1625</v>
      </c>
      <c r="I555" s="91">
        <f t="shared" si="94"/>
        <v>853.47619047618969</v>
      </c>
      <c r="J555" s="635">
        <f>IF($D555="",NA,$G555+2000)</f>
        <v>1772.1428571428576</v>
      </c>
      <c r="K555" s="90">
        <f>IF(E555="",NA,H555)</f>
        <v>1625</v>
      </c>
      <c r="L555" s="58">
        <f>IF($F555="",NA,$I555-500)</f>
        <v>353.47619047618969</v>
      </c>
      <c r="M555" s="189"/>
      <c r="N555" s="183">
        <f t="shared" si="91"/>
        <v>50</v>
      </c>
      <c r="O555" s="146"/>
      <c r="P555" s="146">
        <f t="shared" si="92"/>
        <v>0</v>
      </c>
      <c r="Q555" s="112"/>
    </row>
    <row r="556" spans="2:17">
      <c r="B556" s="186"/>
      <c r="C556" s="175">
        <f>IF(初期登録!$B$10*12+初期登録!$D$10&lt;$A520,"",12)</f>
        <v>12</v>
      </c>
      <c r="D556" s="644">
        <v>57.142857142857146</v>
      </c>
      <c r="E556" s="92">
        <v>75</v>
      </c>
      <c r="F556" s="93">
        <v>85.714285714285708</v>
      </c>
      <c r="G556" s="94">
        <f t="shared" si="94"/>
        <v>-220.71428571428532</v>
      </c>
      <c r="H556" s="95">
        <f t="shared" si="94"/>
        <v>1650</v>
      </c>
      <c r="I556" s="96">
        <f t="shared" si="94"/>
        <v>889.19047619047535</v>
      </c>
      <c r="J556" s="636">
        <f>IF($D556="",NA,$G556+2000)</f>
        <v>1779.2857142857147</v>
      </c>
      <c r="K556" s="95">
        <f>IF(E556="",NA,H556)</f>
        <v>1650</v>
      </c>
      <c r="L556" s="637">
        <f>IF($F556="",NA,$I556-500)</f>
        <v>389.19047619047535</v>
      </c>
      <c r="M556" s="190"/>
      <c r="N556" s="136">
        <f t="shared" si="91"/>
        <v>50</v>
      </c>
      <c r="O556" s="137"/>
      <c r="P556" s="137">
        <f t="shared" si="92"/>
        <v>0</v>
      </c>
      <c r="Q556" s="138"/>
    </row>
    <row r="557" spans="2:17">
      <c r="B557" s="184">
        <v>7</v>
      </c>
      <c r="C557" s="178">
        <f>IF(初期登録!$B$10*12+初期登録!$D$10&lt;$A521,"",1)</f>
        <v>1</v>
      </c>
      <c r="D557" s="1041">
        <v>57.142857142857146</v>
      </c>
      <c r="E557" s="1042">
        <v>87.5</v>
      </c>
      <c r="F557" s="1043">
        <v>42.857142857142854</v>
      </c>
      <c r="G557" s="1044">
        <f>D557-50+G556</f>
        <v>-213.57142857142819</v>
      </c>
      <c r="H557" s="1045">
        <f>E557-50+H556</f>
        <v>1687.5</v>
      </c>
      <c r="I557" s="1046">
        <f>F557-50+I556</f>
        <v>882.04761904761824</v>
      </c>
      <c r="J557" s="633">
        <f>IF($D557="",NA,$G557+2000)</f>
        <v>1786.4285714285718</v>
      </c>
      <c r="K557" s="1045">
        <f>IF(E557="",NA,H557)</f>
        <v>1687.5</v>
      </c>
      <c r="L557" s="634">
        <f>IF($F557="",NA,$I557-500)</f>
        <v>382.04761904761824</v>
      </c>
      <c r="M557" s="188"/>
      <c r="N557" s="133">
        <f t="shared" si="91"/>
        <v>50</v>
      </c>
      <c r="O557" s="134"/>
      <c r="P557" s="134">
        <f t="shared" si="92"/>
        <v>0</v>
      </c>
      <c r="Q557" s="159"/>
    </row>
    <row r="558" spans="2:17">
      <c r="B558" s="185"/>
      <c r="C558" s="174">
        <f>IF(初期登録!$B$10*12+初期登録!$D$10&lt;$A522,"",2)</f>
        <v>2</v>
      </c>
      <c r="D558" s="642">
        <v>71.428571428571431</v>
      </c>
      <c r="E558" s="88">
        <v>62.5</v>
      </c>
      <c r="F558" s="643">
        <v>85.714285714285708</v>
      </c>
      <c r="G558" s="89">
        <f t="shared" ref="G558:G568" si="95">D558-50+G557</f>
        <v>-192.14285714285677</v>
      </c>
      <c r="H558" s="90">
        <f t="shared" ref="H558:H568" si="96">E558-50+H557</f>
        <v>1700</v>
      </c>
      <c r="I558" s="91">
        <f t="shared" ref="I558:I568" si="97">F558-50+I557</f>
        <v>917.76190476190391</v>
      </c>
      <c r="J558" s="635">
        <f>IF($D558="",NA,$G558+2000)</f>
        <v>1807.8571428571431</v>
      </c>
      <c r="K558" s="90">
        <f>IF(E558="",NA,H558)</f>
        <v>1700</v>
      </c>
      <c r="L558" s="58">
        <f>IF($F558="",NA,$I558-500)</f>
        <v>417.76190476190391</v>
      </c>
      <c r="M558" s="189"/>
      <c r="N558" s="183">
        <f t="shared" si="91"/>
        <v>50</v>
      </c>
      <c r="O558" s="146"/>
      <c r="P558" s="146">
        <f t="shared" si="92"/>
        <v>0</v>
      </c>
      <c r="Q558" s="112"/>
    </row>
    <row r="559" spans="2:17">
      <c r="B559" s="1254"/>
      <c r="C559" s="174">
        <f>IF(初期登録!$B$10*12+初期登録!$D$10&lt;$A523,"",3)</f>
        <v>3</v>
      </c>
      <c r="D559" s="642">
        <v>50</v>
      </c>
      <c r="E559" s="88">
        <v>75</v>
      </c>
      <c r="F559" s="643">
        <v>42.857142857142854</v>
      </c>
      <c r="G559" s="154">
        <f t="shared" si="95"/>
        <v>-192.14285714285677</v>
      </c>
      <c r="H559" s="155">
        <f t="shared" si="96"/>
        <v>1725</v>
      </c>
      <c r="I559" s="157">
        <f t="shared" si="97"/>
        <v>910.6190476190468</v>
      </c>
      <c r="J559" s="635">
        <f>IF($D559="",NA,$G559+2000)</f>
        <v>1807.8571428571431</v>
      </c>
      <c r="K559" s="90">
        <f>IF(E559="",NA,H559)</f>
        <v>1725</v>
      </c>
      <c r="L559" s="58">
        <f>IF($F559="",NA,$I559-500)</f>
        <v>410.6190476190468</v>
      </c>
      <c r="M559" s="189"/>
      <c r="N559" s="183">
        <f t="shared" si="91"/>
        <v>50</v>
      </c>
      <c r="O559" s="146"/>
      <c r="P559" s="146">
        <f t="shared" si="92"/>
        <v>0</v>
      </c>
      <c r="Q559" s="147"/>
    </row>
    <row r="560" spans="2:17">
      <c r="B560" s="1254"/>
      <c r="C560" s="174">
        <f>IF(初期登録!$B$10*12+初期登録!$D$10&lt;$A524,"",4)</f>
        <v>4</v>
      </c>
      <c r="D560" s="642">
        <v>85.714285714285708</v>
      </c>
      <c r="E560" s="88">
        <v>25</v>
      </c>
      <c r="F560" s="643">
        <v>28.571428571428573</v>
      </c>
      <c r="G560" s="154">
        <f t="shared" si="95"/>
        <v>-156.42857142857105</v>
      </c>
      <c r="H560" s="155">
        <f t="shared" si="96"/>
        <v>1700</v>
      </c>
      <c r="I560" s="157">
        <f t="shared" si="97"/>
        <v>889.19047619047535</v>
      </c>
      <c r="J560" s="635">
        <f>IF($D560="",NA,$G560+2000)</f>
        <v>1843.5714285714289</v>
      </c>
      <c r="K560" s="90">
        <f>IF(E560="",NA,H560)</f>
        <v>1700</v>
      </c>
      <c r="L560" s="58">
        <f>IF($F560="",NA,$I560-500)</f>
        <v>389.19047619047535</v>
      </c>
      <c r="M560" s="189"/>
      <c r="N560" s="183">
        <f t="shared" si="91"/>
        <v>50</v>
      </c>
      <c r="O560" s="146"/>
      <c r="P560" s="146">
        <f t="shared" si="92"/>
        <v>0</v>
      </c>
      <c r="Q560" s="147"/>
    </row>
    <row r="561" spans="1:17">
      <c r="B561" s="1254"/>
      <c r="C561" s="174">
        <f>IF(初期登録!$B$10*12+初期登録!$D$10&lt;$A525,"",5)</f>
        <v>5</v>
      </c>
      <c r="D561" s="642">
        <v>57.142857142857146</v>
      </c>
      <c r="E561" s="88">
        <v>50</v>
      </c>
      <c r="F561" s="643">
        <v>28.571428571428573</v>
      </c>
      <c r="G561" s="154">
        <f t="shared" si="95"/>
        <v>-149.28571428571391</v>
      </c>
      <c r="H561" s="155">
        <f t="shared" si="96"/>
        <v>1700</v>
      </c>
      <c r="I561" s="157">
        <f t="shared" si="97"/>
        <v>867.76190476190391</v>
      </c>
      <c r="J561" s="635">
        <f>IF($D561="",NA,$G561+2000)</f>
        <v>1850.714285714286</v>
      </c>
      <c r="K561" s="90">
        <f>IF(E561="",NA,H561)</f>
        <v>1700</v>
      </c>
      <c r="L561" s="58">
        <f>IF($F561="",NA,$I561-500)</f>
        <v>367.76190476190391</v>
      </c>
      <c r="M561" s="189"/>
      <c r="N561" s="183">
        <f t="shared" si="91"/>
        <v>50</v>
      </c>
      <c r="O561" s="146"/>
      <c r="P561" s="146">
        <f t="shared" si="92"/>
        <v>0</v>
      </c>
      <c r="Q561" s="147"/>
    </row>
    <row r="562" spans="1:17">
      <c r="B562" s="1254"/>
      <c r="C562" s="174">
        <f>IF(初期登録!$B$10*12+初期登録!$D$10&lt;$A526,"",6)</f>
        <v>6</v>
      </c>
      <c r="D562" s="642">
        <v>57.142857142857146</v>
      </c>
      <c r="E562" s="88">
        <v>25</v>
      </c>
      <c r="F562" s="643">
        <v>14.285714285714286</v>
      </c>
      <c r="G562" s="154">
        <f t="shared" si="95"/>
        <v>-142.14285714285677</v>
      </c>
      <c r="H562" s="155">
        <f t="shared" si="96"/>
        <v>1675</v>
      </c>
      <c r="I562" s="157">
        <f t="shared" si="97"/>
        <v>832.04761904761824</v>
      </c>
      <c r="J562" s="635">
        <f>IF($D562="",NA,$G562+2000)</f>
        <v>1857.8571428571431</v>
      </c>
      <c r="K562" s="90">
        <f>IF(E562="",NA,H562)</f>
        <v>1675</v>
      </c>
      <c r="L562" s="58">
        <f>IF($F562="",NA,$I562-500)</f>
        <v>332.04761904761824</v>
      </c>
      <c r="M562" s="189"/>
      <c r="N562" s="183">
        <f t="shared" si="91"/>
        <v>50</v>
      </c>
      <c r="O562" s="146"/>
      <c r="P562" s="146">
        <f t="shared" si="92"/>
        <v>0</v>
      </c>
      <c r="Q562" s="147"/>
    </row>
    <row r="563" spans="1:17">
      <c r="B563" s="1254"/>
      <c r="C563" s="174">
        <f>IF(初期登録!$B$10*12+初期登録!$D$10&lt;$A527,"",7)</f>
        <v>7</v>
      </c>
      <c r="D563" s="642">
        <v>64.285714285714292</v>
      </c>
      <c r="E563" s="88">
        <v>0</v>
      </c>
      <c r="F563" s="643">
        <v>42.857142857142854</v>
      </c>
      <c r="G563" s="154">
        <f t="shared" si="95"/>
        <v>-127.85714285714248</v>
      </c>
      <c r="H563" s="155">
        <f>E563-50+H562</f>
        <v>1625</v>
      </c>
      <c r="I563" s="157">
        <f t="shared" si="97"/>
        <v>824.90476190476113</v>
      </c>
      <c r="J563" s="635">
        <f>IF($D563="",NA,$G563+2000)</f>
        <v>1872.1428571428576</v>
      </c>
      <c r="K563" s="90">
        <f>IF(E563="",NA,H563)</f>
        <v>1625</v>
      </c>
      <c r="L563" s="58">
        <f>IF($F563="",NA,$I563-500)</f>
        <v>324.90476190476113</v>
      </c>
      <c r="M563" s="189"/>
      <c r="N563" s="183">
        <f t="shared" si="91"/>
        <v>50</v>
      </c>
      <c r="O563" s="146"/>
      <c r="P563" s="146">
        <f t="shared" si="92"/>
        <v>0</v>
      </c>
      <c r="Q563" s="147"/>
    </row>
    <row r="564" spans="1:17">
      <c r="B564" s="1254"/>
      <c r="C564" s="174">
        <f>IF(初期登録!$B$10*12+初期登録!$D$10&lt;$A528,"",8)</f>
        <v>8</v>
      </c>
      <c r="D564" s="642">
        <v>42.857142857142854</v>
      </c>
      <c r="E564" s="88">
        <v>12.5</v>
      </c>
      <c r="F564" s="643">
        <v>14.285714285714286</v>
      </c>
      <c r="G564" s="154">
        <f t="shared" si="95"/>
        <v>-134.99999999999963</v>
      </c>
      <c r="H564" s="155">
        <f t="shared" si="96"/>
        <v>1587.5</v>
      </c>
      <c r="I564" s="157">
        <f t="shared" si="97"/>
        <v>789.19047619047547</v>
      </c>
      <c r="J564" s="635">
        <f>IF($D564="",NA,$G564+2000)</f>
        <v>1865.0000000000005</v>
      </c>
      <c r="K564" s="90">
        <f>IF(E564="",NA,H564)</f>
        <v>1587.5</v>
      </c>
      <c r="L564" s="58">
        <f>IF($F564="",NA,$I564-500)</f>
        <v>289.19047619047547</v>
      </c>
      <c r="M564" s="189"/>
      <c r="N564" s="183">
        <f t="shared" si="91"/>
        <v>50</v>
      </c>
      <c r="O564" s="146"/>
      <c r="P564" s="146">
        <f t="shared" si="92"/>
        <v>0</v>
      </c>
      <c r="Q564" s="147"/>
    </row>
    <row r="565" spans="1:17">
      <c r="B565" s="1254"/>
      <c r="C565" s="174">
        <f>IF(初期登録!$B$10*12+初期登録!$D$10&lt;$A529,"",9)</f>
        <v>9</v>
      </c>
      <c r="D565" s="642">
        <v>42.857142857142854</v>
      </c>
      <c r="E565" s="88">
        <v>50</v>
      </c>
      <c r="F565" s="643">
        <v>42.857142857142854</v>
      </c>
      <c r="G565" s="154">
        <f t="shared" si="95"/>
        <v>-142.14285714285677</v>
      </c>
      <c r="H565" s="155">
        <f t="shared" si="96"/>
        <v>1587.5</v>
      </c>
      <c r="I565" s="157">
        <f t="shared" si="97"/>
        <v>782.04761904761835</v>
      </c>
      <c r="J565" s="635">
        <f>IF($D565="",NA,$G565+2000)</f>
        <v>1857.8571428571431</v>
      </c>
      <c r="K565" s="90">
        <f>IF(E565="",NA,H565)</f>
        <v>1587.5</v>
      </c>
      <c r="L565" s="58">
        <f>IF($F565="",NA,$I565-500)</f>
        <v>282.04761904761835</v>
      </c>
      <c r="M565" s="189"/>
      <c r="N565" s="183">
        <f t="shared" si="91"/>
        <v>50</v>
      </c>
      <c r="O565" s="146"/>
      <c r="P565" s="146">
        <f t="shared" si="92"/>
        <v>0</v>
      </c>
      <c r="Q565" s="147"/>
    </row>
    <row r="566" spans="1:17">
      <c r="B566" s="1254"/>
      <c r="C566" s="174">
        <f>IF(初期登録!$B$10*12+初期登録!$D$10&lt;$A530,"",10)</f>
        <v>10</v>
      </c>
      <c r="D566" s="1037">
        <v>71.428571428571431</v>
      </c>
      <c r="E566" s="1038">
        <v>62.5</v>
      </c>
      <c r="F566" s="1039">
        <v>71.428571428571431</v>
      </c>
      <c r="G566" s="154">
        <f t="shared" si="95"/>
        <v>-120.71428571428534</v>
      </c>
      <c r="H566" s="155">
        <f t="shared" si="96"/>
        <v>1600</v>
      </c>
      <c r="I566" s="157">
        <f t="shared" si="97"/>
        <v>803.4761904761898</v>
      </c>
      <c r="J566" s="1040">
        <f>IF($D566="",NA,$G566+2000)</f>
        <v>1879.2857142857147</v>
      </c>
      <c r="K566" s="155">
        <f>IF(E566="",NA,H566)</f>
        <v>1600</v>
      </c>
      <c r="L566" s="639">
        <f>IF($F566="",NA,$I566-500)</f>
        <v>303.4761904761898</v>
      </c>
      <c r="M566" s="189"/>
      <c r="N566" s="183">
        <f t="shared" si="91"/>
        <v>50</v>
      </c>
      <c r="O566" s="146"/>
      <c r="P566" s="146">
        <f t="shared" si="92"/>
        <v>0</v>
      </c>
      <c r="Q566" s="147"/>
    </row>
    <row r="567" spans="1:17">
      <c r="B567" s="1254"/>
      <c r="C567" s="174">
        <f>IF(初期登録!$B$10*12+初期登録!$D$10&lt;$A531,"",11)</f>
        <v>11</v>
      </c>
      <c r="D567" s="1037">
        <v>42.857142857142854</v>
      </c>
      <c r="E567" s="1038">
        <v>75</v>
      </c>
      <c r="F567" s="1039">
        <v>71.428571428571431</v>
      </c>
      <c r="G567" s="154">
        <f t="shared" si="95"/>
        <v>-127.85714285714249</v>
      </c>
      <c r="H567" s="155">
        <f t="shared" si="96"/>
        <v>1625</v>
      </c>
      <c r="I567" s="157">
        <f t="shared" si="97"/>
        <v>824.90476190476124</v>
      </c>
      <c r="J567" s="1040">
        <f>IF($D567="",NA,$G567+2000)</f>
        <v>1872.1428571428576</v>
      </c>
      <c r="K567" s="155">
        <f>IF(E567="",NA,H567)</f>
        <v>1625</v>
      </c>
      <c r="L567" s="639">
        <f>IF($F567="",NA,$I567-500)</f>
        <v>324.90476190476124</v>
      </c>
      <c r="M567" s="189"/>
      <c r="N567" s="183">
        <f t="shared" si="91"/>
        <v>50</v>
      </c>
      <c r="O567" s="146"/>
      <c r="P567" s="146">
        <f t="shared" si="92"/>
        <v>0</v>
      </c>
      <c r="Q567" s="147"/>
    </row>
    <row r="568" spans="1:17">
      <c r="B568" s="186"/>
      <c r="C568" s="175">
        <f>IF(初期登録!$B$10*12+初期登録!$D$10&lt;$A520,"",12)</f>
        <v>12</v>
      </c>
      <c r="D568" s="644"/>
      <c r="E568" s="92"/>
      <c r="F568" s="93"/>
      <c r="G568" s="94">
        <f t="shared" si="95"/>
        <v>-177.85714285714249</v>
      </c>
      <c r="H568" s="95">
        <f t="shared" si="96"/>
        <v>1575</v>
      </c>
      <c r="I568" s="96">
        <f t="shared" si="97"/>
        <v>774.90476190476124</v>
      </c>
      <c r="J568" s="636"/>
      <c r="K568" s="95"/>
      <c r="L568" s="637"/>
      <c r="M568" s="190"/>
      <c r="N568" s="136">
        <f t="shared" si="91"/>
        <v>50</v>
      </c>
      <c r="O568" s="137"/>
      <c r="P568" s="137">
        <f t="shared" si="92"/>
        <v>0</v>
      </c>
      <c r="Q568" s="138"/>
    </row>
    <row r="569" spans="1:17">
      <c r="B569" s="184"/>
      <c r="C569" s="178"/>
      <c r="D569" s="1041"/>
      <c r="E569" s="1042"/>
      <c r="F569" s="1043"/>
      <c r="G569" s="1044"/>
      <c r="H569" s="1045"/>
      <c r="I569" s="1046"/>
      <c r="J569" s="633"/>
      <c r="K569" s="1045"/>
      <c r="L569" s="634"/>
      <c r="M569" s="188"/>
      <c r="N569" s="133"/>
      <c r="O569" s="134"/>
      <c r="P569" s="134"/>
      <c r="Q569" s="159"/>
    </row>
    <row r="570" spans="1:17" ht="14.25" thickBot="1">
      <c r="Q570" s="580"/>
    </row>
    <row r="571" spans="1:17" ht="14.25" thickBot="1">
      <c r="A571" s="189">
        <f>初期登録!$B$10*12+初期登録!$D$10+472</f>
        <v>567</v>
      </c>
      <c r="B571" s="1755" t="s">
        <v>282</v>
      </c>
      <c r="C571" s="1756"/>
      <c r="D571" s="1255">
        <v>64.285714285714292</v>
      </c>
      <c r="E571" s="1255">
        <v>0</v>
      </c>
      <c r="F571" s="1255">
        <v>42.857142857142854</v>
      </c>
      <c r="H571" s="34" t="s">
        <v>712</v>
      </c>
    </row>
  </sheetData>
  <mergeCells count="5">
    <mergeCell ref="B571:C571"/>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19"/>
  <sheetViews>
    <sheetView workbookViewId="0">
      <pane xSplit="3" ySplit="63" topLeftCell="D397" activePane="bottomRight" state="frozen"/>
      <selection activeCell="O402" sqref="O402"/>
      <selection pane="topRight" activeCell="O402" sqref="O402"/>
      <selection pane="bottomLeft" activeCell="O402" sqref="O402"/>
      <selection pane="bottomRight" activeCell="O402" sqref="O402"/>
    </sheetView>
  </sheetViews>
  <sheetFormatPr defaultColWidth="9.125" defaultRowHeight="14.25"/>
  <cols>
    <col min="1" max="1" width="6.875" style="310" customWidth="1"/>
    <col min="2" max="2" width="6.25" style="310" bestFit="1" customWidth="1"/>
    <col min="3" max="3" width="6.875" style="310" customWidth="1"/>
    <col min="4" max="4" width="9.75" style="214" bestFit="1" customWidth="1"/>
    <col min="5" max="5" width="9.375" style="214" bestFit="1" customWidth="1"/>
    <col min="6" max="6" width="9.75" style="214" bestFit="1" customWidth="1"/>
    <col min="7" max="7" width="7.75" style="311" bestFit="1" customWidth="1"/>
    <col min="8" max="8" width="8.375" style="311"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2" customFormat="1">
      <c r="A1" s="317"/>
      <c r="B1" s="318"/>
      <c r="C1" s="318"/>
      <c r="D1" s="1198" t="s">
        <v>140</v>
      </c>
      <c r="E1" s="1199"/>
      <c r="F1" s="1198"/>
      <c r="G1" s="319"/>
      <c r="H1" s="319"/>
      <c r="I1" s="1198" t="s">
        <v>291</v>
      </c>
      <c r="J1" s="1199"/>
      <c r="K1" s="1198"/>
      <c r="L1" s="320"/>
      <c r="M1" s="1198" t="s">
        <v>142</v>
      </c>
      <c r="N1" s="1199"/>
      <c r="O1" s="1198"/>
      <c r="P1" s="320"/>
      <c r="Q1" s="1198" t="s">
        <v>292</v>
      </c>
      <c r="R1" s="1199"/>
      <c r="S1" s="1198"/>
      <c r="T1" s="320"/>
      <c r="U1" s="320"/>
      <c r="V1" s="313" t="s">
        <v>143</v>
      </c>
      <c r="W1" s="320"/>
      <c r="X1" s="320"/>
      <c r="Y1" s="320"/>
      <c r="Z1" s="313" t="s">
        <v>293</v>
      </c>
      <c r="AA1" s="321"/>
    </row>
    <row r="2" spans="1:27" s="322" customFormat="1" ht="33.75" customHeight="1">
      <c r="A2" s="1768" t="s">
        <v>324</v>
      </c>
      <c r="B2" s="1769"/>
      <c r="C2" s="1770"/>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v>
      </c>
      <c r="E63" s="558">
        <v>114.6</v>
      </c>
      <c r="F63" s="558">
        <v>115.8</v>
      </c>
      <c r="G63" s="559">
        <v>149.69999999999999</v>
      </c>
      <c r="H63" s="559">
        <v>100</v>
      </c>
      <c r="I63" s="559">
        <f t="shared" si="0"/>
        <v>110</v>
      </c>
      <c r="J63" s="559">
        <f t="shared" si="1"/>
        <v>114.6</v>
      </c>
      <c r="K63" s="559">
        <f t="shared" si="2"/>
        <v>115.8</v>
      </c>
      <c r="L63" s="660"/>
      <c r="M63" s="664">
        <f t="shared" si="3"/>
        <v>110</v>
      </c>
      <c r="N63" s="664">
        <f t="shared" si="4"/>
        <v>114.6</v>
      </c>
      <c r="O63" s="664">
        <f t="shared" si="5"/>
        <v>115.8</v>
      </c>
      <c r="P63" s="559"/>
      <c r="Q63" s="660" t="e">
        <f t="shared" si="6"/>
        <v>#DIV/0!</v>
      </c>
      <c r="R63" s="660" t="e">
        <f t="shared" si="7"/>
        <v>#DIV/0!</v>
      </c>
      <c r="S63" s="660" t="e">
        <f t="shared" si="8"/>
        <v>#DIV/0!</v>
      </c>
      <c r="T63" s="660"/>
      <c r="U63" s="660">
        <f t="shared" si="9"/>
        <v>110</v>
      </c>
      <c r="V63" s="660">
        <f t="shared" si="10"/>
        <v>114.6</v>
      </c>
      <c r="W63" s="660">
        <f t="shared" si="11"/>
        <v>115.8</v>
      </c>
      <c r="X63" s="559"/>
      <c r="Y63" s="660" t="e">
        <f t="shared" si="12"/>
        <v>#DIV/0!</v>
      </c>
      <c r="Z63" s="660" t="e">
        <f t="shared" si="13"/>
        <v>#DIV/0!</v>
      </c>
      <c r="AA63" s="661" t="e">
        <f t="shared" si="14"/>
        <v>#DIV/0!</v>
      </c>
    </row>
    <row r="64" spans="1:27" s="501" customFormat="1">
      <c r="A64" s="479" t="s">
        <v>581</v>
      </c>
      <c r="B64" s="480">
        <v>98</v>
      </c>
      <c r="C64" s="481">
        <v>1</v>
      </c>
      <c r="D64" s="581">
        <v>98.1</v>
      </c>
      <c r="E64" s="581">
        <v>101.9</v>
      </c>
      <c r="F64" s="581">
        <v>109.9</v>
      </c>
      <c r="G64" s="582">
        <v>170</v>
      </c>
      <c r="H64" s="582">
        <v>100</v>
      </c>
      <c r="I64" s="583">
        <f t="shared" ref="I64:I127" si="15">D64-D63</f>
        <v>-11.900000000000006</v>
      </c>
      <c r="J64" s="583">
        <f t="shared" ref="J64:J127" si="16">E64-E63</f>
        <v>-12.699999999999989</v>
      </c>
      <c r="K64" s="583">
        <f t="shared" ref="K64:K127" si="17">F64-F63</f>
        <v>-5.8999999999999915</v>
      </c>
      <c r="L64" s="1225"/>
      <c r="M64" s="599">
        <f t="shared" ref="M64:M95" si="18">ROUND(AVERAGE(D62:D64),2)</f>
        <v>104.05</v>
      </c>
      <c r="N64" s="599">
        <f t="shared" ref="N64:N95" si="19">ROUND(AVERAGE(E62:E64),2)</f>
        <v>108.25</v>
      </c>
      <c r="O64" s="599">
        <f t="shared" ref="O64:O95" si="20">ROUND(AVERAGE(F62:F64),2)</f>
        <v>112.85</v>
      </c>
      <c r="P64" s="583"/>
      <c r="Q64" s="585">
        <f t="shared" si="6"/>
        <v>-5.9500000000000028</v>
      </c>
      <c r="R64" s="585">
        <f t="shared" si="7"/>
        <v>-6.3499999999999943</v>
      </c>
      <c r="S64" s="585">
        <f t="shared" si="8"/>
        <v>-2.9500000000000028</v>
      </c>
      <c r="T64" s="1225"/>
      <c r="U64" s="585">
        <f t="shared" ref="U64:U95" si="21">ROUND(AVERAGE(D58:D64),2)</f>
        <v>104.05</v>
      </c>
      <c r="V64" s="585">
        <f t="shared" ref="V64:V95" si="22">ROUND(AVERAGE(E58:E64),2)</f>
        <v>108.25</v>
      </c>
      <c r="W64" s="585">
        <f t="shared" ref="W64:W95" si="23">ROUND(AVERAGE(F58:F64),2)</f>
        <v>112.85</v>
      </c>
      <c r="X64" s="582"/>
      <c r="Y64" s="585">
        <f t="shared" si="12"/>
        <v>-5.9500000000000028</v>
      </c>
      <c r="Z64" s="585">
        <f t="shared" si="13"/>
        <v>-6.3499999999999943</v>
      </c>
      <c r="AA64" s="586">
        <f t="shared" si="14"/>
        <v>-2.9500000000000028</v>
      </c>
    </row>
    <row r="65" spans="1:27" s="501" customFormat="1">
      <c r="A65" s="483"/>
      <c r="B65" s="484" t="s">
        <v>141</v>
      </c>
      <c r="C65" s="485">
        <v>2</v>
      </c>
      <c r="D65" s="587">
        <v>98.2</v>
      </c>
      <c r="E65" s="587">
        <v>102.4</v>
      </c>
      <c r="F65" s="587">
        <v>110.8</v>
      </c>
      <c r="G65" s="588">
        <v>170</v>
      </c>
      <c r="H65" s="588">
        <v>100</v>
      </c>
      <c r="I65" s="584">
        <f t="shared" si="15"/>
        <v>0.10000000000000853</v>
      </c>
      <c r="J65" s="584">
        <f t="shared" si="16"/>
        <v>0.5</v>
      </c>
      <c r="K65" s="584">
        <f t="shared" si="17"/>
        <v>0.89999999999999147</v>
      </c>
      <c r="L65" s="1226"/>
      <c r="M65" s="589">
        <f t="shared" si="18"/>
        <v>102.1</v>
      </c>
      <c r="N65" s="589">
        <f t="shared" si="19"/>
        <v>106.3</v>
      </c>
      <c r="O65" s="589">
        <f t="shared" si="20"/>
        <v>112.17</v>
      </c>
      <c r="P65" s="584"/>
      <c r="Q65" s="589">
        <f t="shared" si="6"/>
        <v>-1.9500000000000028</v>
      </c>
      <c r="R65" s="589">
        <f t="shared" si="7"/>
        <v>-1.9500000000000028</v>
      </c>
      <c r="S65" s="589">
        <f t="shared" si="8"/>
        <v>-0.67999999999999261</v>
      </c>
      <c r="T65" s="1226"/>
      <c r="U65" s="589">
        <f t="shared" si="21"/>
        <v>102.1</v>
      </c>
      <c r="V65" s="589">
        <f t="shared" si="22"/>
        <v>106.3</v>
      </c>
      <c r="W65" s="589">
        <f t="shared" si="23"/>
        <v>112.17</v>
      </c>
      <c r="X65" s="588"/>
      <c r="Y65" s="589">
        <f t="shared" si="12"/>
        <v>-1.9500000000000028</v>
      </c>
      <c r="Z65" s="589">
        <f t="shared" si="13"/>
        <v>-1.9500000000000028</v>
      </c>
      <c r="AA65" s="590">
        <f t="shared" si="14"/>
        <v>-0.67999999999999261</v>
      </c>
    </row>
    <row r="66" spans="1:27" s="501" customFormat="1">
      <c r="A66" s="483"/>
      <c r="B66" s="484" t="s">
        <v>141</v>
      </c>
      <c r="C66" s="485">
        <v>3</v>
      </c>
      <c r="D66" s="587">
        <v>101.7</v>
      </c>
      <c r="E66" s="587">
        <v>102.3</v>
      </c>
      <c r="F66" s="587">
        <v>107.3</v>
      </c>
      <c r="G66" s="588">
        <v>170</v>
      </c>
      <c r="H66" s="588">
        <v>100</v>
      </c>
      <c r="I66" s="584">
        <f t="shared" si="15"/>
        <v>3.5</v>
      </c>
      <c r="J66" s="584">
        <f t="shared" si="16"/>
        <v>-0.10000000000000853</v>
      </c>
      <c r="K66" s="584">
        <f t="shared" si="17"/>
        <v>-3.5</v>
      </c>
      <c r="L66" s="1226"/>
      <c r="M66" s="589">
        <f t="shared" si="18"/>
        <v>99.33</v>
      </c>
      <c r="N66" s="589">
        <f t="shared" si="19"/>
        <v>102.2</v>
      </c>
      <c r="O66" s="589">
        <f t="shared" si="20"/>
        <v>109.33</v>
      </c>
      <c r="P66" s="584"/>
      <c r="Q66" s="589">
        <f t="shared" si="6"/>
        <v>-2.769999999999996</v>
      </c>
      <c r="R66" s="589">
        <f t="shared" si="7"/>
        <v>-4.0999999999999943</v>
      </c>
      <c r="S66" s="589">
        <f t="shared" si="8"/>
        <v>-2.8400000000000034</v>
      </c>
      <c r="T66" s="1226"/>
      <c r="U66" s="589">
        <f t="shared" si="21"/>
        <v>102</v>
      </c>
      <c r="V66" s="589">
        <f t="shared" si="22"/>
        <v>105.3</v>
      </c>
      <c r="W66" s="589">
        <f t="shared" si="23"/>
        <v>110.95</v>
      </c>
      <c r="X66" s="588"/>
      <c r="Y66" s="589">
        <f t="shared" si="12"/>
        <v>-9.9999999999994316E-2</v>
      </c>
      <c r="Z66" s="589">
        <f t="shared" si="13"/>
        <v>-1</v>
      </c>
      <c r="AA66" s="590">
        <f t="shared" si="14"/>
        <v>-1.2199999999999989</v>
      </c>
    </row>
    <row r="67" spans="1:27" s="501" customFormat="1">
      <c r="A67" s="483"/>
      <c r="B67" s="484" t="s">
        <v>141</v>
      </c>
      <c r="C67" s="485">
        <v>4</v>
      </c>
      <c r="D67" s="587">
        <v>97.4</v>
      </c>
      <c r="E67" s="587">
        <v>92.8</v>
      </c>
      <c r="F67" s="587">
        <v>100.3</v>
      </c>
      <c r="G67" s="588">
        <v>170</v>
      </c>
      <c r="H67" s="588">
        <v>100</v>
      </c>
      <c r="I67" s="584">
        <f t="shared" si="15"/>
        <v>-4.2999999999999972</v>
      </c>
      <c r="J67" s="584">
        <f t="shared" si="16"/>
        <v>-9.5</v>
      </c>
      <c r="K67" s="584">
        <f t="shared" si="17"/>
        <v>-7</v>
      </c>
      <c r="L67" s="1226"/>
      <c r="M67" s="589">
        <f t="shared" si="18"/>
        <v>99.1</v>
      </c>
      <c r="N67" s="589">
        <f t="shared" si="19"/>
        <v>99.17</v>
      </c>
      <c r="O67" s="589">
        <f t="shared" si="20"/>
        <v>106.13</v>
      </c>
      <c r="P67" s="584"/>
      <c r="Q67" s="589">
        <f t="shared" si="6"/>
        <v>-0.23000000000000398</v>
      </c>
      <c r="R67" s="589">
        <f t="shared" si="7"/>
        <v>-3.0300000000000011</v>
      </c>
      <c r="S67" s="589">
        <f t="shared" si="8"/>
        <v>-3.2000000000000028</v>
      </c>
      <c r="T67" s="1226"/>
      <c r="U67" s="589">
        <f t="shared" si="21"/>
        <v>101.08</v>
      </c>
      <c r="V67" s="589">
        <f t="shared" si="22"/>
        <v>102.8</v>
      </c>
      <c r="W67" s="589">
        <f t="shared" si="23"/>
        <v>108.82</v>
      </c>
      <c r="X67" s="588"/>
      <c r="Y67" s="589">
        <f t="shared" si="12"/>
        <v>-0.92000000000000171</v>
      </c>
      <c r="Z67" s="589">
        <f t="shared" si="13"/>
        <v>-2.5</v>
      </c>
      <c r="AA67" s="590">
        <f t="shared" si="14"/>
        <v>-2.1300000000000097</v>
      </c>
    </row>
    <row r="68" spans="1:27" s="501" customFormat="1">
      <c r="A68" s="483"/>
      <c r="B68" s="484" t="s">
        <v>141</v>
      </c>
      <c r="C68" s="485">
        <v>5</v>
      </c>
      <c r="D68" s="587">
        <v>94</v>
      </c>
      <c r="E68" s="587">
        <v>85.3</v>
      </c>
      <c r="F68" s="587">
        <v>97.8</v>
      </c>
      <c r="G68" s="588">
        <v>170</v>
      </c>
      <c r="H68" s="588">
        <v>100</v>
      </c>
      <c r="I68" s="584">
        <f t="shared" si="15"/>
        <v>-3.4000000000000057</v>
      </c>
      <c r="J68" s="584">
        <f t="shared" si="16"/>
        <v>-7.5</v>
      </c>
      <c r="K68" s="584">
        <f t="shared" si="17"/>
        <v>-2.5</v>
      </c>
      <c r="L68" s="1226"/>
      <c r="M68" s="589">
        <f t="shared" si="18"/>
        <v>97.7</v>
      </c>
      <c r="N68" s="589">
        <f t="shared" si="19"/>
        <v>93.47</v>
      </c>
      <c r="O68" s="589">
        <f t="shared" si="20"/>
        <v>101.8</v>
      </c>
      <c r="P68" s="584"/>
      <c r="Q68" s="589">
        <f t="shared" ref="Q68:Q131" si="24">M68-M67</f>
        <v>-1.3999999999999915</v>
      </c>
      <c r="R68" s="589">
        <f t="shared" ref="R68:R131" si="25">N68-N67</f>
        <v>-5.7000000000000028</v>
      </c>
      <c r="S68" s="589">
        <f t="shared" ref="S68:S131" si="26">O68-O67</f>
        <v>-4.3299999999999983</v>
      </c>
      <c r="T68" s="1226"/>
      <c r="U68" s="589">
        <f t="shared" si="21"/>
        <v>99.9</v>
      </c>
      <c r="V68" s="589">
        <f t="shared" si="22"/>
        <v>99.88</v>
      </c>
      <c r="W68" s="589">
        <f t="shared" si="23"/>
        <v>106.98</v>
      </c>
      <c r="X68" s="588"/>
      <c r="Y68" s="589">
        <f t="shared" si="12"/>
        <v>-1.1799999999999926</v>
      </c>
      <c r="Z68" s="589">
        <f t="shared" si="13"/>
        <v>-2.9200000000000017</v>
      </c>
      <c r="AA68" s="590">
        <f t="shared" si="14"/>
        <v>-1.8399999999999892</v>
      </c>
    </row>
    <row r="69" spans="1:27" s="501" customFormat="1">
      <c r="A69" s="483"/>
      <c r="B69" s="484" t="s">
        <v>141</v>
      </c>
      <c r="C69" s="485">
        <v>6</v>
      </c>
      <c r="D69" s="587">
        <v>91</v>
      </c>
      <c r="E69" s="587">
        <v>86.7</v>
      </c>
      <c r="F69" s="587">
        <v>95.9</v>
      </c>
      <c r="G69" s="588">
        <v>170</v>
      </c>
      <c r="H69" s="588">
        <v>100</v>
      </c>
      <c r="I69" s="584">
        <f t="shared" si="15"/>
        <v>-3</v>
      </c>
      <c r="J69" s="584">
        <f t="shared" si="16"/>
        <v>1.4000000000000057</v>
      </c>
      <c r="K69" s="584">
        <f t="shared" si="17"/>
        <v>-1.8999999999999915</v>
      </c>
      <c r="L69" s="1226"/>
      <c r="M69" s="589">
        <f t="shared" si="18"/>
        <v>94.13</v>
      </c>
      <c r="N69" s="589">
        <f t="shared" si="19"/>
        <v>88.27</v>
      </c>
      <c r="O69" s="589">
        <f t="shared" si="20"/>
        <v>98</v>
      </c>
      <c r="P69" s="584"/>
      <c r="Q69" s="589">
        <f t="shared" si="24"/>
        <v>-3.5700000000000074</v>
      </c>
      <c r="R69" s="589">
        <f t="shared" si="25"/>
        <v>-5.2000000000000028</v>
      </c>
      <c r="S69" s="589">
        <f t="shared" si="26"/>
        <v>-3.7999999999999972</v>
      </c>
      <c r="T69" s="1226"/>
      <c r="U69" s="589">
        <f t="shared" si="21"/>
        <v>98.63</v>
      </c>
      <c r="V69" s="589">
        <f t="shared" si="22"/>
        <v>98</v>
      </c>
      <c r="W69" s="589">
        <f t="shared" si="23"/>
        <v>105.4</v>
      </c>
      <c r="X69" s="588"/>
      <c r="Y69" s="589">
        <f t="shared" si="12"/>
        <v>-1.2700000000000102</v>
      </c>
      <c r="Z69" s="589">
        <f t="shared" si="13"/>
        <v>-1.8799999999999955</v>
      </c>
      <c r="AA69" s="590">
        <f t="shared" si="14"/>
        <v>-1.5799999999999983</v>
      </c>
    </row>
    <row r="70" spans="1:27" s="501" customFormat="1">
      <c r="A70" s="483"/>
      <c r="B70" s="484" t="s">
        <v>141</v>
      </c>
      <c r="C70" s="485">
        <v>7</v>
      </c>
      <c r="D70" s="587">
        <v>93.8</v>
      </c>
      <c r="E70" s="587">
        <v>86.6</v>
      </c>
      <c r="F70" s="587">
        <v>95.4</v>
      </c>
      <c r="G70" s="588">
        <v>170</v>
      </c>
      <c r="H70" s="588">
        <v>100</v>
      </c>
      <c r="I70" s="584">
        <f t="shared" si="15"/>
        <v>2.7999999999999972</v>
      </c>
      <c r="J70" s="584">
        <f t="shared" si="16"/>
        <v>-0.10000000000000853</v>
      </c>
      <c r="K70" s="584">
        <f t="shared" si="17"/>
        <v>-0.5</v>
      </c>
      <c r="L70" s="1226"/>
      <c r="M70" s="589">
        <f t="shared" si="18"/>
        <v>92.93</v>
      </c>
      <c r="N70" s="589">
        <f t="shared" si="19"/>
        <v>86.2</v>
      </c>
      <c r="O70" s="589">
        <f t="shared" si="20"/>
        <v>96.37</v>
      </c>
      <c r="P70" s="584"/>
      <c r="Q70" s="589">
        <f t="shared" si="24"/>
        <v>-1.1999999999999886</v>
      </c>
      <c r="R70" s="589">
        <f t="shared" si="25"/>
        <v>-2.0699999999999932</v>
      </c>
      <c r="S70" s="589">
        <f t="shared" si="26"/>
        <v>-1.6299999999999955</v>
      </c>
      <c r="T70" s="1226"/>
      <c r="U70" s="589">
        <f t="shared" si="21"/>
        <v>96.31</v>
      </c>
      <c r="V70" s="589">
        <f t="shared" si="22"/>
        <v>94</v>
      </c>
      <c r="W70" s="589">
        <f t="shared" si="23"/>
        <v>102.49</v>
      </c>
      <c r="X70" s="588"/>
      <c r="Y70" s="589">
        <f t="shared" si="12"/>
        <v>-2.3199999999999932</v>
      </c>
      <c r="Z70" s="589">
        <f t="shared" si="13"/>
        <v>-4</v>
      </c>
      <c r="AA70" s="590">
        <f t="shared" si="14"/>
        <v>-2.9100000000000108</v>
      </c>
    </row>
    <row r="71" spans="1:27" s="501" customFormat="1">
      <c r="A71" s="483"/>
      <c r="B71" s="484" t="s">
        <v>141</v>
      </c>
      <c r="C71" s="485">
        <v>8</v>
      </c>
      <c r="D71" s="587">
        <v>88.5</v>
      </c>
      <c r="E71" s="587">
        <v>76.2</v>
      </c>
      <c r="F71" s="587">
        <v>91.3</v>
      </c>
      <c r="G71" s="588">
        <v>170</v>
      </c>
      <c r="H71" s="588">
        <v>100</v>
      </c>
      <c r="I71" s="584">
        <f t="shared" si="15"/>
        <v>-5.2999999999999972</v>
      </c>
      <c r="J71" s="584">
        <f t="shared" si="16"/>
        <v>-10.399999999999991</v>
      </c>
      <c r="K71" s="584">
        <f t="shared" si="17"/>
        <v>-4.1000000000000085</v>
      </c>
      <c r="L71" s="1226"/>
      <c r="M71" s="589">
        <f t="shared" si="18"/>
        <v>91.1</v>
      </c>
      <c r="N71" s="589">
        <f t="shared" si="19"/>
        <v>83.17</v>
      </c>
      <c r="O71" s="589">
        <f t="shared" si="20"/>
        <v>94.2</v>
      </c>
      <c r="P71" s="584"/>
      <c r="Q71" s="589">
        <f t="shared" si="24"/>
        <v>-1.8300000000000125</v>
      </c>
      <c r="R71" s="589">
        <f t="shared" si="25"/>
        <v>-3.0300000000000011</v>
      </c>
      <c r="S71" s="589">
        <f t="shared" si="26"/>
        <v>-2.1700000000000017</v>
      </c>
      <c r="T71" s="1226"/>
      <c r="U71" s="589">
        <f t="shared" si="21"/>
        <v>94.94</v>
      </c>
      <c r="V71" s="589">
        <f t="shared" si="22"/>
        <v>90.33</v>
      </c>
      <c r="W71" s="589">
        <f t="shared" si="23"/>
        <v>99.83</v>
      </c>
      <c r="X71" s="588"/>
      <c r="Y71" s="589">
        <f t="shared" si="12"/>
        <v>-1.3700000000000045</v>
      </c>
      <c r="Z71" s="589">
        <f t="shared" si="13"/>
        <v>-3.6700000000000017</v>
      </c>
      <c r="AA71" s="590">
        <f t="shared" si="14"/>
        <v>-2.6599999999999966</v>
      </c>
    </row>
    <row r="72" spans="1:27" s="501" customFormat="1">
      <c r="A72" s="483"/>
      <c r="B72" s="484" t="s">
        <v>141</v>
      </c>
      <c r="C72" s="485">
        <v>9</v>
      </c>
      <c r="D72" s="587">
        <v>89.8</v>
      </c>
      <c r="E72" s="587">
        <v>81.599999999999994</v>
      </c>
      <c r="F72" s="587">
        <v>94.6</v>
      </c>
      <c r="G72" s="588">
        <v>170</v>
      </c>
      <c r="H72" s="588">
        <v>100</v>
      </c>
      <c r="I72" s="584">
        <f t="shared" si="15"/>
        <v>1.2999999999999972</v>
      </c>
      <c r="J72" s="584">
        <f t="shared" si="16"/>
        <v>5.3999999999999915</v>
      </c>
      <c r="K72" s="584">
        <f t="shared" si="17"/>
        <v>3.2999999999999972</v>
      </c>
      <c r="L72" s="1226"/>
      <c r="M72" s="589">
        <f t="shared" si="18"/>
        <v>90.7</v>
      </c>
      <c r="N72" s="589">
        <f t="shared" si="19"/>
        <v>81.47</v>
      </c>
      <c r="O72" s="589">
        <f t="shared" si="20"/>
        <v>93.77</v>
      </c>
      <c r="P72" s="584"/>
      <c r="Q72" s="589">
        <f t="shared" si="24"/>
        <v>-0.39999999999999147</v>
      </c>
      <c r="R72" s="589">
        <f t="shared" si="25"/>
        <v>-1.7000000000000028</v>
      </c>
      <c r="S72" s="589">
        <f t="shared" si="26"/>
        <v>-0.43000000000000682</v>
      </c>
      <c r="T72" s="1226"/>
      <c r="U72" s="589">
        <f t="shared" si="21"/>
        <v>93.74</v>
      </c>
      <c r="V72" s="589">
        <f t="shared" si="22"/>
        <v>87.36</v>
      </c>
      <c r="W72" s="589">
        <f t="shared" si="23"/>
        <v>97.51</v>
      </c>
      <c r="X72" s="588"/>
      <c r="Y72" s="589">
        <f t="shared" si="12"/>
        <v>-1.2000000000000028</v>
      </c>
      <c r="Z72" s="589">
        <f t="shared" si="13"/>
        <v>-2.9699999999999989</v>
      </c>
      <c r="AA72" s="590">
        <f t="shared" si="14"/>
        <v>-2.3199999999999932</v>
      </c>
    </row>
    <row r="73" spans="1:27" s="501" customFormat="1">
      <c r="A73" s="483"/>
      <c r="B73" s="484" t="s">
        <v>141</v>
      </c>
      <c r="C73" s="485">
        <v>10</v>
      </c>
      <c r="D73" s="587">
        <v>96.8</v>
      </c>
      <c r="E73" s="587">
        <v>82.9</v>
      </c>
      <c r="F73" s="587">
        <v>91.8</v>
      </c>
      <c r="G73" s="588">
        <v>170</v>
      </c>
      <c r="H73" s="588">
        <v>100</v>
      </c>
      <c r="I73" s="584">
        <f t="shared" si="15"/>
        <v>7</v>
      </c>
      <c r="J73" s="584">
        <f t="shared" si="16"/>
        <v>1.3000000000000114</v>
      </c>
      <c r="K73" s="584">
        <f t="shared" si="17"/>
        <v>-2.7999999999999972</v>
      </c>
      <c r="L73" s="1226"/>
      <c r="M73" s="589">
        <f t="shared" si="18"/>
        <v>91.7</v>
      </c>
      <c r="N73" s="589">
        <f t="shared" si="19"/>
        <v>80.23</v>
      </c>
      <c r="O73" s="589">
        <f t="shared" si="20"/>
        <v>92.57</v>
      </c>
      <c r="P73" s="584"/>
      <c r="Q73" s="589">
        <f t="shared" si="24"/>
        <v>1</v>
      </c>
      <c r="R73" s="589">
        <f t="shared" si="25"/>
        <v>-1.2399999999999949</v>
      </c>
      <c r="S73" s="589">
        <f t="shared" si="26"/>
        <v>-1.2000000000000028</v>
      </c>
      <c r="T73" s="1226"/>
      <c r="U73" s="589">
        <f t="shared" si="21"/>
        <v>93.04</v>
      </c>
      <c r="V73" s="589">
        <f t="shared" si="22"/>
        <v>84.59</v>
      </c>
      <c r="W73" s="589">
        <f t="shared" si="23"/>
        <v>95.3</v>
      </c>
      <c r="X73" s="588"/>
      <c r="Y73" s="589">
        <f t="shared" si="12"/>
        <v>-0.69999999999998863</v>
      </c>
      <c r="Z73" s="589">
        <f t="shared" si="13"/>
        <v>-2.769999999999996</v>
      </c>
      <c r="AA73" s="590">
        <f t="shared" si="14"/>
        <v>-2.210000000000008</v>
      </c>
    </row>
    <row r="74" spans="1:27" s="501" customFormat="1">
      <c r="A74" s="483"/>
      <c r="B74" s="484" t="s">
        <v>141</v>
      </c>
      <c r="C74" s="485">
        <v>11</v>
      </c>
      <c r="D74" s="587">
        <v>94.1</v>
      </c>
      <c r="E74" s="587">
        <v>82.6</v>
      </c>
      <c r="F74" s="587">
        <v>95.8</v>
      </c>
      <c r="G74" s="588">
        <v>170</v>
      </c>
      <c r="H74" s="588">
        <v>100</v>
      </c>
      <c r="I74" s="584">
        <f t="shared" si="15"/>
        <v>-2.7000000000000028</v>
      </c>
      <c r="J74" s="584">
        <f t="shared" si="16"/>
        <v>-0.30000000000001137</v>
      </c>
      <c r="K74" s="584">
        <f t="shared" si="17"/>
        <v>4</v>
      </c>
      <c r="L74" s="1226"/>
      <c r="M74" s="589">
        <f t="shared" si="18"/>
        <v>93.57</v>
      </c>
      <c r="N74" s="589">
        <f t="shared" si="19"/>
        <v>82.37</v>
      </c>
      <c r="O74" s="589">
        <f t="shared" si="20"/>
        <v>94.07</v>
      </c>
      <c r="P74" s="584"/>
      <c r="Q74" s="589">
        <f t="shared" si="24"/>
        <v>1.8699999999999903</v>
      </c>
      <c r="R74" s="589">
        <f t="shared" si="25"/>
        <v>2.1400000000000006</v>
      </c>
      <c r="S74" s="589">
        <f t="shared" si="26"/>
        <v>1.5</v>
      </c>
      <c r="T74" s="1226"/>
      <c r="U74" s="589">
        <f t="shared" si="21"/>
        <v>92.57</v>
      </c>
      <c r="V74" s="589">
        <f t="shared" si="22"/>
        <v>83.13</v>
      </c>
      <c r="W74" s="589">
        <f t="shared" si="23"/>
        <v>94.66</v>
      </c>
      <c r="X74" s="588"/>
      <c r="Y74" s="589">
        <f t="shared" si="12"/>
        <v>-0.47000000000001307</v>
      </c>
      <c r="Z74" s="589">
        <f t="shared" si="13"/>
        <v>-1.460000000000008</v>
      </c>
      <c r="AA74" s="590">
        <f t="shared" si="14"/>
        <v>-0.64000000000000057</v>
      </c>
    </row>
    <row r="75" spans="1:27" s="501" customFormat="1">
      <c r="A75" s="487"/>
      <c r="B75" s="488" t="s">
        <v>141</v>
      </c>
      <c r="C75" s="489">
        <v>12</v>
      </c>
      <c r="D75" s="591">
        <v>93</v>
      </c>
      <c r="E75" s="591">
        <v>86.2</v>
      </c>
      <c r="F75" s="591">
        <v>95.9</v>
      </c>
      <c r="G75" s="592">
        <v>170</v>
      </c>
      <c r="H75" s="592">
        <v>100</v>
      </c>
      <c r="I75" s="593">
        <f t="shared" si="15"/>
        <v>-1.0999999999999943</v>
      </c>
      <c r="J75" s="593">
        <f t="shared" si="16"/>
        <v>3.6000000000000085</v>
      </c>
      <c r="K75" s="593">
        <f t="shared" si="17"/>
        <v>0.10000000000000853</v>
      </c>
      <c r="L75" s="1227"/>
      <c r="M75" s="604">
        <f t="shared" si="18"/>
        <v>94.63</v>
      </c>
      <c r="N75" s="604">
        <f t="shared" si="19"/>
        <v>83.9</v>
      </c>
      <c r="O75" s="604">
        <f t="shared" si="20"/>
        <v>94.5</v>
      </c>
      <c r="P75" s="593"/>
      <c r="Q75" s="589">
        <f t="shared" si="24"/>
        <v>1.0600000000000023</v>
      </c>
      <c r="R75" s="589">
        <f t="shared" si="25"/>
        <v>1.5300000000000011</v>
      </c>
      <c r="S75" s="589">
        <f t="shared" si="26"/>
        <v>0.43000000000000682</v>
      </c>
      <c r="T75" s="1227"/>
      <c r="U75" s="594">
        <f t="shared" si="21"/>
        <v>92.43</v>
      </c>
      <c r="V75" s="594">
        <f t="shared" si="22"/>
        <v>83.26</v>
      </c>
      <c r="W75" s="594">
        <f t="shared" si="23"/>
        <v>94.39</v>
      </c>
      <c r="X75" s="592"/>
      <c r="Y75" s="594">
        <f t="shared" si="12"/>
        <v>-0.13999999999998636</v>
      </c>
      <c r="Z75" s="594">
        <f t="shared" si="13"/>
        <v>0.13000000000000966</v>
      </c>
      <c r="AA75" s="595">
        <f t="shared" si="14"/>
        <v>-0.26999999999999602</v>
      </c>
    </row>
    <row r="76" spans="1:27" s="501" customFormat="1">
      <c r="A76" s="491" t="s">
        <v>582</v>
      </c>
      <c r="B76" s="492">
        <v>99</v>
      </c>
      <c r="C76" s="493">
        <v>1</v>
      </c>
      <c r="D76" s="596">
        <v>89.4</v>
      </c>
      <c r="E76" s="596">
        <v>78.599999999999994</v>
      </c>
      <c r="F76" s="596">
        <v>92.5</v>
      </c>
      <c r="G76" s="597">
        <v>170</v>
      </c>
      <c r="H76" s="597">
        <v>100</v>
      </c>
      <c r="I76" s="598">
        <f t="shared" si="15"/>
        <v>-3.5999999999999943</v>
      </c>
      <c r="J76" s="598">
        <f t="shared" si="16"/>
        <v>-7.6000000000000085</v>
      </c>
      <c r="K76" s="598">
        <f t="shared" si="17"/>
        <v>-3.4000000000000057</v>
      </c>
      <c r="L76" s="1228"/>
      <c r="M76" s="585">
        <f t="shared" si="18"/>
        <v>92.17</v>
      </c>
      <c r="N76" s="585">
        <f t="shared" si="19"/>
        <v>82.47</v>
      </c>
      <c r="O76" s="585">
        <f t="shared" si="20"/>
        <v>94.73</v>
      </c>
      <c r="P76" s="598"/>
      <c r="Q76" s="589">
        <f t="shared" si="24"/>
        <v>-2.4599999999999937</v>
      </c>
      <c r="R76" s="589">
        <f t="shared" si="25"/>
        <v>-1.4300000000000068</v>
      </c>
      <c r="S76" s="589">
        <f t="shared" si="26"/>
        <v>0.23000000000000398</v>
      </c>
      <c r="T76" s="1228"/>
      <c r="U76" s="599">
        <f t="shared" si="21"/>
        <v>92.2</v>
      </c>
      <c r="V76" s="599">
        <f t="shared" si="22"/>
        <v>82.1</v>
      </c>
      <c r="W76" s="599">
        <f t="shared" si="23"/>
        <v>93.9</v>
      </c>
      <c r="X76" s="597"/>
      <c r="Y76" s="599">
        <f t="shared" ref="Y76:Y139" si="27">U76-U75</f>
        <v>-0.23000000000000398</v>
      </c>
      <c r="Z76" s="599">
        <f t="shared" ref="Z76:Z139" si="28">V76-V75</f>
        <v>-1.1600000000000108</v>
      </c>
      <c r="AA76" s="600">
        <f t="shared" ref="AA76:AA139" si="29">W76-W75</f>
        <v>-0.48999999999999488</v>
      </c>
    </row>
    <row r="77" spans="1:27" s="501" customFormat="1">
      <c r="A77" s="483"/>
      <c r="B77" s="484" t="s">
        <v>141</v>
      </c>
      <c r="C77" s="485">
        <v>2</v>
      </c>
      <c r="D77" s="587">
        <v>97.2</v>
      </c>
      <c r="E77" s="587">
        <v>82.4</v>
      </c>
      <c r="F77" s="587">
        <v>92.6</v>
      </c>
      <c r="G77" s="588">
        <v>170</v>
      </c>
      <c r="H77" s="588">
        <v>100</v>
      </c>
      <c r="I77" s="584">
        <f t="shared" si="15"/>
        <v>7.7999999999999972</v>
      </c>
      <c r="J77" s="584">
        <f t="shared" si="16"/>
        <v>3.8000000000000114</v>
      </c>
      <c r="K77" s="584">
        <f t="shared" si="17"/>
        <v>9.9999999999994316E-2</v>
      </c>
      <c r="L77" s="1226"/>
      <c r="M77" s="589">
        <f t="shared" si="18"/>
        <v>93.2</v>
      </c>
      <c r="N77" s="589">
        <f t="shared" si="19"/>
        <v>82.4</v>
      </c>
      <c r="O77" s="589">
        <f t="shared" si="20"/>
        <v>93.67</v>
      </c>
      <c r="P77" s="584"/>
      <c r="Q77" s="589">
        <f t="shared" si="24"/>
        <v>1.0300000000000011</v>
      </c>
      <c r="R77" s="589">
        <f t="shared" si="25"/>
        <v>-6.9999999999993179E-2</v>
      </c>
      <c r="S77" s="589">
        <f t="shared" si="26"/>
        <v>-1.0600000000000023</v>
      </c>
      <c r="T77" s="1226"/>
      <c r="U77" s="589">
        <f t="shared" si="21"/>
        <v>92.69</v>
      </c>
      <c r="V77" s="589">
        <f t="shared" si="22"/>
        <v>81.5</v>
      </c>
      <c r="W77" s="589">
        <f t="shared" si="23"/>
        <v>93.5</v>
      </c>
      <c r="X77" s="588"/>
      <c r="Y77" s="589">
        <f t="shared" si="27"/>
        <v>0.48999999999999488</v>
      </c>
      <c r="Z77" s="589">
        <f t="shared" si="28"/>
        <v>-0.59999999999999432</v>
      </c>
      <c r="AA77" s="590">
        <f t="shared" si="29"/>
        <v>-0.40000000000000568</v>
      </c>
    </row>
    <row r="78" spans="1:27" s="501" customFormat="1">
      <c r="A78" s="483"/>
      <c r="B78" s="484" t="s">
        <v>141</v>
      </c>
      <c r="C78" s="485">
        <v>3</v>
      </c>
      <c r="D78" s="587">
        <v>97.8</v>
      </c>
      <c r="E78" s="587">
        <v>93.3</v>
      </c>
      <c r="F78" s="587">
        <v>91.8</v>
      </c>
      <c r="G78" s="588">
        <v>170</v>
      </c>
      <c r="H78" s="588">
        <v>100</v>
      </c>
      <c r="I78" s="584">
        <f t="shared" si="15"/>
        <v>0.59999999999999432</v>
      </c>
      <c r="J78" s="584">
        <f t="shared" si="16"/>
        <v>10.899999999999991</v>
      </c>
      <c r="K78" s="584">
        <f t="shared" si="17"/>
        <v>-0.79999999999999716</v>
      </c>
      <c r="L78" s="1226"/>
      <c r="M78" s="589">
        <f t="shared" si="18"/>
        <v>94.8</v>
      </c>
      <c r="N78" s="589">
        <f t="shared" si="19"/>
        <v>84.77</v>
      </c>
      <c r="O78" s="589">
        <f t="shared" si="20"/>
        <v>92.3</v>
      </c>
      <c r="P78" s="584"/>
      <c r="Q78" s="589">
        <f t="shared" si="24"/>
        <v>1.5999999999999943</v>
      </c>
      <c r="R78" s="589">
        <f t="shared" si="25"/>
        <v>2.3699999999999903</v>
      </c>
      <c r="S78" s="589">
        <f t="shared" si="26"/>
        <v>-1.3700000000000045</v>
      </c>
      <c r="T78" s="1226"/>
      <c r="U78" s="589">
        <f t="shared" si="21"/>
        <v>94.01</v>
      </c>
      <c r="V78" s="589">
        <f t="shared" si="22"/>
        <v>83.94</v>
      </c>
      <c r="W78" s="589">
        <f t="shared" si="23"/>
        <v>93.57</v>
      </c>
      <c r="X78" s="588"/>
      <c r="Y78" s="589">
        <f t="shared" si="27"/>
        <v>1.3200000000000074</v>
      </c>
      <c r="Z78" s="589">
        <f t="shared" si="28"/>
        <v>2.4399999999999977</v>
      </c>
      <c r="AA78" s="590">
        <f t="shared" si="29"/>
        <v>6.9999999999993179E-2</v>
      </c>
    </row>
    <row r="79" spans="1:27" s="501" customFormat="1">
      <c r="A79" s="483"/>
      <c r="B79" s="484" t="s">
        <v>141</v>
      </c>
      <c r="C79" s="485">
        <v>4</v>
      </c>
      <c r="D79" s="587">
        <v>95</v>
      </c>
      <c r="E79" s="587">
        <v>84.8</v>
      </c>
      <c r="F79" s="587">
        <v>92.5</v>
      </c>
      <c r="G79" s="588">
        <v>170</v>
      </c>
      <c r="H79" s="588">
        <v>100</v>
      </c>
      <c r="I79" s="584">
        <f t="shared" si="15"/>
        <v>-2.7999999999999972</v>
      </c>
      <c r="J79" s="584">
        <f t="shared" si="16"/>
        <v>-8.5</v>
      </c>
      <c r="K79" s="584">
        <f t="shared" si="17"/>
        <v>0.70000000000000284</v>
      </c>
      <c r="L79" s="1226"/>
      <c r="M79" s="589">
        <f t="shared" si="18"/>
        <v>96.67</v>
      </c>
      <c r="N79" s="589">
        <f t="shared" si="19"/>
        <v>86.83</v>
      </c>
      <c r="O79" s="589">
        <f t="shared" si="20"/>
        <v>92.3</v>
      </c>
      <c r="P79" s="584"/>
      <c r="Q79" s="589">
        <f t="shared" si="24"/>
        <v>1.8700000000000045</v>
      </c>
      <c r="R79" s="589">
        <f t="shared" si="25"/>
        <v>2.0600000000000023</v>
      </c>
      <c r="S79" s="589">
        <f t="shared" si="26"/>
        <v>0</v>
      </c>
      <c r="T79" s="1226"/>
      <c r="U79" s="589">
        <f t="shared" si="21"/>
        <v>94.76</v>
      </c>
      <c r="V79" s="589">
        <f t="shared" si="22"/>
        <v>84.4</v>
      </c>
      <c r="W79" s="589">
        <f t="shared" si="23"/>
        <v>93.27</v>
      </c>
      <c r="X79" s="588"/>
      <c r="Y79" s="589">
        <f t="shared" si="27"/>
        <v>0.75</v>
      </c>
      <c r="Z79" s="589">
        <f t="shared" si="28"/>
        <v>0.46000000000000796</v>
      </c>
      <c r="AA79" s="590">
        <f t="shared" si="29"/>
        <v>-0.29999999999999716</v>
      </c>
    </row>
    <row r="80" spans="1:27" s="501" customFormat="1">
      <c r="A80" s="483"/>
      <c r="B80" s="484" t="s">
        <v>141</v>
      </c>
      <c r="C80" s="485">
        <v>5</v>
      </c>
      <c r="D80" s="587">
        <v>94.8</v>
      </c>
      <c r="E80" s="587">
        <v>83.1</v>
      </c>
      <c r="F80" s="587">
        <v>89.6</v>
      </c>
      <c r="G80" s="588">
        <v>170</v>
      </c>
      <c r="H80" s="588">
        <v>100</v>
      </c>
      <c r="I80" s="584">
        <f t="shared" si="15"/>
        <v>-0.20000000000000284</v>
      </c>
      <c r="J80" s="584">
        <f t="shared" si="16"/>
        <v>-1.7000000000000028</v>
      </c>
      <c r="K80" s="584">
        <f t="shared" si="17"/>
        <v>-2.9000000000000057</v>
      </c>
      <c r="L80" s="1226"/>
      <c r="M80" s="589">
        <f t="shared" si="18"/>
        <v>95.87</v>
      </c>
      <c r="N80" s="589">
        <f t="shared" si="19"/>
        <v>87.07</v>
      </c>
      <c r="O80" s="589">
        <f t="shared" si="20"/>
        <v>91.3</v>
      </c>
      <c r="P80" s="584"/>
      <c r="Q80" s="589">
        <f t="shared" si="24"/>
        <v>-0.79999999999999716</v>
      </c>
      <c r="R80" s="589">
        <f t="shared" si="25"/>
        <v>0.23999999999999488</v>
      </c>
      <c r="S80" s="589">
        <f t="shared" si="26"/>
        <v>-1</v>
      </c>
      <c r="T80" s="1226"/>
      <c r="U80" s="589">
        <f t="shared" si="21"/>
        <v>94.47</v>
      </c>
      <c r="V80" s="589">
        <f t="shared" si="22"/>
        <v>84.43</v>
      </c>
      <c r="W80" s="589">
        <f t="shared" si="23"/>
        <v>92.96</v>
      </c>
      <c r="X80" s="588"/>
      <c r="Y80" s="589">
        <f t="shared" si="27"/>
        <v>-0.29000000000000625</v>
      </c>
      <c r="Z80" s="589">
        <f t="shared" si="28"/>
        <v>3.0000000000001137E-2</v>
      </c>
      <c r="AA80" s="590">
        <f t="shared" si="29"/>
        <v>-0.31000000000000227</v>
      </c>
    </row>
    <row r="81" spans="1:27" s="501" customFormat="1">
      <c r="A81" s="483"/>
      <c r="B81" s="484" t="s">
        <v>141</v>
      </c>
      <c r="C81" s="485">
        <v>6</v>
      </c>
      <c r="D81" s="587">
        <v>98</v>
      </c>
      <c r="E81" s="587">
        <v>88.7</v>
      </c>
      <c r="F81" s="587">
        <v>90.4</v>
      </c>
      <c r="G81" s="588"/>
      <c r="H81" s="588">
        <v>100</v>
      </c>
      <c r="I81" s="584">
        <f t="shared" si="15"/>
        <v>3.2000000000000028</v>
      </c>
      <c r="J81" s="584">
        <f t="shared" si="16"/>
        <v>5.6000000000000085</v>
      </c>
      <c r="K81" s="584">
        <f t="shared" si="17"/>
        <v>0.80000000000001137</v>
      </c>
      <c r="L81" s="1226"/>
      <c r="M81" s="589">
        <f t="shared" si="18"/>
        <v>95.93</v>
      </c>
      <c r="N81" s="589">
        <f t="shared" si="19"/>
        <v>85.53</v>
      </c>
      <c r="O81" s="589">
        <f t="shared" si="20"/>
        <v>90.83</v>
      </c>
      <c r="P81" s="584"/>
      <c r="Q81" s="589">
        <f t="shared" si="24"/>
        <v>6.0000000000002274E-2</v>
      </c>
      <c r="R81" s="589">
        <f t="shared" si="25"/>
        <v>-1.539999999999992</v>
      </c>
      <c r="S81" s="589">
        <f t="shared" si="26"/>
        <v>-0.46999999999999886</v>
      </c>
      <c r="T81" s="1226"/>
      <c r="U81" s="589">
        <f t="shared" si="21"/>
        <v>95.03</v>
      </c>
      <c r="V81" s="589">
        <f t="shared" si="22"/>
        <v>85.3</v>
      </c>
      <c r="W81" s="589">
        <f t="shared" si="23"/>
        <v>92.19</v>
      </c>
      <c r="X81" s="588"/>
      <c r="Y81" s="589">
        <f t="shared" si="27"/>
        <v>0.56000000000000227</v>
      </c>
      <c r="Z81" s="589">
        <f t="shared" si="28"/>
        <v>0.86999999999999034</v>
      </c>
      <c r="AA81" s="590">
        <f t="shared" si="29"/>
        <v>-0.76999999999999602</v>
      </c>
    </row>
    <row r="82" spans="1:27" s="501" customFormat="1">
      <c r="A82" s="483"/>
      <c r="B82" s="484" t="s">
        <v>141</v>
      </c>
      <c r="C82" s="485">
        <v>7</v>
      </c>
      <c r="D82" s="587">
        <v>103.6</v>
      </c>
      <c r="E82" s="587">
        <v>90.1</v>
      </c>
      <c r="F82" s="587">
        <v>91.2</v>
      </c>
      <c r="G82" s="588"/>
      <c r="H82" s="588">
        <v>100</v>
      </c>
      <c r="I82" s="584">
        <f t="shared" si="15"/>
        <v>5.5999999999999943</v>
      </c>
      <c r="J82" s="584">
        <f t="shared" si="16"/>
        <v>1.3999999999999915</v>
      </c>
      <c r="K82" s="584">
        <f t="shared" si="17"/>
        <v>0.79999999999999716</v>
      </c>
      <c r="L82" s="1226"/>
      <c r="M82" s="589">
        <f t="shared" si="18"/>
        <v>98.8</v>
      </c>
      <c r="N82" s="589">
        <f t="shared" si="19"/>
        <v>87.3</v>
      </c>
      <c r="O82" s="589">
        <f t="shared" si="20"/>
        <v>90.4</v>
      </c>
      <c r="P82" s="584"/>
      <c r="Q82" s="589">
        <f t="shared" si="24"/>
        <v>2.8699999999999903</v>
      </c>
      <c r="R82" s="589">
        <f t="shared" si="25"/>
        <v>1.769999999999996</v>
      </c>
      <c r="S82" s="589">
        <f t="shared" si="26"/>
        <v>-0.42999999999999261</v>
      </c>
      <c r="T82" s="1226"/>
      <c r="U82" s="589">
        <f t="shared" si="21"/>
        <v>96.54</v>
      </c>
      <c r="V82" s="589">
        <f t="shared" si="22"/>
        <v>85.86</v>
      </c>
      <c r="W82" s="589">
        <f t="shared" si="23"/>
        <v>91.51</v>
      </c>
      <c r="X82" s="588"/>
      <c r="Y82" s="589">
        <f t="shared" si="27"/>
        <v>1.5100000000000051</v>
      </c>
      <c r="Z82" s="589">
        <f t="shared" si="28"/>
        <v>0.56000000000000227</v>
      </c>
      <c r="AA82" s="590">
        <f t="shared" si="29"/>
        <v>-0.67999999999999261</v>
      </c>
    </row>
    <row r="83" spans="1:27" s="501" customFormat="1">
      <c r="A83" s="483"/>
      <c r="B83" s="484" t="s">
        <v>141</v>
      </c>
      <c r="C83" s="485">
        <v>8</v>
      </c>
      <c r="D83" s="587">
        <v>101</v>
      </c>
      <c r="E83" s="587">
        <v>84</v>
      </c>
      <c r="F83" s="587">
        <v>87.9</v>
      </c>
      <c r="G83" s="588"/>
      <c r="H83" s="588">
        <v>100</v>
      </c>
      <c r="I83" s="584">
        <f t="shared" si="15"/>
        <v>-2.5999999999999943</v>
      </c>
      <c r="J83" s="584">
        <f t="shared" si="16"/>
        <v>-6.0999999999999943</v>
      </c>
      <c r="K83" s="584">
        <f t="shared" si="17"/>
        <v>-3.2999999999999972</v>
      </c>
      <c r="L83" s="1226"/>
      <c r="M83" s="589">
        <f t="shared" si="18"/>
        <v>100.87</v>
      </c>
      <c r="N83" s="589">
        <f t="shared" si="19"/>
        <v>87.6</v>
      </c>
      <c r="O83" s="589">
        <f t="shared" si="20"/>
        <v>89.83</v>
      </c>
      <c r="P83" s="584"/>
      <c r="Q83" s="589">
        <f t="shared" si="24"/>
        <v>2.0700000000000074</v>
      </c>
      <c r="R83" s="589">
        <f t="shared" si="25"/>
        <v>0.29999999999999716</v>
      </c>
      <c r="S83" s="589">
        <f t="shared" si="26"/>
        <v>-0.57000000000000739</v>
      </c>
      <c r="T83" s="1226"/>
      <c r="U83" s="589">
        <f t="shared" si="21"/>
        <v>98.2</v>
      </c>
      <c r="V83" s="589">
        <f t="shared" si="22"/>
        <v>86.63</v>
      </c>
      <c r="W83" s="589">
        <f t="shared" si="23"/>
        <v>90.86</v>
      </c>
      <c r="X83" s="588"/>
      <c r="Y83" s="589">
        <f t="shared" si="27"/>
        <v>1.6599999999999966</v>
      </c>
      <c r="Z83" s="589">
        <f t="shared" si="28"/>
        <v>0.76999999999999602</v>
      </c>
      <c r="AA83" s="590">
        <f t="shared" si="29"/>
        <v>-0.65000000000000568</v>
      </c>
    </row>
    <row r="84" spans="1:27" s="501" customFormat="1">
      <c r="A84" s="483"/>
      <c r="B84" s="484" t="s">
        <v>141</v>
      </c>
      <c r="C84" s="485">
        <v>9</v>
      </c>
      <c r="D84" s="587">
        <v>103.2</v>
      </c>
      <c r="E84" s="587">
        <v>92.4</v>
      </c>
      <c r="F84" s="587">
        <v>90.8</v>
      </c>
      <c r="G84" s="588"/>
      <c r="H84" s="588">
        <v>100</v>
      </c>
      <c r="I84" s="584">
        <f t="shared" si="15"/>
        <v>2.2000000000000028</v>
      </c>
      <c r="J84" s="584">
        <f t="shared" si="16"/>
        <v>8.4000000000000057</v>
      </c>
      <c r="K84" s="584">
        <f t="shared" si="17"/>
        <v>2.8999999999999915</v>
      </c>
      <c r="L84" s="1226"/>
      <c r="M84" s="589">
        <f t="shared" si="18"/>
        <v>102.6</v>
      </c>
      <c r="N84" s="589">
        <f t="shared" si="19"/>
        <v>88.83</v>
      </c>
      <c r="O84" s="589">
        <f t="shared" si="20"/>
        <v>89.97</v>
      </c>
      <c r="P84" s="584"/>
      <c r="Q84" s="589">
        <f t="shared" si="24"/>
        <v>1.7299999999999898</v>
      </c>
      <c r="R84" s="589">
        <f t="shared" si="25"/>
        <v>1.230000000000004</v>
      </c>
      <c r="S84" s="589">
        <f t="shared" si="26"/>
        <v>0.14000000000000057</v>
      </c>
      <c r="T84" s="1226"/>
      <c r="U84" s="589">
        <f t="shared" si="21"/>
        <v>99.06</v>
      </c>
      <c r="V84" s="589">
        <f t="shared" si="22"/>
        <v>88.06</v>
      </c>
      <c r="W84" s="589">
        <f t="shared" si="23"/>
        <v>90.6</v>
      </c>
      <c r="X84" s="588"/>
      <c r="Y84" s="589">
        <f t="shared" si="27"/>
        <v>0.85999999999999943</v>
      </c>
      <c r="Z84" s="589">
        <f t="shared" si="28"/>
        <v>1.4300000000000068</v>
      </c>
      <c r="AA84" s="590">
        <f t="shared" si="29"/>
        <v>-0.26000000000000512</v>
      </c>
    </row>
    <row r="85" spans="1:27" s="501" customFormat="1">
      <c r="A85" s="483"/>
      <c r="B85" s="484" t="s">
        <v>141</v>
      </c>
      <c r="C85" s="485">
        <v>10</v>
      </c>
      <c r="D85" s="587">
        <v>106.5</v>
      </c>
      <c r="E85" s="587">
        <v>91.5</v>
      </c>
      <c r="F85" s="587">
        <v>89.1</v>
      </c>
      <c r="G85" s="588"/>
      <c r="H85" s="588">
        <v>100</v>
      </c>
      <c r="I85" s="584">
        <f t="shared" si="15"/>
        <v>3.2999999999999972</v>
      </c>
      <c r="J85" s="584">
        <f t="shared" si="16"/>
        <v>-0.90000000000000568</v>
      </c>
      <c r="K85" s="584">
        <f t="shared" si="17"/>
        <v>-1.7000000000000028</v>
      </c>
      <c r="L85" s="1226"/>
      <c r="M85" s="589">
        <f t="shared" si="18"/>
        <v>103.57</v>
      </c>
      <c r="N85" s="589">
        <f t="shared" si="19"/>
        <v>89.3</v>
      </c>
      <c r="O85" s="589">
        <f t="shared" si="20"/>
        <v>89.27</v>
      </c>
      <c r="P85" s="584"/>
      <c r="Q85" s="589">
        <f t="shared" si="24"/>
        <v>0.96999999999999886</v>
      </c>
      <c r="R85" s="589">
        <f t="shared" si="25"/>
        <v>0.46999999999999886</v>
      </c>
      <c r="S85" s="589">
        <f t="shared" si="26"/>
        <v>-0.70000000000000284</v>
      </c>
      <c r="T85" s="1226"/>
      <c r="U85" s="589">
        <f t="shared" si="21"/>
        <v>100.3</v>
      </c>
      <c r="V85" s="589">
        <f t="shared" si="22"/>
        <v>87.8</v>
      </c>
      <c r="W85" s="589">
        <f t="shared" si="23"/>
        <v>90.21</v>
      </c>
      <c r="X85" s="588"/>
      <c r="Y85" s="589">
        <f t="shared" si="27"/>
        <v>1.2399999999999949</v>
      </c>
      <c r="Z85" s="589">
        <f t="shared" si="28"/>
        <v>-0.26000000000000512</v>
      </c>
      <c r="AA85" s="590">
        <f t="shared" si="29"/>
        <v>-0.39000000000000057</v>
      </c>
    </row>
    <row r="86" spans="1:27" s="501" customFormat="1">
      <c r="A86" s="483"/>
      <c r="B86" s="484" t="s">
        <v>141</v>
      </c>
      <c r="C86" s="485">
        <v>11</v>
      </c>
      <c r="D86" s="587">
        <v>107.5</v>
      </c>
      <c r="E86" s="587">
        <v>94</v>
      </c>
      <c r="F86" s="587">
        <v>85.1</v>
      </c>
      <c r="G86" s="588"/>
      <c r="H86" s="588">
        <v>100</v>
      </c>
      <c r="I86" s="584">
        <f t="shared" si="15"/>
        <v>1</v>
      </c>
      <c r="J86" s="584">
        <f t="shared" si="16"/>
        <v>2.5</v>
      </c>
      <c r="K86" s="584">
        <f t="shared" si="17"/>
        <v>-4</v>
      </c>
      <c r="L86" s="1226"/>
      <c r="M86" s="589">
        <f t="shared" si="18"/>
        <v>105.73</v>
      </c>
      <c r="N86" s="589">
        <f t="shared" si="19"/>
        <v>92.63</v>
      </c>
      <c r="O86" s="589">
        <f t="shared" si="20"/>
        <v>88.33</v>
      </c>
      <c r="P86" s="584"/>
      <c r="Q86" s="589">
        <f t="shared" si="24"/>
        <v>2.1600000000000108</v>
      </c>
      <c r="R86" s="589">
        <f t="shared" si="25"/>
        <v>3.3299999999999983</v>
      </c>
      <c r="S86" s="589">
        <f t="shared" si="26"/>
        <v>-0.93999999999999773</v>
      </c>
      <c r="T86" s="1226"/>
      <c r="U86" s="589">
        <f t="shared" si="21"/>
        <v>102.09</v>
      </c>
      <c r="V86" s="589">
        <f t="shared" si="22"/>
        <v>89.11</v>
      </c>
      <c r="W86" s="589">
        <f t="shared" si="23"/>
        <v>89.16</v>
      </c>
      <c r="X86" s="588"/>
      <c r="Y86" s="589">
        <f t="shared" si="27"/>
        <v>1.7900000000000063</v>
      </c>
      <c r="Z86" s="589">
        <f t="shared" si="28"/>
        <v>1.3100000000000023</v>
      </c>
      <c r="AA86" s="590">
        <f t="shared" si="29"/>
        <v>-1.0499999999999972</v>
      </c>
    </row>
    <row r="87" spans="1:27" s="501" customFormat="1">
      <c r="A87" s="495"/>
      <c r="B87" s="496" t="s">
        <v>141</v>
      </c>
      <c r="C87" s="497">
        <v>12</v>
      </c>
      <c r="D87" s="601">
        <v>106.1</v>
      </c>
      <c r="E87" s="601">
        <v>92.2</v>
      </c>
      <c r="F87" s="601">
        <v>82.9</v>
      </c>
      <c r="G87" s="602"/>
      <c r="H87" s="602">
        <v>100</v>
      </c>
      <c r="I87" s="603">
        <f t="shared" si="15"/>
        <v>-1.4000000000000057</v>
      </c>
      <c r="J87" s="603">
        <f t="shared" si="16"/>
        <v>-1.7999999999999972</v>
      </c>
      <c r="K87" s="603">
        <f t="shared" si="17"/>
        <v>-2.1999999999999886</v>
      </c>
      <c r="L87" s="1229"/>
      <c r="M87" s="594">
        <f t="shared" si="18"/>
        <v>106.7</v>
      </c>
      <c r="N87" s="594">
        <f t="shared" si="19"/>
        <v>92.57</v>
      </c>
      <c r="O87" s="594">
        <f t="shared" si="20"/>
        <v>85.7</v>
      </c>
      <c r="P87" s="603"/>
      <c r="Q87" s="589">
        <f t="shared" si="24"/>
        <v>0.96999999999999886</v>
      </c>
      <c r="R87" s="589">
        <f t="shared" si="25"/>
        <v>-6.0000000000002274E-2</v>
      </c>
      <c r="S87" s="589">
        <f t="shared" si="26"/>
        <v>-2.6299999999999955</v>
      </c>
      <c r="T87" s="1229"/>
      <c r="U87" s="604">
        <f t="shared" si="21"/>
        <v>103.7</v>
      </c>
      <c r="V87" s="604">
        <f t="shared" si="22"/>
        <v>90.41</v>
      </c>
      <c r="W87" s="604">
        <f t="shared" si="23"/>
        <v>88.2</v>
      </c>
      <c r="X87" s="602"/>
      <c r="Y87" s="604">
        <f t="shared" si="27"/>
        <v>1.6099999999999994</v>
      </c>
      <c r="Z87" s="604">
        <f t="shared" si="28"/>
        <v>1.2999999999999972</v>
      </c>
      <c r="AA87" s="605">
        <f t="shared" si="29"/>
        <v>-0.95999999999999375</v>
      </c>
    </row>
    <row r="88" spans="1:27" s="501" customFormat="1">
      <c r="A88" s="479" t="s">
        <v>352</v>
      </c>
      <c r="B88" s="992" t="s">
        <v>660</v>
      </c>
      <c r="C88" s="481">
        <v>1</v>
      </c>
      <c r="D88" s="581">
        <v>105.7</v>
      </c>
      <c r="E88" s="581">
        <v>87.7</v>
      </c>
      <c r="F88" s="581">
        <v>85.6</v>
      </c>
      <c r="G88" s="582"/>
      <c r="H88" s="582">
        <v>100</v>
      </c>
      <c r="I88" s="583">
        <f t="shared" si="15"/>
        <v>-0.39999999999999147</v>
      </c>
      <c r="J88" s="583">
        <f t="shared" si="16"/>
        <v>-4.5</v>
      </c>
      <c r="K88" s="583">
        <f t="shared" si="17"/>
        <v>2.6999999999999886</v>
      </c>
      <c r="L88" s="1225"/>
      <c r="M88" s="599">
        <f t="shared" si="18"/>
        <v>106.43</v>
      </c>
      <c r="N88" s="599">
        <f t="shared" si="19"/>
        <v>91.3</v>
      </c>
      <c r="O88" s="599">
        <f t="shared" si="20"/>
        <v>84.53</v>
      </c>
      <c r="P88" s="583"/>
      <c r="Q88" s="589">
        <f t="shared" si="24"/>
        <v>-0.26999999999999602</v>
      </c>
      <c r="R88" s="589">
        <f t="shared" si="25"/>
        <v>-1.269999999999996</v>
      </c>
      <c r="S88" s="589">
        <f t="shared" si="26"/>
        <v>-1.1700000000000017</v>
      </c>
      <c r="T88" s="1225"/>
      <c r="U88" s="585">
        <f t="shared" si="21"/>
        <v>104.8</v>
      </c>
      <c r="V88" s="585">
        <f t="shared" si="22"/>
        <v>90.27</v>
      </c>
      <c r="W88" s="585">
        <f t="shared" si="23"/>
        <v>87.51</v>
      </c>
      <c r="X88" s="582"/>
      <c r="Y88" s="585">
        <f t="shared" si="27"/>
        <v>1.0999999999999943</v>
      </c>
      <c r="Z88" s="585">
        <f t="shared" si="28"/>
        <v>-0.14000000000000057</v>
      </c>
      <c r="AA88" s="586">
        <f t="shared" si="29"/>
        <v>-0.68999999999999773</v>
      </c>
    </row>
    <row r="89" spans="1:27" s="501" customFormat="1">
      <c r="A89" s="483"/>
      <c r="B89" s="484" t="s">
        <v>141</v>
      </c>
      <c r="C89" s="485">
        <v>2</v>
      </c>
      <c r="D89" s="587">
        <v>112.8</v>
      </c>
      <c r="E89" s="587">
        <v>96.9</v>
      </c>
      <c r="F89" s="587">
        <v>85.6</v>
      </c>
      <c r="G89" s="588"/>
      <c r="H89" s="588">
        <v>100</v>
      </c>
      <c r="I89" s="584">
        <f t="shared" si="15"/>
        <v>7.0999999999999943</v>
      </c>
      <c r="J89" s="584">
        <f t="shared" si="16"/>
        <v>9.2000000000000028</v>
      </c>
      <c r="K89" s="584">
        <f t="shared" si="17"/>
        <v>0</v>
      </c>
      <c r="L89" s="1226"/>
      <c r="M89" s="589">
        <f t="shared" si="18"/>
        <v>108.2</v>
      </c>
      <c r="N89" s="589">
        <f t="shared" si="19"/>
        <v>92.27</v>
      </c>
      <c r="O89" s="589">
        <f t="shared" si="20"/>
        <v>84.7</v>
      </c>
      <c r="P89" s="584"/>
      <c r="Q89" s="589">
        <f t="shared" si="24"/>
        <v>1.769999999999996</v>
      </c>
      <c r="R89" s="589">
        <f t="shared" si="25"/>
        <v>0.96999999999999886</v>
      </c>
      <c r="S89" s="589">
        <f t="shared" si="26"/>
        <v>0.17000000000000171</v>
      </c>
      <c r="T89" s="1226"/>
      <c r="U89" s="589">
        <f t="shared" si="21"/>
        <v>106.11</v>
      </c>
      <c r="V89" s="589">
        <f t="shared" si="22"/>
        <v>91.24</v>
      </c>
      <c r="W89" s="589">
        <f t="shared" si="23"/>
        <v>86.71</v>
      </c>
      <c r="X89" s="588"/>
      <c r="Y89" s="589">
        <f t="shared" si="27"/>
        <v>1.3100000000000023</v>
      </c>
      <c r="Z89" s="589">
        <f t="shared" si="28"/>
        <v>0.96999999999999886</v>
      </c>
      <c r="AA89" s="590">
        <f t="shared" si="29"/>
        <v>-0.80000000000001137</v>
      </c>
    </row>
    <row r="90" spans="1:27" s="501" customFormat="1">
      <c r="A90" s="483"/>
      <c r="B90" s="484" t="s">
        <v>141</v>
      </c>
      <c r="C90" s="485">
        <v>3</v>
      </c>
      <c r="D90" s="587">
        <v>115.4</v>
      </c>
      <c r="E90" s="587">
        <v>106.3</v>
      </c>
      <c r="F90" s="587">
        <v>85.8</v>
      </c>
      <c r="G90" s="588"/>
      <c r="H90" s="588">
        <v>100</v>
      </c>
      <c r="I90" s="584">
        <f t="shared" si="15"/>
        <v>2.6000000000000085</v>
      </c>
      <c r="J90" s="584">
        <f t="shared" si="16"/>
        <v>9.3999999999999915</v>
      </c>
      <c r="K90" s="584">
        <f t="shared" si="17"/>
        <v>0.20000000000000284</v>
      </c>
      <c r="L90" s="1226"/>
      <c r="M90" s="589">
        <f t="shared" si="18"/>
        <v>111.3</v>
      </c>
      <c r="N90" s="589">
        <f t="shared" si="19"/>
        <v>96.97</v>
      </c>
      <c r="O90" s="589">
        <f t="shared" si="20"/>
        <v>85.67</v>
      </c>
      <c r="P90" s="584"/>
      <c r="Q90" s="589">
        <f t="shared" si="24"/>
        <v>3.0999999999999943</v>
      </c>
      <c r="R90" s="589">
        <f t="shared" si="25"/>
        <v>4.7000000000000028</v>
      </c>
      <c r="S90" s="589">
        <f t="shared" si="26"/>
        <v>0.96999999999999886</v>
      </c>
      <c r="T90" s="1226"/>
      <c r="U90" s="589">
        <f t="shared" si="21"/>
        <v>108.17</v>
      </c>
      <c r="V90" s="589">
        <f t="shared" si="22"/>
        <v>94.43</v>
      </c>
      <c r="W90" s="589">
        <f t="shared" si="23"/>
        <v>86.41</v>
      </c>
      <c r="X90" s="588"/>
      <c r="Y90" s="589">
        <f t="shared" si="27"/>
        <v>2.0600000000000023</v>
      </c>
      <c r="Z90" s="589">
        <f t="shared" si="28"/>
        <v>3.1900000000000119</v>
      </c>
      <c r="AA90" s="590">
        <f t="shared" si="29"/>
        <v>-0.29999999999999716</v>
      </c>
    </row>
    <row r="91" spans="1:27" s="501" customFormat="1">
      <c r="A91" s="483"/>
      <c r="B91" s="484" t="s">
        <v>141</v>
      </c>
      <c r="C91" s="485">
        <v>4</v>
      </c>
      <c r="D91" s="587">
        <v>109.2</v>
      </c>
      <c r="E91" s="587">
        <v>93.7</v>
      </c>
      <c r="F91" s="587">
        <v>86.9</v>
      </c>
      <c r="G91" s="588"/>
      <c r="H91" s="588">
        <v>100</v>
      </c>
      <c r="I91" s="584">
        <f t="shared" si="15"/>
        <v>-6.2000000000000028</v>
      </c>
      <c r="J91" s="584">
        <f t="shared" si="16"/>
        <v>-12.599999999999994</v>
      </c>
      <c r="K91" s="584">
        <f t="shared" si="17"/>
        <v>1.1000000000000085</v>
      </c>
      <c r="L91" s="1226"/>
      <c r="M91" s="589">
        <f t="shared" si="18"/>
        <v>112.47</v>
      </c>
      <c r="N91" s="589">
        <f t="shared" si="19"/>
        <v>98.97</v>
      </c>
      <c r="O91" s="589">
        <f t="shared" si="20"/>
        <v>86.1</v>
      </c>
      <c r="P91" s="584"/>
      <c r="Q91" s="589">
        <f t="shared" si="24"/>
        <v>1.1700000000000017</v>
      </c>
      <c r="R91" s="589">
        <f t="shared" si="25"/>
        <v>2</v>
      </c>
      <c r="S91" s="589">
        <f t="shared" si="26"/>
        <v>0.42999999999999261</v>
      </c>
      <c r="T91" s="1226"/>
      <c r="U91" s="589">
        <f t="shared" si="21"/>
        <v>109.03</v>
      </c>
      <c r="V91" s="589">
        <f t="shared" si="22"/>
        <v>94.61</v>
      </c>
      <c r="W91" s="589">
        <f t="shared" si="23"/>
        <v>85.86</v>
      </c>
      <c r="X91" s="588"/>
      <c r="Y91" s="589">
        <f t="shared" si="27"/>
        <v>0.85999999999999943</v>
      </c>
      <c r="Z91" s="589">
        <f t="shared" si="28"/>
        <v>0.17999999999999261</v>
      </c>
      <c r="AA91" s="590">
        <f t="shared" si="29"/>
        <v>-0.54999999999999716</v>
      </c>
    </row>
    <row r="92" spans="1:27" s="501" customFormat="1">
      <c r="A92" s="483"/>
      <c r="B92" s="484" t="s">
        <v>141</v>
      </c>
      <c r="C92" s="485">
        <v>5</v>
      </c>
      <c r="D92" s="587">
        <v>111.4</v>
      </c>
      <c r="E92" s="587">
        <v>102.5</v>
      </c>
      <c r="F92" s="587">
        <v>89</v>
      </c>
      <c r="G92" s="588"/>
      <c r="H92" s="588">
        <v>100</v>
      </c>
      <c r="I92" s="584">
        <f t="shared" si="15"/>
        <v>2.2000000000000028</v>
      </c>
      <c r="J92" s="584">
        <f t="shared" si="16"/>
        <v>8.7999999999999972</v>
      </c>
      <c r="K92" s="584">
        <f t="shared" si="17"/>
        <v>2.0999999999999943</v>
      </c>
      <c r="L92" s="1226"/>
      <c r="M92" s="589">
        <f t="shared" si="18"/>
        <v>112</v>
      </c>
      <c r="N92" s="589">
        <f t="shared" si="19"/>
        <v>100.83</v>
      </c>
      <c r="O92" s="589">
        <f t="shared" si="20"/>
        <v>87.23</v>
      </c>
      <c r="P92" s="584"/>
      <c r="Q92" s="589">
        <f t="shared" si="24"/>
        <v>-0.46999999999999886</v>
      </c>
      <c r="R92" s="589">
        <f t="shared" si="25"/>
        <v>1.8599999999999994</v>
      </c>
      <c r="S92" s="589">
        <f t="shared" si="26"/>
        <v>1.1300000000000097</v>
      </c>
      <c r="T92" s="1226"/>
      <c r="U92" s="589">
        <f t="shared" si="21"/>
        <v>109.73</v>
      </c>
      <c r="V92" s="589">
        <f t="shared" si="22"/>
        <v>96.19</v>
      </c>
      <c r="W92" s="589">
        <f t="shared" si="23"/>
        <v>85.84</v>
      </c>
      <c r="X92" s="588"/>
      <c r="Y92" s="589">
        <f t="shared" si="27"/>
        <v>0.70000000000000284</v>
      </c>
      <c r="Z92" s="589">
        <f t="shared" si="28"/>
        <v>1.5799999999999983</v>
      </c>
      <c r="AA92" s="590">
        <f t="shared" si="29"/>
        <v>-1.9999999999996021E-2</v>
      </c>
    </row>
    <row r="93" spans="1:27" s="501" customFormat="1">
      <c r="A93" s="483"/>
      <c r="B93" s="484" t="s">
        <v>141</v>
      </c>
      <c r="C93" s="485">
        <v>6</v>
      </c>
      <c r="D93" s="587">
        <v>112.9</v>
      </c>
      <c r="E93" s="587">
        <v>105</v>
      </c>
      <c r="F93" s="587">
        <v>88.4</v>
      </c>
      <c r="G93" s="588"/>
      <c r="H93" s="588">
        <v>100</v>
      </c>
      <c r="I93" s="584">
        <f t="shared" si="15"/>
        <v>1.5</v>
      </c>
      <c r="J93" s="584">
        <f t="shared" si="16"/>
        <v>2.5</v>
      </c>
      <c r="K93" s="584">
        <f t="shared" si="17"/>
        <v>-0.59999999999999432</v>
      </c>
      <c r="L93" s="1226"/>
      <c r="M93" s="589">
        <f t="shared" si="18"/>
        <v>111.17</v>
      </c>
      <c r="N93" s="589">
        <f t="shared" si="19"/>
        <v>100.4</v>
      </c>
      <c r="O93" s="589">
        <f t="shared" si="20"/>
        <v>88.1</v>
      </c>
      <c r="P93" s="584"/>
      <c r="Q93" s="589">
        <f t="shared" si="24"/>
        <v>-0.82999999999999829</v>
      </c>
      <c r="R93" s="589">
        <f t="shared" si="25"/>
        <v>-0.42999999999999261</v>
      </c>
      <c r="S93" s="589">
        <f t="shared" si="26"/>
        <v>0.86999999999999034</v>
      </c>
      <c r="T93" s="1226"/>
      <c r="U93" s="589">
        <f t="shared" si="21"/>
        <v>110.5</v>
      </c>
      <c r="V93" s="589">
        <f t="shared" si="22"/>
        <v>97.76</v>
      </c>
      <c r="W93" s="589">
        <f t="shared" si="23"/>
        <v>86.31</v>
      </c>
      <c r="X93" s="588"/>
      <c r="Y93" s="589">
        <f t="shared" si="27"/>
        <v>0.76999999999999602</v>
      </c>
      <c r="Z93" s="589">
        <f t="shared" si="28"/>
        <v>1.5700000000000074</v>
      </c>
      <c r="AA93" s="590">
        <f t="shared" si="29"/>
        <v>0.46999999999999886</v>
      </c>
    </row>
    <row r="94" spans="1:27" s="501" customFormat="1">
      <c r="A94" s="483"/>
      <c r="B94" s="484" t="s">
        <v>141</v>
      </c>
      <c r="C94" s="485">
        <v>7</v>
      </c>
      <c r="D94" s="587">
        <v>110.8</v>
      </c>
      <c r="E94" s="587">
        <v>106.4</v>
      </c>
      <c r="F94" s="587">
        <v>89.3</v>
      </c>
      <c r="G94" s="588"/>
      <c r="H94" s="588">
        <v>100</v>
      </c>
      <c r="I94" s="584">
        <f t="shared" si="15"/>
        <v>-2.1000000000000085</v>
      </c>
      <c r="J94" s="584">
        <f t="shared" si="16"/>
        <v>1.4000000000000057</v>
      </c>
      <c r="K94" s="584">
        <f t="shared" si="17"/>
        <v>0.89999999999999147</v>
      </c>
      <c r="L94" s="1226"/>
      <c r="M94" s="589">
        <f t="shared" si="18"/>
        <v>111.7</v>
      </c>
      <c r="N94" s="589">
        <f t="shared" si="19"/>
        <v>104.63</v>
      </c>
      <c r="O94" s="589">
        <f t="shared" si="20"/>
        <v>88.9</v>
      </c>
      <c r="P94" s="584"/>
      <c r="Q94" s="589">
        <f t="shared" si="24"/>
        <v>0.53000000000000114</v>
      </c>
      <c r="R94" s="589">
        <f t="shared" si="25"/>
        <v>4.2299999999999898</v>
      </c>
      <c r="S94" s="589">
        <f t="shared" si="26"/>
        <v>0.80000000000001137</v>
      </c>
      <c r="T94" s="1226"/>
      <c r="U94" s="589">
        <f t="shared" si="21"/>
        <v>111.17</v>
      </c>
      <c r="V94" s="589">
        <f t="shared" si="22"/>
        <v>99.79</v>
      </c>
      <c r="W94" s="589">
        <f t="shared" si="23"/>
        <v>87.23</v>
      </c>
      <c r="X94" s="588"/>
      <c r="Y94" s="589">
        <f t="shared" si="27"/>
        <v>0.67000000000000171</v>
      </c>
      <c r="Z94" s="589">
        <f t="shared" si="28"/>
        <v>2.0300000000000011</v>
      </c>
      <c r="AA94" s="590">
        <f t="shared" si="29"/>
        <v>0.92000000000000171</v>
      </c>
    </row>
    <row r="95" spans="1:27" s="501" customFormat="1">
      <c r="A95" s="483"/>
      <c r="B95" s="484" t="s">
        <v>141</v>
      </c>
      <c r="C95" s="485">
        <v>8</v>
      </c>
      <c r="D95" s="587">
        <v>114.7</v>
      </c>
      <c r="E95" s="587">
        <v>102.4</v>
      </c>
      <c r="F95" s="587">
        <v>88.1</v>
      </c>
      <c r="G95" s="588"/>
      <c r="H95" s="588">
        <v>100</v>
      </c>
      <c r="I95" s="584">
        <f t="shared" si="15"/>
        <v>3.9000000000000057</v>
      </c>
      <c r="J95" s="584">
        <f t="shared" si="16"/>
        <v>-4</v>
      </c>
      <c r="K95" s="584">
        <f t="shared" si="17"/>
        <v>-1.2000000000000028</v>
      </c>
      <c r="L95" s="1226"/>
      <c r="M95" s="589">
        <f t="shared" si="18"/>
        <v>112.8</v>
      </c>
      <c r="N95" s="589">
        <f t="shared" si="19"/>
        <v>104.6</v>
      </c>
      <c r="O95" s="589">
        <f t="shared" si="20"/>
        <v>88.6</v>
      </c>
      <c r="P95" s="584"/>
      <c r="Q95" s="589">
        <f t="shared" si="24"/>
        <v>1.0999999999999943</v>
      </c>
      <c r="R95" s="589">
        <f t="shared" si="25"/>
        <v>-3.0000000000001137E-2</v>
      </c>
      <c r="S95" s="589">
        <f t="shared" si="26"/>
        <v>-0.30000000000001137</v>
      </c>
      <c r="T95" s="1226"/>
      <c r="U95" s="589">
        <f t="shared" si="21"/>
        <v>112.46</v>
      </c>
      <c r="V95" s="589">
        <f t="shared" si="22"/>
        <v>101.89</v>
      </c>
      <c r="W95" s="589">
        <f t="shared" si="23"/>
        <v>87.59</v>
      </c>
      <c r="X95" s="588"/>
      <c r="Y95" s="589">
        <f t="shared" si="27"/>
        <v>1.289999999999992</v>
      </c>
      <c r="Z95" s="589">
        <f t="shared" si="28"/>
        <v>2.0999999999999943</v>
      </c>
      <c r="AA95" s="590">
        <f t="shared" si="29"/>
        <v>0.35999999999999943</v>
      </c>
    </row>
    <row r="96" spans="1:27" s="501" customFormat="1">
      <c r="A96" s="483"/>
      <c r="B96" s="484" t="s">
        <v>141</v>
      </c>
      <c r="C96" s="485">
        <v>9</v>
      </c>
      <c r="D96" s="587">
        <v>111.1</v>
      </c>
      <c r="E96" s="587">
        <v>107.9</v>
      </c>
      <c r="F96" s="587">
        <v>88</v>
      </c>
      <c r="G96" s="588"/>
      <c r="H96" s="588">
        <v>100</v>
      </c>
      <c r="I96" s="584">
        <f t="shared" si="15"/>
        <v>-3.6000000000000085</v>
      </c>
      <c r="J96" s="584">
        <f t="shared" si="16"/>
        <v>5.5</v>
      </c>
      <c r="K96" s="584">
        <f t="shared" si="17"/>
        <v>-9.9999999999994316E-2</v>
      </c>
      <c r="L96" s="1226"/>
      <c r="M96" s="589">
        <f t="shared" ref="M96:M127" si="30">ROUND(AVERAGE(D94:D96),2)</f>
        <v>112.2</v>
      </c>
      <c r="N96" s="589">
        <f t="shared" ref="N96:N127" si="31">ROUND(AVERAGE(E94:E96),2)</f>
        <v>105.57</v>
      </c>
      <c r="O96" s="589">
        <f t="shared" ref="O96:O127" si="32">ROUND(AVERAGE(F94:F96),2)</f>
        <v>88.47</v>
      </c>
      <c r="P96" s="584"/>
      <c r="Q96" s="589">
        <f t="shared" si="24"/>
        <v>-0.59999999999999432</v>
      </c>
      <c r="R96" s="589">
        <f t="shared" si="25"/>
        <v>0.96999999999999886</v>
      </c>
      <c r="S96" s="589">
        <f t="shared" si="26"/>
        <v>-0.12999999999999545</v>
      </c>
      <c r="T96" s="1226"/>
      <c r="U96" s="589">
        <f t="shared" ref="U96:U127" si="33">ROUND(AVERAGE(D90:D96),2)</f>
        <v>112.21</v>
      </c>
      <c r="V96" s="589">
        <f t="shared" ref="V96:V127" si="34">ROUND(AVERAGE(E90:E96),2)</f>
        <v>103.46</v>
      </c>
      <c r="W96" s="589">
        <f t="shared" ref="W96:W127" si="35">ROUND(AVERAGE(F90:F96),2)</f>
        <v>87.93</v>
      </c>
      <c r="X96" s="588"/>
      <c r="Y96" s="589">
        <f t="shared" si="27"/>
        <v>-0.25</v>
      </c>
      <c r="Z96" s="589">
        <f t="shared" si="28"/>
        <v>1.5699999999999932</v>
      </c>
      <c r="AA96" s="590">
        <f t="shared" si="29"/>
        <v>0.34000000000000341</v>
      </c>
    </row>
    <row r="97" spans="1:27" s="501" customFormat="1">
      <c r="A97" s="483"/>
      <c r="B97" s="484"/>
      <c r="C97" s="485">
        <v>10</v>
      </c>
      <c r="D97" s="587">
        <v>112</v>
      </c>
      <c r="E97" s="587">
        <v>109.1</v>
      </c>
      <c r="F97" s="587">
        <v>87.7</v>
      </c>
      <c r="G97" s="588"/>
      <c r="H97" s="588">
        <v>100</v>
      </c>
      <c r="I97" s="584">
        <f t="shared" si="15"/>
        <v>0.90000000000000568</v>
      </c>
      <c r="J97" s="584">
        <f t="shared" si="16"/>
        <v>1.1999999999999886</v>
      </c>
      <c r="K97" s="584">
        <f t="shared" si="17"/>
        <v>-0.29999999999999716</v>
      </c>
      <c r="L97" s="1226"/>
      <c r="M97" s="589">
        <f t="shared" si="30"/>
        <v>112.6</v>
      </c>
      <c r="N97" s="589">
        <f t="shared" si="31"/>
        <v>106.47</v>
      </c>
      <c r="O97" s="589">
        <f t="shared" si="32"/>
        <v>87.93</v>
      </c>
      <c r="P97" s="584"/>
      <c r="Q97" s="589">
        <f t="shared" si="24"/>
        <v>0.39999999999999147</v>
      </c>
      <c r="R97" s="589">
        <f t="shared" si="25"/>
        <v>0.90000000000000568</v>
      </c>
      <c r="S97" s="589">
        <f t="shared" si="26"/>
        <v>-0.53999999999999204</v>
      </c>
      <c r="T97" s="1226"/>
      <c r="U97" s="589">
        <f t="shared" si="33"/>
        <v>111.73</v>
      </c>
      <c r="V97" s="589">
        <f t="shared" si="34"/>
        <v>103.86</v>
      </c>
      <c r="W97" s="589">
        <f t="shared" si="35"/>
        <v>88.2</v>
      </c>
      <c r="X97" s="588"/>
      <c r="Y97" s="589">
        <f t="shared" si="27"/>
        <v>-0.47999999999998977</v>
      </c>
      <c r="Z97" s="589">
        <f t="shared" si="28"/>
        <v>0.40000000000000568</v>
      </c>
      <c r="AA97" s="590">
        <f t="shared" si="29"/>
        <v>0.26999999999999602</v>
      </c>
    </row>
    <row r="98" spans="1:27" s="501" customFormat="1">
      <c r="A98" s="483"/>
      <c r="B98" s="484" t="s">
        <v>141</v>
      </c>
      <c r="C98" s="485">
        <v>11</v>
      </c>
      <c r="D98" s="587">
        <v>116.4</v>
      </c>
      <c r="E98" s="587">
        <v>110.9</v>
      </c>
      <c r="F98" s="587">
        <v>89.6</v>
      </c>
      <c r="G98" s="588"/>
      <c r="H98" s="588">
        <v>100</v>
      </c>
      <c r="I98" s="584">
        <f t="shared" si="15"/>
        <v>4.4000000000000057</v>
      </c>
      <c r="J98" s="584">
        <f t="shared" si="16"/>
        <v>1.8000000000000114</v>
      </c>
      <c r="K98" s="584">
        <f t="shared" si="17"/>
        <v>1.8999999999999915</v>
      </c>
      <c r="L98" s="1226"/>
      <c r="M98" s="589">
        <f t="shared" si="30"/>
        <v>113.17</v>
      </c>
      <c r="N98" s="589">
        <f t="shared" si="31"/>
        <v>109.3</v>
      </c>
      <c r="O98" s="589">
        <f t="shared" si="32"/>
        <v>88.43</v>
      </c>
      <c r="P98" s="584"/>
      <c r="Q98" s="589">
        <f t="shared" si="24"/>
        <v>0.57000000000000739</v>
      </c>
      <c r="R98" s="589">
        <f t="shared" si="25"/>
        <v>2.8299999999999983</v>
      </c>
      <c r="S98" s="589">
        <f t="shared" si="26"/>
        <v>0.5</v>
      </c>
      <c r="T98" s="1226"/>
      <c r="U98" s="589">
        <f t="shared" si="33"/>
        <v>112.76</v>
      </c>
      <c r="V98" s="589">
        <f t="shared" si="34"/>
        <v>106.31</v>
      </c>
      <c r="W98" s="589">
        <f t="shared" si="35"/>
        <v>88.59</v>
      </c>
      <c r="X98" s="588"/>
      <c r="Y98" s="589">
        <f t="shared" si="27"/>
        <v>1.0300000000000011</v>
      </c>
      <c r="Z98" s="589">
        <f t="shared" si="28"/>
        <v>2.4500000000000028</v>
      </c>
      <c r="AA98" s="590">
        <f t="shared" si="29"/>
        <v>0.39000000000000057</v>
      </c>
    </row>
    <row r="99" spans="1:27" s="501" customFormat="1">
      <c r="A99" s="487"/>
      <c r="B99" s="488" t="s">
        <v>141</v>
      </c>
      <c r="C99" s="489">
        <v>12</v>
      </c>
      <c r="D99" s="591">
        <v>112.2</v>
      </c>
      <c r="E99" s="591">
        <v>110.6</v>
      </c>
      <c r="F99" s="591">
        <v>89.4</v>
      </c>
      <c r="G99" s="592">
        <v>170</v>
      </c>
      <c r="H99" s="592">
        <v>100</v>
      </c>
      <c r="I99" s="593">
        <f t="shared" si="15"/>
        <v>-4.2000000000000028</v>
      </c>
      <c r="J99" s="593">
        <f t="shared" si="16"/>
        <v>-0.30000000000001137</v>
      </c>
      <c r="K99" s="593">
        <f t="shared" si="17"/>
        <v>-0.19999999999998863</v>
      </c>
      <c r="L99" s="1227"/>
      <c r="M99" s="604">
        <f t="shared" si="30"/>
        <v>113.53</v>
      </c>
      <c r="N99" s="604">
        <f t="shared" si="31"/>
        <v>110.2</v>
      </c>
      <c r="O99" s="604">
        <f t="shared" si="32"/>
        <v>88.9</v>
      </c>
      <c r="P99" s="593"/>
      <c r="Q99" s="589">
        <f t="shared" si="24"/>
        <v>0.35999999999999943</v>
      </c>
      <c r="R99" s="589">
        <f t="shared" si="25"/>
        <v>0.90000000000000568</v>
      </c>
      <c r="S99" s="589">
        <f t="shared" si="26"/>
        <v>0.46999999999999886</v>
      </c>
      <c r="T99" s="1227"/>
      <c r="U99" s="594">
        <f t="shared" si="33"/>
        <v>112.87</v>
      </c>
      <c r="V99" s="594">
        <f t="shared" si="34"/>
        <v>107.47</v>
      </c>
      <c r="W99" s="594">
        <f t="shared" si="35"/>
        <v>88.64</v>
      </c>
      <c r="X99" s="592"/>
      <c r="Y99" s="594">
        <f t="shared" si="27"/>
        <v>0.10999999999999943</v>
      </c>
      <c r="Z99" s="594">
        <f t="shared" si="28"/>
        <v>1.1599999999999966</v>
      </c>
      <c r="AA99" s="595">
        <f t="shared" si="29"/>
        <v>4.9999999999997158E-2</v>
      </c>
    </row>
    <row r="100" spans="1:27" s="501" customFormat="1">
      <c r="A100" s="491">
        <v>13</v>
      </c>
      <c r="B100" s="993" t="s">
        <v>661</v>
      </c>
      <c r="C100" s="493">
        <v>1</v>
      </c>
      <c r="D100" s="596">
        <v>103.2</v>
      </c>
      <c r="E100" s="596">
        <v>106.6</v>
      </c>
      <c r="F100" s="596">
        <v>88.9</v>
      </c>
      <c r="G100" s="597">
        <v>170</v>
      </c>
      <c r="H100" s="597">
        <v>100</v>
      </c>
      <c r="I100" s="598">
        <f t="shared" si="15"/>
        <v>-9</v>
      </c>
      <c r="J100" s="598">
        <f t="shared" si="16"/>
        <v>-4</v>
      </c>
      <c r="K100" s="598">
        <f t="shared" si="17"/>
        <v>-0.5</v>
      </c>
      <c r="L100" s="1228"/>
      <c r="M100" s="585">
        <f t="shared" si="30"/>
        <v>110.6</v>
      </c>
      <c r="N100" s="585">
        <f t="shared" si="31"/>
        <v>109.37</v>
      </c>
      <c r="O100" s="585">
        <f t="shared" si="32"/>
        <v>89.3</v>
      </c>
      <c r="P100" s="598"/>
      <c r="Q100" s="589">
        <f t="shared" si="24"/>
        <v>-2.9300000000000068</v>
      </c>
      <c r="R100" s="589">
        <f t="shared" si="25"/>
        <v>-0.82999999999999829</v>
      </c>
      <c r="S100" s="589">
        <f t="shared" si="26"/>
        <v>0.39999999999999147</v>
      </c>
      <c r="T100" s="1228"/>
      <c r="U100" s="599">
        <f t="shared" si="33"/>
        <v>111.49</v>
      </c>
      <c r="V100" s="599">
        <f t="shared" si="34"/>
        <v>107.7</v>
      </c>
      <c r="W100" s="599">
        <f t="shared" si="35"/>
        <v>88.71</v>
      </c>
      <c r="X100" s="597"/>
      <c r="Y100" s="599">
        <f t="shared" si="27"/>
        <v>-1.3800000000000097</v>
      </c>
      <c r="Z100" s="599">
        <f t="shared" si="28"/>
        <v>0.23000000000000398</v>
      </c>
      <c r="AA100" s="600">
        <f t="shared" si="29"/>
        <v>6.9999999999993179E-2</v>
      </c>
    </row>
    <row r="101" spans="1:27" s="501" customFormat="1">
      <c r="A101" s="483"/>
      <c r="B101" s="484" t="s">
        <v>141</v>
      </c>
      <c r="C101" s="485">
        <v>2</v>
      </c>
      <c r="D101" s="587">
        <v>102</v>
      </c>
      <c r="E101" s="587">
        <v>107.1</v>
      </c>
      <c r="F101" s="587">
        <v>89.1</v>
      </c>
      <c r="G101" s="588">
        <v>170</v>
      </c>
      <c r="H101" s="588">
        <v>100</v>
      </c>
      <c r="I101" s="584">
        <f t="shared" si="15"/>
        <v>-1.2000000000000028</v>
      </c>
      <c r="J101" s="584">
        <f t="shared" si="16"/>
        <v>0.5</v>
      </c>
      <c r="K101" s="584">
        <f t="shared" si="17"/>
        <v>0.19999999999998863</v>
      </c>
      <c r="L101" s="1226"/>
      <c r="M101" s="589">
        <f t="shared" si="30"/>
        <v>105.8</v>
      </c>
      <c r="N101" s="589">
        <f t="shared" si="31"/>
        <v>108.1</v>
      </c>
      <c r="O101" s="589">
        <f t="shared" si="32"/>
        <v>89.13</v>
      </c>
      <c r="P101" s="584"/>
      <c r="Q101" s="589">
        <f t="shared" si="24"/>
        <v>-4.7999999999999972</v>
      </c>
      <c r="R101" s="589">
        <f t="shared" si="25"/>
        <v>-1.2700000000000102</v>
      </c>
      <c r="S101" s="589">
        <f t="shared" si="26"/>
        <v>-0.17000000000000171</v>
      </c>
      <c r="T101" s="1226"/>
      <c r="U101" s="589">
        <f t="shared" si="33"/>
        <v>110.23</v>
      </c>
      <c r="V101" s="589">
        <f t="shared" si="34"/>
        <v>107.8</v>
      </c>
      <c r="W101" s="589">
        <f t="shared" si="35"/>
        <v>88.69</v>
      </c>
      <c r="X101" s="588"/>
      <c r="Y101" s="589">
        <f t="shared" si="27"/>
        <v>-1.2599999999999909</v>
      </c>
      <c r="Z101" s="589">
        <f t="shared" si="28"/>
        <v>9.9999999999994316E-2</v>
      </c>
      <c r="AA101" s="590">
        <f t="shared" si="29"/>
        <v>-1.9999999999996021E-2</v>
      </c>
    </row>
    <row r="102" spans="1:27" s="501" customFormat="1">
      <c r="A102" s="483"/>
      <c r="B102" s="484" t="s">
        <v>141</v>
      </c>
      <c r="C102" s="485">
        <v>3</v>
      </c>
      <c r="D102" s="587">
        <v>100.1</v>
      </c>
      <c r="E102" s="587">
        <v>107.2</v>
      </c>
      <c r="F102" s="587">
        <v>87.4</v>
      </c>
      <c r="G102" s="588">
        <v>170</v>
      </c>
      <c r="H102" s="588">
        <v>100</v>
      </c>
      <c r="I102" s="584">
        <f t="shared" si="15"/>
        <v>-1.9000000000000057</v>
      </c>
      <c r="J102" s="584">
        <f t="shared" si="16"/>
        <v>0.10000000000000853</v>
      </c>
      <c r="K102" s="584">
        <f t="shared" si="17"/>
        <v>-1.6999999999999886</v>
      </c>
      <c r="L102" s="1226"/>
      <c r="M102" s="589">
        <f t="shared" si="30"/>
        <v>101.77</v>
      </c>
      <c r="N102" s="589">
        <f t="shared" si="31"/>
        <v>106.97</v>
      </c>
      <c r="O102" s="589">
        <f t="shared" si="32"/>
        <v>88.47</v>
      </c>
      <c r="P102" s="584"/>
      <c r="Q102" s="589">
        <f t="shared" si="24"/>
        <v>-4.0300000000000011</v>
      </c>
      <c r="R102" s="589">
        <f t="shared" si="25"/>
        <v>-1.1299999999999955</v>
      </c>
      <c r="S102" s="589">
        <f t="shared" si="26"/>
        <v>-0.65999999999999659</v>
      </c>
      <c r="T102" s="1226"/>
      <c r="U102" s="589">
        <f t="shared" si="33"/>
        <v>108.14</v>
      </c>
      <c r="V102" s="589">
        <f t="shared" si="34"/>
        <v>108.49</v>
      </c>
      <c r="W102" s="589">
        <f t="shared" si="35"/>
        <v>88.59</v>
      </c>
      <c r="X102" s="588"/>
      <c r="Y102" s="589">
        <f t="shared" si="27"/>
        <v>-2.0900000000000034</v>
      </c>
      <c r="Z102" s="589">
        <f t="shared" si="28"/>
        <v>0.68999999999999773</v>
      </c>
      <c r="AA102" s="590">
        <f t="shared" si="29"/>
        <v>-9.9999999999994316E-2</v>
      </c>
    </row>
    <row r="103" spans="1:27" s="501" customFormat="1">
      <c r="A103" s="483"/>
      <c r="B103" s="484" t="s">
        <v>141</v>
      </c>
      <c r="C103" s="485">
        <v>4</v>
      </c>
      <c r="D103" s="587">
        <v>102.4</v>
      </c>
      <c r="E103" s="587">
        <v>99.9</v>
      </c>
      <c r="F103" s="587">
        <v>85.9</v>
      </c>
      <c r="G103" s="588">
        <v>170</v>
      </c>
      <c r="H103" s="588">
        <v>100</v>
      </c>
      <c r="I103" s="584">
        <f t="shared" si="15"/>
        <v>2.3000000000000114</v>
      </c>
      <c r="J103" s="584">
        <f t="shared" si="16"/>
        <v>-7.2999999999999972</v>
      </c>
      <c r="K103" s="584">
        <f t="shared" si="17"/>
        <v>-1.5</v>
      </c>
      <c r="L103" s="1226"/>
      <c r="M103" s="589">
        <f t="shared" si="30"/>
        <v>101.5</v>
      </c>
      <c r="N103" s="589">
        <f t="shared" si="31"/>
        <v>104.73</v>
      </c>
      <c r="O103" s="589">
        <f t="shared" si="32"/>
        <v>87.47</v>
      </c>
      <c r="P103" s="584"/>
      <c r="Q103" s="589">
        <f t="shared" si="24"/>
        <v>-0.26999999999999602</v>
      </c>
      <c r="R103" s="589">
        <f t="shared" si="25"/>
        <v>-2.2399999999999949</v>
      </c>
      <c r="S103" s="589">
        <f t="shared" si="26"/>
        <v>-1</v>
      </c>
      <c r="T103" s="1226"/>
      <c r="U103" s="589">
        <f t="shared" si="33"/>
        <v>106.9</v>
      </c>
      <c r="V103" s="589">
        <f t="shared" si="34"/>
        <v>107.34</v>
      </c>
      <c r="W103" s="589">
        <f t="shared" si="35"/>
        <v>88.29</v>
      </c>
      <c r="X103" s="588"/>
      <c r="Y103" s="589">
        <f t="shared" si="27"/>
        <v>-1.2399999999999949</v>
      </c>
      <c r="Z103" s="589">
        <f t="shared" si="28"/>
        <v>-1.1499999999999915</v>
      </c>
      <c r="AA103" s="590">
        <f t="shared" si="29"/>
        <v>-0.29999999999999716</v>
      </c>
    </row>
    <row r="104" spans="1:27" s="501" customFormat="1">
      <c r="A104" s="483"/>
      <c r="B104" s="484" t="s">
        <v>141</v>
      </c>
      <c r="C104" s="485">
        <v>5</v>
      </c>
      <c r="D104" s="587">
        <v>100.5</v>
      </c>
      <c r="E104" s="587">
        <v>96.1</v>
      </c>
      <c r="F104" s="587">
        <v>87.4</v>
      </c>
      <c r="G104" s="588">
        <v>170</v>
      </c>
      <c r="H104" s="588">
        <v>100</v>
      </c>
      <c r="I104" s="584">
        <f t="shared" si="15"/>
        <v>-1.9000000000000057</v>
      </c>
      <c r="J104" s="584">
        <f t="shared" si="16"/>
        <v>-3.8000000000000114</v>
      </c>
      <c r="K104" s="584">
        <f t="shared" si="17"/>
        <v>1.5</v>
      </c>
      <c r="L104" s="1226"/>
      <c r="M104" s="589">
        <f t="shared" si="30"/>
        <v>101</v>
      </c>
      <c r="N104" s="589">
        <f t="shared" si="31"/>
        <v>101.07</v>
      </c>
      <c r="O104" s="589">
        <f t="shared" si="32"/>
        <v>86.9</v>
      </c>
      <c r="P104" s="584"/>
      <c r="Q104" s="589">
        <f t="shared" si="24"/>
        <v>-0.5</v>
      </c>
      <c r="R104" s="589">
        <f t="shared" si="25"/>
        <v>-3.6600000000000108</v>
      </c>
      <c r="S104" s="589">
        <f t="shared" si="26"/>
        <v>-0.56999999999999318</v>
      </c>
      <c r="T104" s="1226"/>
      <c r="U104" s="589">
        <f t="shared" si="33"/>
        <v>105.26</v>
      </c>
      <c r="V104" s="589">
        <f t="shared" si="34"/>
        <v>105.49</v>
      </c>
      <c r="W104" s="589">
        <f t="shared" si="35"/>
        <v>88.24</v>
      </c>
      <c r="X104" s="588"/>
      <c r="Y104" s="589">
        <f t="shared" si="27"/>
        <v>-1.6400000000000006</v>
      </c>
      <c r="Z104" s="589">
        <f t="shared" si="28"/>
        <v>-1.8500000000000085</v>
      </c>
      <c r="AA104" s="590">
        <f t="shared" si="29"/>
        <v>-5.0000000000011369E-2</v>
      </c>
    </row>
    <row r="105" spans="1:27" s="501" customFormat="1">
      <c r="A105" s="483"/>
      <c r="B105" s="484" t="s">
        <v>141</v>
      </c>
      <c r="C105" s="485">
        <v>6</v>
      </c>
      <c r="D105" s="587">
        <v>100.1</v>
      </c>
      <c r="E105" s="587">
        <v>92.1</v>
      </c>
      <c r="F105" s="587">
        <v>85.2</v>
      </c>
      <c r="G105" s="588">
        <v>170</v>
      </c>
      <c r="H105" s="588">
        <v>100</v>
      </c>
      <c r="I105" s="584">
        <f t="shared" si="15"/>
        <v>-0.40000000000000568</v>
      </c>
      <c r="J105" s="584">
        <f t="shared" si="16"/>
        <v>-4</v>
      </c>
      <c r="K105" s="584">
        <f t="shared" si="17"/>
        <v>-2.2000000000000028</v>
      </c>
      <c r="L105" s="1226"/>
      <c r="M105" s="589">
        <f t="shared" si="30"/>
        <v>101</v>
      </c>
      <c r="N105" s="589">
        <f t="shared" si="31"/>
        <v>96.03</v>
      </c>
      <c r="O105" s="589">
        <f t="shared" si="32"/>
        <v>86.17</v>
      </c>
      <c r="P105" s="584"/>
      <c r="Q105" s="589">
        <f t="shared" si="24"/>
        <v>0</v>
      </c>
      <c r="R105" s="589">
        <f t="shared" si="25"/>
        <v>-5.039999999999992</v>
      </c>
      <c r="S105" s="589">
        <f t="shared" si="26"/>
        <v>-0.73000000000000398</v>
      </c>
      <c r="T105" s="1226"/>
      <c r="U105" s="589">
        <f t="shared" si="33"/>
        <v>102.93</v>
      </c>
      <c r="V105" s="589">
        <f t="shared" si="34"/>
        <v>102.8</v>
      </c>
      <c r="W105" s="589">
        <f t="shared" si="35"/>
        <v>87.61</v>
      </c>
      <c r="X105" s="588"/>
      <c r="Y105" s="589">
        <f t="shared" si="27"/>
        <v>-2.3299999999999983</v>
      </c>
      <c r="Z105" s="589">
        <f t="shared" si="28"/>
        <v>-2.6899999999999977</v>
      </c>
      <c r="AA105" s="590">
        <f t="shared" si="29"/>
        <v>-0.62999999999999545</v>
      </c>
    </row>
    <row r="106" spans="1:27" s="501" customFormat="1">
      <c r="A106" s="483"/>
      <c r="B106" s="484" t="s">
        <v>141</v>
      </c>
      <c r="C106" s="485">
        <v>7</v>
      </c>
      <c r="D106" s="587">
        <v>93.1</v>
      </c>
      <c r="E106" s="587">
        <v>81.8</v>
      </c>
      <c r="F106" s="587">
        <v>79.5</v>
      </c>
      <c r="G106" s="588">
        <v>170</v>
      </c>
      <c r="H106" s="588">
        <v>100</v>
      </c>
      <c r="I106" s="584">
        <f t="shared" si="15"/>
        <v>-7</v>
      </c>
      <c r="J106" s="584">
        <f t="shared" si="16"/>
        <v>-10.299999999999997</v>
      </c>
      <c r="K106" s="584">
        <f t="shared" si="17"/>
        <v>-5.7000000000000028</v>
      </c>
      <c r="L106" s="1226"/>
      <c r="M106" s="589">
        <f t="shared" si="30"/>
        <v>97.9</v>
      </c>
      <c r="N106" s="589">
        <f t="shared" si="31"/>
        <v>90</v>
      </c>
      <c r="O106" s="589">
        <f t="shared" si="32"/>
        <v>84.03</v>
      </c>
      <c r="P106" s="584"/>
      <c r="Q106" s="589">
        <f t="shared" si="24"/>
        <v>-3.0999999999999943</v>
      </c>
      <c r="R106" s="589">
        <f t="shared" si="25"/>
        <v>-6.0300000000000011</v>
      </c>
      <c r="S106" s="589">
        <f t="shared" si="26"/>
        <v>-2.1400000000000006</v>
      </c>
      <c r="T106" s="1226"/>
      <c r="U106" s="589">
        <f t="shared" si="33"/>
        <v>100.2</v>
      </c>
      <c r="V106" s="589">
        <f t="shared" si="34"/>
        <v>98.69</v>
      </c>
      <c r="W106" s="589">
        <f t="shared" si="35"/>
        <v>86.2</v>
      </c>
      <c r="X106" s="588"/>
      <c r="Y106" s="589">
        <f t="shared" si="27"/>
        <v>-2.730000000000004</v>
      </c>
      <c r="Z106" s="589">
        <f t="shared" si="28"/>
        <v>-4.1099999999999994</v>
      </c>
      <c r="AA106" s="590">
        <f t="shared" si="29"/>
        <v>-1.4099999999999966</v>
      </c>
    </row>
    <row r="107" spans="1:27" s="501" customFormat="1">
      <c r="A107" s="483"/>
      <c r="B107" s="484" t="s">
        <v>141</v>
      </c>
      <c r="C107" s="485">
        <v>8</v>
      </c>
      <c r="D107" s="587">
        <v>86.2</v>
      </c>
      <c r="E107" s="587">
        <v>76.3</v>
      </c>
      <c r="F107" s="587">
        <v>79.3</v>
      </c>
      <c r="G107" s="588">
        <v>170</v>
      </c>
      <c r="H107" s="588">
        <v>100</v>
      </c>
      <c r="I107" s="584">
        <f t="shared" si="15"/>
        <v>-6.8999999999999915</v>
      </c>
      <c r="J107" s="584">
        <f t="shared" si="16"/>
        <v>-5.5</v>
      </c>
      <c r="K107" s="584">
        <f t="shared" si="17"/>
        <v>-0.20000000000000284</v>
      </c>
      <c r="L107" s="1226"/>
      <c r="M107" s="589">
        <f t="shared" si="30"/>
        <v>93.13</v>
      </c>
      <c r="N107" s="589">
        <f t="shared" si="31"/>
        <v>83.4</v>
      </c>
      <c r="O107" s="589">
        <f t="shared" si="32"/>
        <v>81.33</v>
      </c>
      <c r="P107" s="584"/>
      <c r="Q107" s="589">
        <f t="shared" si="24"/>
        <v>-4.7700000000000102</v>
      </c>
      <c r="R107" s="589">
        <f t="shared" si="25"/>
        <v>-6.5999999999999943</v>
      </c>
      <c r="S107" s="589">
        <f t="shared" si="26"/>
        <v>-2.7000000000000028</v>
      </c>
      <c r="T107" s="1226"/>
      <c r="U107" s="589">
        <f t="shared" si="33"/>
        <v>97.77</v>
      </c>
      <c r="V107" s="589">
        <f t="shared" si="34"/>
        <v>94.36</v>
      </c>
      <c r="W107" s="589">
        <f t="shared" si="35"/>
        <v>84.83</v>
      </c>
      <c r="X107" s="588"/>
      <c r="Y107" s="589">
        <f t="shared" si="27"/>
        <v>-2.4300000000000068</v>
      </c>
      <c r="Z107" s="589">
        <f t="shared" si="28"/>
        <v>-4.3299999999999983</v>
      </c>
      <c r="AA107" s="590">
        <f t="shared" si="29"/>
        <v>-1.3700000000000045</v>
      </c>
    </row>
    <row r="108" spans="1:27" s="501" customFormat="1">
      <c r="A108" s="483"/>
      <c r="B108" s="484" t="s">
        <v>141</v>
      </c>
      <c r="C108" s="485">
        <v>9</v>
      </c>
      <c r="D108" s="587">
        <v>88.8</v>
      </c>
      <c r="E108" s="587">
        <v>83.5</v>
      </c>
      <c r="F108" s="587">
        <v>78.900000000000006</v>
      </c>
      <c r="G108" s="588">
        <v>170</v>
      </c>
      <c r="H108" s="588">
        <v>100</v>
      </c>
      <c r="I108" s="584">
        <f t="shared" si="15"/>
        <v>2.5999999999999943</v>
      </c>
      <c r="J108" s="584">
        <f t="shared" si="16"/>
        <v>7.2000000000000028</v>
      </c>
      <c r="K108" s="584">
        <f t="shared" si="17"/>
        <v>-0.39999999999999147</v>
      </c>
      <c r="L108" s="1226"/>
      <c r="M108" s="589">
        <f t="shared" si="30"/>
        <v>89.37</v>
      </c>
      <c r="N108" s="589">
        <f t="shared" si="31"/>
        <v>80.53</v>
      </c>
      <c r="O108" s="589">
        <f t="shared" si="32"/>
        <v>79.23</v>
      </c>
      <c r="P108" s="584"/>
      <c r="Q108" s="589">
        <f t="shared" si="24"/>
        <v>-3.7599999999999909</v>
      </c>
      <c r="R108" s="589">
        <f t="shared" si="25"/>
        <v>-2.8700000000000045</v>
      </c>
      <c r="S108" s="589">
        <f t="shared" si="26"/>
        <v>-2.0999999999999943</v>
      </c>
      <c r="T108" s="1226"/>
      <c r="U108" s="589">
        <f t="shared" si="33"/>
        <v>95.89</v>
      </c>
      <c r="V108" s="589">
        <f t="shared" si="34"/>
        <v>90.99</v>
      </c>
      <c r="W108" s="589">
        <f t="shared" si="35"/>
        <v>83.37</v>
      </c>
      <c r="X108" s="588"/>
      <c r="Y108" s="589">
        <f t="shared" si="27"/>
        <v>-1.8799999999999955</v>
      </c>
      <c r="Z108" s="589">
        <f t="shared" si="28"/>
        <v>-3.3700000000000045</v>
      </c>
      <c r="AA108" s="590">
        <f t="shared" si="29"/>
        <v>-1.4599999999999937</v>
      </c>
    </row>
    <row r="109" spans="1:27" s="501" customFormat="1">
      <c r="A109" s="483"/>
      <c r="B109" s="484" t="s">
        <v>141</v>
      </c>
      <c r="C109" s="485">
        <v>10</v>
      </c>
      <c r="D109" s="587">
        <v>89</v>
      </c>
      <c r="E109" s="587">
        <v>75.7</v>
      </c>
      <c r="F109" s="587">
        <v>76.400000000000006</v>
      </c>
      <c r="G109" s="588">
        <v>170</v>
      </c>
      <c r="H109" s="588">
        <v>100</v>
      </c>
      <c r="I109" s="584">
        <f t="shared" si="15"/>
        <v>0.20000000000000284</v>
      </c>
      <c r="J109" s="584">
        <f t="shared" si="16"/>
        <v>-7.7999999999999972</v>
      </c>
      <c r="K109" s="584">
        <f t="shared" si="17"/>
        <v>-2.5</v>
      </c>
      <c r="L109" s="1226"/>
      <c r="M109" s="589">
        <f t="shared" si="30"/>
        <v>88</v>
      </c>
      <c r="N109" s="589">
        <f t="shared" si="31"/>
        <v>78.5</v>
      </c>
      <c r="O109" s="589">
        <f t="shared" si="32"/>
        <v>78.2</v>
      </c>
      <c r="P109" s="584"/>
      <c r="Q109" s="589">
        <f t="shared" si="24"/>
        <v>-1.3700000000000045</v>
      </c>
      <c r="R109" s="589">
        <f t="shared" si="25"/>
        <v>-2.0300000000000011</v>
      </c>
      <c r="S109" s="589">
        <f t="shared" si="26"/>
        <v>-1.0300000000000011</v>
      </c>
      <c r="T109" s="1226"/>
      <c r="U109" s="589">
        <f t="shared" si="33"/>
        <v>94.3</v>
      </c>
      <c r="V109" s="589">
        <f t="shared" si="34"/>
        <v>86.49</v>
      </c>
      <c r="W109" s="589">
        <f t="shared" si="35"/>
        <v>81.8</v>
      </c>
      <c r="X109" s="588"/>
      <c r="Y109" s="589">
        <f t="shared" si="27"/>
        <v>-1.5900000000000034</v>
      </c>
      <c r="Z109" s="589">
        <f t="shared" si="28"/>
        <v>-4.5</v>
      </c>
      <c r="AA109" s="590">
        <f t="shared" si="29"/>
        <v>-1.5700000000000074</v>
      </c>
    </row>
    <row r="110" spans="1:27" s="501" customFormat="1">
      <c r="A110" s="483"/>
      <c r="B110" s="484" t="s">
        <v>141</v>
      </c>
      <c r="C110" s="485">
        <v>11</v>
      </c>
      <c r="D110" s="587">
        <v>84.5</v>
      </c>
      <c r="E110" s="587">
        <v>73.099999999999994</v>
      </c>
      <c r="F110" s="587">
        <v>75.2</v>
      </c>
      <c r="G110" s="588">
        <v>170</v>
      </c>
      <c r="H110" s="588">
        <v>100</v>
      </c>
      <c r="I110" s="584">
        <f t="shared" si="15"/>
        <v>-4.5</v>
      </c>
      <c r="J110" s="584">
        <f t="shared" si="16"/>
        <v>-2.6000000000000085</v>
      </c>
      <c r="K110" s="584">
        <f t="shared" si="17"/>
        <v>-1.2000000000000028</v>
      </c>
      <c r="L110" s="1226"/>
      <c r="M110" s="589">
        <f t="shared" si="30"/>
        <v>87.43</v>
      </c>
      <c r="N110" s="589">
        <f t="shared" si="31"/>
        <v>77.430000000000007</v>
      </c>
      <c r="O110" s="589">
        <f t="shared" si="32"/>
        <v>76.83</v>
      </c>
      <c r="P110" s="584"/>
      <c r="Q110" s="589">
        <f t="shared" si="24"/>
        <v>-0.56999999999999318</v>
      </c>
      <c r="R110" s="589">
        <f t="shared" si="25"/>
        <v>-1.0699999999999932</v>
      </c>
      <c r="S110" s="589">
        <f t="shared" si="26"/>
        <v>-1.3700000000000045</v>
      </c>
      <c r="T110" s="1226"/>
      <c r="U110" s="589">
        <f t="shared" si="33"/>
        <v>91.74</v>
      </c>
      <c r="V110" s="589">
        <f t="shared" si="34"/>
        <v>82.66</v>
      </c>
      <c r="W110" s="589">
        <f t="shared" si="35"/>
        <v>80.27</v>
      </c>
      <c r="X110" s="588"/>
      <c r="Y110" s="589">
        <f t="shared" si="27"/>
        <v>-2.5600000000000023</v>
      </c>
      <c r="Z110" s="589">
        <f t="shared" si="28"/>
        <v>-3.8299999999999983</v>
      </c>
      <c r="AA110" s="590">
        <f t="shared" si="29"/>
        <v>-1.5300000000000011</v>
      </c>
    </row>
    <row r="111" spans="1:27" s="501" customFormat="1">
      <c r="A111" s="495"/>
      <c r="B111" s="496" t="s">
        <v>141</v>
      </c>
      <c r="C111" s="497">
        <v>12</v>
      </c>
      <c r="D111" s="601">
        <v>87.6</v>
      </c>
      <c r="E111" s="601">
        <v>68.8</v>
      </c>
      <c r="F111" s="601">
        <v>75.900000000000006</v>
      </c>
      <c r="G111" s="602">
        <v>170</v>
      </c>
      <c r="H111" s="602">
        <v>100</v>
      </c>
      <c r="I111" s="603">
        <f t="shared" si="15"/>
        <v>3.0999999999999943</v>
      </c>
      <c r="J111" s="603">
        <f t="shared" si="16"/>
        <v>-4.2999999999999972</v>
      </c>
      <c r="K111" s="603">
        <f t="shared" si="17"/>
        <v>0.70000000000000284</v>
      </c>
      <c r="L111" s="1229"/>
      <c r="M111" s="594">
        <f t="shared" si="30"/>
        <v>87.03</v>
      </c>
      <c r="N111" s="594">
        <f t="shared" si="31"/>
        <v>72.53</v>
      </c>
      <c r="O111" s="594">
        <f t="shared" si="32"/>
        <v>75.83</v>
      </c>
      <c r="P111" s="603"/>
      <c r="Q111" s="589">
        <f t="shared" si="24"/>
        <v>-0.40000000000000568</v>
      </c>
      <c r="R111" s="589">
        <f t="shared" si="25"/>
        <v>-4.9000000000000057</v>
      </c>
      <c r="S111" s="589">
        <f t="shared" si="26"/>
        <v>-1</v>
      </c>
      <c r="T111" s="1229"/>
      <c r="U111" s="604">
        <f t="shared" si="33"/>
        <v>89.9</v>
      </c>
      <c r="V111" s="604">
        <f t="shared" si="34"/>
        <v>78.760000000000005</v>
      </c>
      <c r="W111" s="604">
        <f t="shared" si="35"/>
        <v>78.63</v>
      </c>
      <c r="X111" s="602"/>
      <c r="Y111" s="604">
        <f t="shared" si="27"/>
        <v>-1.8399999999999892</v>
      </c>
      <c r="Z111" s="604">
        <f t="shared" si="28"/>
        <v>-3.8999999999999915</v>
      </c>
      <c r="AA111" s="605">
        <f t="shared" si="29"/>
        <v>-1.6400000000000006</v>
      </c>
    </row>
    <row r="112" spans="1:27" s="501" customFormat="1">
      <c r="A112" s="479">
        <v>14</v>
      </c>
      <c r="B112" s="992" t="s">
        <v>662</v>
      </c>
      <c r="C112" s="481">
        <v>1</v>
      </c>
      <c r="D112" s="581">
        <v>78.7</v>
      </c>
      <c r="E112" s="581">
        <v>68.7</v>
      </c>
      <c r="F112" s="581">
        <v>75.7</v>
      </c>
      <c r="G112" s="582">
        <v>170</v>
      </c>
      <c r="H112" s="582">
        <v>100</v>
      </c>
      <c r="I112" s="583">
        <f t="shared" si="15"/>
        <v>-8.8999999999999915</v>
      </c>
      <c r="J112" s="583">
        <f t="shared" si="16"/>
        <v>-9.9999999999994316E-2</v>
      </c>
      <c r="K112" s="583">
        <f t="shared" si="17"/>
        <v>-0.20000000000000284</v>
      </c>
      <c r="L112" s="1225"/>
      <c r="M112" s="599">
        <f t="shared" si="30"/>
        <v>83.6</v>
      </c>
      <c r="N112" s="599">
        <f t="shared" si="31"/>
        <v>70.2</v>
      </c>
      <c r="O112" s="599">
        <f t="shared" si="32"/>
        <v>75.599999999999994</v>
      </c>
      <c r="P112" s="583"/>
      <c r="Q112" s="589">
        <f t="shared" si="24"/>
        <v>-3.4300000000000068</v>
      </c>
      <c r="R112" s="589">
        <f t="shared" si="25"/>
        <v>-2.3299999999999983</v>
      </c>
      <c r="S112" s="589">
        <f t="shared" si="26"/>
        <v>-0.23000000000000398</v>
      </c>
      <c r="T112" s="1225"/>
      <c r="U112" s="585">
        <f t="shared" si="33"/>
        <v>86.84</v>
      </c>
      <c r="V112" s="585">
        <f t="shared" si="34"/>
        <v>75.41</v>
      </c>
      <c r="W112" s="585">
        <f t="shared" si="35"/>
        <v>77.27</v>
      </c>
      <c r="X112" s="582"/>
      <c r="Y112" s="585">
        <f t="shared" si="27"/>
        <v>-3.0600000000000023</v>
      </c>
      <c r="Z112" s="585">
        <f t="shared" si="28"/>
        <v>-3.3500000000000085</v>
      </c>
      <c r="AA112" s="586">
        <f t="shared" si="29"/>
        <v>-1.3599999999999994</v>
      </c>
    </row>
    <row r="113" spans="1:27" s="501" customFormat="1">
      <c r="A113" s="483"/>
      <c r="B113" s="484" t="s">
        <v>141</v>
      </c>
      <c r="C113" s="485">
        <v>2</v>
      </c>
      <c r="D113" s="587">
        <v>83.3</v>
      </c>
      <c r="E113" s="587">
        <v>74.2</v>
      </c>
      <c r="F113" s="587">
        <v>75.3</v>
      </c>
      <c r="G113" s="588"/>
      <c r="H113" s="588">
        <v>100</v>
      </c>
      <c r="I113" s="584">
        <f t="shared" si="15"/>
        <v>4.5999999999999943</v>
      </c>
      <c r="J113" s="584">
        <f t="shared" si="16"/>
        <v>5.5</v>
      </c>
      <c r="K113" s="584">
        <f t="shared" si="17"/>
        <v>-0.40000000000000568</v>
      </c>
      <c r="L113" s="1226"/>
      <c r="M113" s="589">
        <f t="shared" si="30"/>
        <v>83.2</v>
      </c>
      <c r="N113" s="589">
        <f t="shared" si="31"/>
        <v>70.569999999999993</v>
      </c>
      <c r="O113" s="589">
        <f t="shared" si="32"/>
        <v>75.63</v>
      </c>
      <c r="P113" s="584"/>
      <c r="Q113" s="589">
        <f t="shared" si="24"/>
        <v>-0.39999999999999147</v>
      </c>
      <c r="R113" s="589">
        <f t="shared" si="25"/>
        <v>0.36999999999999034</v>
      </c>
      <c r="S113" s="589">
        <f t="shared" si="26"/>
        <v>3.0000000000001137E-2</v>
      </c>
      <c r="T113" s="1226"/>
      <c r="U113" s="589">
        <f t="shared" si="33"/>
        <v>85.44</v>
      </c>
      <c r="V113" s="589">
        <f t="shared" si="34"/>
        <v>74.33</v>
      </c>
      <c r="W113" s="589">
        <f t="shared" si="35"/>
        <v>76.67</v>
      </c>
      <c r="X113" s="588"/>
      <c r="Y113" s="589">
        <f t="shared" si="27"/>
        <v>-1.4000000000000057</v>
      </c>
      <c r="Z113" s="589">
        <f t="shared" si="28"/>
        <v>-1.0799999999999983</v>
      </c>
      <c r="AA113" s="590">
        <f t="shared" si="29"/>
        <v>-0.59999999999999432</v>
      </c>
    </row>
    <row r="114" spans="1:27" s="501" customFormat="1">
      <c r="A114" s="483"/>
      <c r="B114" s="484" t="s">
        <v>141</v>
      </c>
      <c r="C114" s="485">
        <v>3</v>
      </c>
      <c r="D114" s="587">
        <v>88.2</v>
      </c>
      <c r="E114" s="587">
        <v>82.4</v>
      </c>
      <c r="F114" s="587">
        <v>76.400000000000006</v>
      </c>
      <c r="G114" s="588"/>
      <c r="H114" s="588">
        <v>100</v>
      </c>
      <c r="I114" s="584">
        <f t="shared" si="15"/>
        <v>4.9000000000000057</v>
      </c>
      <c r="J114" s="584">
        <f t="shared" si="16"/>
        <v>8.2000000000000028</v>
      </c>
      <c r="K114" s="584">
        <f t="shared" si="17"/>
        <v>1.1000000000000085</v>
      </c>
      <c r="L114" s="1226"/>
      <c r="M114" s="589">
        <f t="shared" si="30"/>
        <v>83.4</v>
      </c>
      <c r="N114" s="589">
        <f t="shared" si="31"/>
        <v>75.099999999999994</v>
      </c>
      <c r="O114" s="589">
        <f t="shared" si="32"/>
        <v>75.8</v>
      </c>
      <c r="P114" s="584"/>
      <c r="Q114" s="589">
        <f t="shared" si="24"/>
        <v>0.20000000000000284</v>
      </c>
      <c r="R114" s="589">
        <f t="shared" si="25"/>
        <v>4.5300000000000011</v>
      </c>
      <c r="S114" s="589">
        <f t="shared" si="26"/>
        <v>0.17000000000000171</v>
      </c>
      <c r="T114" s="1226"/>
      <c r="U114" s="589">
        <f t="shared" si="33"/>
        <v>85.73</v>
      </c>
      <c r="V114" s="589">
        <f t="shared" si="34"/>
        <v>75.2</v>
      </c>
      <c r="W114" s="589">
        <f t="shared" si="35"/>
        <v>76.260000000000005</v>
      </c>
      <c r="X114" s="588"/>
      <c r="Y114" s="589">
        <f t="shared" si="27"/>
        <v>0.29000000000000625</v>
      </c>
      <c r="Z114" s="589">
        <f t="shared" si="28"/>
        <v>0.87000000000000455</v>
      </c>
      <c r="AA114" s="590">
        <f t="shared" si="29"/>
        <v>-0.40999999999999659</v>
      </c>
    </row>
    <row r="115" spans="1:27" s="501" customFormat="1">
      <c r="A115" s="483"/>
      <c r="B115" s="484" t="s">
        <v>141</v>
      </c>
      <c r="C115" s="485">
        <v>4</v>
      </c>
      <c r="D115" s="587">
        <v>87</v>
      </c>
      <c r="E115" s="587">
        <v>76</v>
      </c>
      <c r="F115" s="587">
        <v>75.2</v>
      </c>
      <c r="G115" s="588"/>
      <c r="H115" s="588">
        <v>100</v>
      </c>
      <c r="I115" s="584">
        <f t="shared" si="15"/>
        <v>-1.2000000000000028</v>
      </c>
      <c r="J115" s="584">
        <f t="shared" si="16"/>
        <v>-6.4000000000000057</v>
      </c>
      <c r="K115" s="584">
        <f t="shared" si="17"/>
        <v>-1.2000000000000028</v>
      </c>
      <c r="L115" s="1226"/>
      <c r="M115" s="589">
        <f t="shared" si="30"/>
        <v>86.17</v>
      </c>
      <c r="N115" s="589">
        <f t="shared" si="31"/>
        <v>77.53</v>
      </c>
      <c r="O115" s="589">
        <f t="shared" si="32"/>
        <v>75.63</v>
      </c>
      <c r="P115" s="584"/>
      <c r="Q115" s="589">
        <f t="shared" si="24"/>
        <v>2.769999999999996</v>
      </c>
      <c r="R115" s="589">
        <f t="shared" si="25"/>
        <v>2.4300000000000068</v>
      </c>
      <c r="S115" s="589">
        <f t="shared" si="26"/>
        <v>-0.17000000000000171</v>
      </c>
      <c r="T115" s="1226"/>
      <c r="U115" s="589">
        <f t="shared" si="33"/>
        <v>85.47</v>
      </c>
      <c r="V115" s="589">
        <f t="shared" si="34"/>
        <v>74.13</v>
      </c>
      <c r="W115" s="589">
        <f t="shared" si="35"/>
        <v>75.73</v>
      </c>
      <c r="X115" s="588"/>
      <c r="Y115" s="589">
        <f t="shared" si="27"/>
        <v>-0.26000000000000512</v>
      </c>
      <c r="Z115" s="589">
        <f t="shared" si="28"/>
        <v>-1.0700000000000074</v>
      </c>
      <c r="AA115" s="590">
        <f t="shared" si="29"/>
        <v>-0.53000000000000114</v>
      </c>
    </row>
    <row r="116" spans="1:27" s="501" customFormat="1">
      <c r="A116" s="483"/>
      <c r="B116" s="484" t="s">
        <v>141</v>
      </c>
      <c r="C116" s="485">
        <v>5</v>
      </c>
      <c r="D116" s="587">
        <v>93</v>
      </c>
      <c r="E116" s="587">
        <v>82.3</v>
      </c>
      <c r="F116" s="587">
        <v>77.099999999999994</v>
      </c>
      <c r="G116" s="588"/>
      <c r="H116" s="588">
        <v>100</v>
      </c>
      <c r="I116" s="584">
        <f t="shared" si="15"/>
        <v>6</v>
      </c>
      <c r="J116" s="584">
        <f t="shared" si="16"/>
        <v>6.2999999999999972</v>
      </c>
      <c r="K116" s="584">
        <f t="shared" si="17"/>
        <v>1.8999999999999915</v>
      </c>
      <c r="L116" s="1226"/>
      <c r="M116" s="589">
        <f t="shared" si="30"/>
        <v>89.4</v>
      </c>
      <c r="N116" s="589">
        <f t="shared" si="31"/>
        <v>80.23</v>
      </c>
      <c r="O116" s="589">
        <f t="shared" si="32"/>
        <v>76.23</v>
      </c>
      <c r="P116" s="584"/>
      <c r="Q116" s="589">
        <f t="shared" si="24"/>
        <v>3.230000000000004</v>
      </c>
      <c r="R116" s="589">
        <f t="shared" si="25"/>
        <v>2.7000000000000028</v>
      </c>
      <c r="S116" s="589">
        <f t="shared" si="26"/>
        <v>0.60000000000000853</v>
      </c>
      <c r="T116" s="1226"/>
      <c r="U116" s="589">
        <f t="shared" si="33"/>
        <v>86.04</v>
      </c>
      <c r="V116" s="589">
        <f t="shared" si="34"/>
        <v>75.069999999999993</v>
      </c>
      <c r="W116" s="589">
        <f t="shared" si="35"/>
        <v>75.83</v>
      </c>
      <c r="X116" s="588"/>
      <c r="Y116" s="589">
        <f t="shared" si="27"/>
        <v>0.57000000000000739</v>
      </c>
      <c r="Z116" s="589">
        <f t="shared" si="28"/>
        <v>0.93999999999999773</v>
      </c>
      <c r="AA116" s="590">
        <f t="shared" si="29"/>
        <v>9.9999999999994316E-2</v>
      </c>
    </row>
    <row r="117" spans="1:27" s="501" customFormat="1">
      <c r="A117" s="483"/>
      <c r="B117" s="484" t="s">
        <v>141</v>
      </c>
      <c r="C117" s="485">
        <v>6</v>
      </c>
      <c r="D117" s="587">
        <v>97.2</v>
      </c>
      <c r="E117" s="587">
        <v>83.3</v>
      </c>
      <c r="F117" s="587">
        <v>76.2</v>
      </c>
      <c r="G117" s="588"/>
      <c r="H117" s="588">
        <v>100</v>
      </c>
      <c r="I117" s="584">
        <f t="shared" si="15"/>
        <v>4.2000000000000028</v>
      </c>
      <c r="J117" s="584">
        <f t="shared" si="16"/>
        <v>1</v>
      </c>
      <c r="K117" s="584">
        <f t="shared" si="17"/>
        <v>-0.89999999999999147</v>
      </c>
      <c r="L117" s="1226"/>
      <c r="M117" s="589">
        <f t="shared" si="30"/>
        <v>92.4</v>
      </c>
      <c r="N117" s="589">
        <f t="shared" si="31"/>
        <v>80.53</v>
      </c>
      <c r="O117" s="589">
        <f t="shared" si="32"/>
        <v>76.17</v>
      </c>
      <c r="P117" s="584"/>
      <c r="Q117" s="589">
        <f t="shared" si="24"/>
        <v>3</v>
      </c>
      <c r="R117" s="589">
        <f t="shared" si="25"/>
        <v>0.29999999999999716</v>
      </c>
      <c r="S117" s="589">
        <f t="shared" si="26"/>
        <v>-6.0000000000002274E-2</v>
      </c>
      <c r="T117" s="1226"/>
      <c r="U117" s="589">
        <f t="shared" si="33"/>
        <v>87.86</v>
      </c>
      <c r="V117" s="589">
        <f t="shared" si="34"/>
        <v>76.53</v>
      </c>
      <c r="W117" s="589">
        <f t="shared" si="35"/>
        <v>75.97</v>
      </c>
      <c r="X117" s="588"/>
      <c r="Y117" s="589">
        <f t="shared" si="27"/>
        <v>1.8199999999999932</v>
      </c>
      <c r="Z117" s="589">
        <f t="shared" si="28"/>
        <v>1.460000000000008</v>
      </c>
      <c r="AA117" s="590">
        <f t="shared" si="29"/>
        <v>0.14000000000000057</v>
      </c>
    </row>
    <row r="118" spans="1:27" s="501" customFormat="1">
      <c r="A118" s="483"/>
      <c r="B118" s="484" t="s">
        <v>141</v>
      </c>
      <c r="C118" s="485">
        <v>7</v>
      </c>
      <c r="D118" s="587">
        <v>96.4</v>
      </c>
      <c r="E118" s="587">
        <v>85.2</v>
      </c>
      <c r="F118" s="587">
        <v>74.900000000000006</v>
      </c>
      <c r="G118" s="588"/>
      <c r="H118" s="588">
        <v>100</v>
      </c>
      <c r="I118" s="584">
        <f t="shared" si="15"/>
        <v>-0.79999999999999716</v>
      </c>
      <c r="J118" s="584">
        <f t="shared" si="16"/>
        <v>1.9000000000000057</v>
      </c>
      <c r="K118" s="584">
        <f t="shared" si="17"/>
        <v>-1.2999999999999972</v>
      </c>
      <c r="L118" s="1226"/>
      <c r="M118" s="589">
        <f t="shared" si="30"/>
        <v>95.53</v>
      </c>
      <c r="N118" s="589">
        <f t="shared" si="31"/>
        <v>83.6</v>
      </c>
      <c r="O118" s="589">
        <f t="shared" si="32"/>
        <v>76.069999999999993</v>
      </c>
      <c r="P118" s="584"/>
      <c r="Q118" s="589">
        <f t="shared" si="24"/>
        <v>3.1299999999999955</v>
      </c>
      <c r="R118" s="589">
        <f t="shared" si="25"/>
        <v>3.0699999999999932</v>
      </c>
      <c r="S118" s="589">
        <f t="shared" si="26"/>
        <v>-0.10000000000000853</v>
      </c>
      <c r="T118" s="1226"/>
      <c r="U118" s="589">
        <f t="shared" si="33"/>
        <v>89.11</v>
      </c>
      <c r="V118" s="589">
        <f t="shared" si="34"/>
        <v>78.87</v>
      </c>
      <c r="W118" s="589">
        <f t="shared" si="35"/>
        <v>75.83</v>
      </c>
      <c r="X118" s="588"/>
      <c r="Y118" s="589">
        <f t="shared" si="27"/>
        <v>1.25</v>
      </c>
      <c r="Z118" s="589">
        <f t="shared" si="28"/>
        <v>2.3400000000000034</v>
      </c>
      <c r="AA118" s="590">
        <f t="shared" si="29"/>
        <v>-0.14000000000000057</v>
      </c>
    </row>
    <row r="119" spans="1:27" s="501" customFormat="1">
      <c r="A119" s="483"/>
      <c r="B119" s="484" t="s">
        <v>141</v>
      </c>
      <c r="C119" s="485">
        <v>8</v>
      </c>
      <c r="D119" s="587">
        <v>94.7</v>
      </c>
      <c r="E119" s="587">
        <v>80.599999999999994</v>
      </c>
      <c r="F119" s="587">
        <v>75.8</v>
      </c>
      <c r="G119" s="588"/>
      <c r="H119" s="588">
        <v>100</v>
      </c>
      <c r="I119" s="584">
        <f t="shared" si="15"/>
        <v>-1.7000000000000028</v>
      </c>
      <c r="J119" s="584">
        <f t="shared" si="16"/>
        <v>-4.6000000000000085</v>
      </c>
      <c r="K119" s="584">
        <f t="shared" si="17"/>
        <v>0.89999999999999147</v>
      </c>
      <c r="L119" s="1226"/>
      <c r="M119" s="589">
        <f t="shared" si="30"/>
        <v>96.1</v>
      </c>
      <c r="N119" s="589">
        <f t="shared" si="31"/>
        <v>83.03</v>
      </c>
      <c r="O119" s="589">
        <f t="shared" si="32"/>
        <v>75.63</v>
      </c>
      <c r="P119" s="584"/>
      <c r="Q119" s="589">
        <f t="shared" si="24"/>
        <v>0.56999999999999318</v>
      </c>
      <c r="R119" s="589">
        <f t="shared" si="25"/>
        <v>-0.56999999999999318</v>
      </c>
      <c r="S119" s="589">
        <f t="shared" si="26"/>
        <v>-0.43999999999999773</v>
      </c>
      <c r="T119" s="1226"/>
      <c r="U119" s="589">
        <f t="shared" si="33"/>
        <v>91.4</v>
      </c>
      <c r="V119" s="589">
        <f t="shared" si="34"/>
        <v>80.569999999999993</v>
      </c>
      <c r="W119" s="589">
        <f t="shared" si="35"/>
        <v>75.84</v>
      </c>
      <c r="X119" s="588"/>
      <c r="Y119" s="589">
        <f t="shared" si="27"/>
        <v>2.2900000000000063</v>
      </c>
      <c r="Z119" s="589">
        <f t="shared" si="28"/>
        <v>1.6999999999999886</v>
      </c>
      <c r="AA119" s="590">
        <f t="shared" si="29"/>
        <v>1.0000000000005116E-2</v>
      </c>
    </row>
    <row r="120" spans="1:27" s="501" customFormat="1">
      <c r="A120" s="483"/>
      <c r="B120" s="484" t="s">
        <v>141</v>
      </c>
      <c r="C120" s="485">
        <v>9</v>
      </c>
      <c r="D120" s="587">
        <v>106</v>
      </c>
      <c r="E120" s="587">
        <v>91.6</v>
      </c>
      <c r="F120" s="587">
        <v>76.5</v>
      </c>
      <c r="G120" s="588"/>
      <c r="H120" s="588">
        <v>100</v>
      </c>
      <c r="I120" s="584">
        <f t="shared" si="15"/>
        <v>11.299999999999997</v>
      </c>
      <c r="J120" s="584">
        <f t="shared" si="16"/>
        <v>11</v>
      </c>
      <c r="K120" s="584">
        <f t="shared" si="17"/>
        <v>0.70000000000000284</v>
      </c>
      <c r="L120" s="1226"/>
      <c r="M120" s="589">
        <f t="shared" si="30"/>
        <v>99.03</v>
      </c>
      <c r="N120" s="589">
        <f t="shared" si="31"/>
        <v>85.8</v>
      </c>
      <c r="O120" s="589">
        <f t="shared" si="32"/>
        <v>75.73</v>
      </c>
      <c r="P120" s="584"/>
      <c r="Q120" s="589">
        <f t="shared" si="24"/>
        <v>2.9300000000000068</v>
      </c>
      <c r="R120" s="589">
        <f t="shared" si="25"/>
        <v>2.769999999999996</v>
      </c>
      <c r="S120" s="589">
        <f t="shared" si="26"/>
        <v>0.10000000000000853</v>
      </c>
      <c r="T120" s="1226"/>
      <c r="U120" s="589">
        <f t="shared" si="33"/>
        <v>94.64</v>
      </c>
      <c r="V120" s="589">
        <f t="shared" si="34"/>
        <v>83.06</v>
      </c>
      <c r="W120" s="589">
        <f t="shared" si="35"/>
        <v>76.010000000000005</v>
      </c>
      <c r="X120" s="588"/>
      <c r="Y120" s="589">
        <f t="shared" si="27"/>
        <v>3.2399999999999949</v>
      </c>
      <c r="Z120" s="589">
        <f t="shared" si="28"/>
        <v>2.4900000000000091</v>
      </c>
      <c r="AA120" s="590">
        <f t="shared" si="29"/>
        <v>0.17000000000000171</v>
      </c>
    </row>
    <row r="121" spans="1:27" s="501" customFormat="1">
      <c r="A121" s="483"/>
      <c r="B121" s="484" t="s">
        <v>141</v>
      </c>
      <c r="C121" s="485">
        <v>10</v>
      </c>
      <c r="D121" s="587">
        <v>104.8</v>
      </c>
      <c r="E121" s="587">
        <v>89.6</v>
      </c>
      <c r="F121" s="587">
        <v>75.099999999999994</v>
      </c>
      <c r="G121" s="588"/>
      <c r="H121" s="588">
        <v>100</v>
      </c>
      <c r="I121" s="584">
        <f t="shared" si="15"/>
        <v>-1.2000000000000028</v>
      </c>
      <c r="J121" s="584">
        <f t="shared" si="16"/>
        <v>-2</v>
      </c>
      <c r="K121" s="584">
        <f t="shared" si="17"/>
        <v>-1.4000000000000057</v>
      </c>
      <c r="L121" s="1226"/>
      <c r="M121" s="589">
        <f t="shared" si="30"/>
        <v>101.83</v>
      </c>
      <c r="N121" s="589">
        <f t="shared" si="31"/>
        <v>87.27</v>
      </c>
      <c r="O121" s="589">
        <f t="shared" si="32"/>
        <v>75.8</v>
      </c>
      <c r="P121" s="584"/>
      <c r="Q121" s="589">
        <f t="shared" si="24"/>
        <v>2.7999999999999972</v>
      </c>
      <c r="R121" s="589">
        <f t="shared" si="25"/>
        <v>1.4699999999999989</v>
      </c>
      <c r="S121" s="589">
        <f t="shared" si="26"/>
        <v>6.9999999999993179E-2</v>
      </c>
      <c r="T121" s="1226"/>
      <c r="U121" s="589">
        <f t="shared" si="33"/>
        <v>97.01</v>
      </c>
      <c r="V121" s="589">
        <f t="shared" si="34"/>
        <v>84.09</v>
      </c>
      <c r="W121" s="589">
        <f t="shared" si="35"/>
        <v>75.83</v>
      </c>
      <c r="X121" s="588"/>
      <c r="Y121" s="589">
        <f t="shared" si="27"/>
        <v>2.3700000000000045</v>
      </c>
      <c r="Z121" s="589">
        <f t="shared" si="28"/>
        <v>1.0300000000000011</v>
      </c>
      <c r="AA121" s="590">
        <f t="shared" si="29"/>
        <v>-0.18000000000000682</v>
      </c>
    </row>
    <row r="122" spans="1:27" s="501" customFormat="1">
      <c r="A122" s="483"/>
      <c r="B122" s="484" t="s">
        <v>141</v>
      </c>
      <c r="C122" s="485">
        <v>11</v>
      </c>
      <c r="D122" s="587">
        <v>108.6</v>
      </c>
      <c r="E122" s="587">
        <v>93.4</v>
      </c>
      <c r="F122" s="587">
        <v>79.099999999999994</v>
      </c>
      <c r="G122" s="588"/>
      <c r="H122" s="588">
        <v>100</v>
      </c>
      <c r="I122" s="584">
        <f t="shared" si="15"/>
        <v>3.7999999999999972</v>
      </c>
      <c r="J122" s="584">
        <f t="shared" si="16"/>
        <v>3.8000000000000114</v>
      </c>
      <c r="K122" s="584">
        <f t="shared" si="17"/>
        <v>4</v>
      </c>
      <c r="L122" s="1226"/>
      <c r="M122" s="589">
        <f t="shared" si="30"/>
        <v>106.47</v>
      </c>
      <c r="N122" s="589">
        <f t="shared" si="31"/>
        <v>91.53</v>
      </c>
      <c r="O122" s="589">
        <f t="shared" si="32"/>
        <v>76.900000000000006</v>
      </c>
      <c r="P122" s="584"/>
      <c r="Q122" s="589">
        <f t="shared" si="24"/>
        <v>4.6400000000000006</v>
      </c>
      <c r="R122" s="589">
        <f t="shared" si="25"/>
        <v>4.2600000000000051</v>
      </c>
      <c r="S122" s="589">
        <f t="shared" si="26"/>
        <v>1.1000000000000085</v>
      </c>
      <c r="T122" s="1226"/>
      <c r="U122" s="589">
        <f t="shared" si="33"/>
        <v>100.1</v>
      </c>
      <c r="V122" s="589">
        <f t="shared" si="34"/>
        <v>86.57</v>
      </c>
      <c r="W122" s="589">
        <f t="shared" si="35"/>
        <v>76.39</v>
      </c>
      <c r="X122" s="588"/>
      <c r="Y122" s="589">
        <f t="shared" si="27"/>
        <v>3.0899999999999892</v>
      </c>
      <c r="Z122" s="589">
        <f t="shared" si="28"/>
        <v>2.4799999999999898</v>
      </c>
      <c r="AA122" s="590">
        <f t="shared" si="29"/>
        <v>0.56000000000000227</v>
      </c>
    </row>
    <row r="123" spans="1:27" s="501" customFormat="1">
      <c r="A123" s="487"/>
      <c r="B123" s="488" t="s">
        <v>141</v>
      </c>
      <c r="C123" s="489">
        <v>12</v>
      </c>
      <c r="D123" s="591">
        <v>102.3</v>
      </c>
      <c r="E123" s="591">
        <v>93</v>
      </c>
      <c r="F123" s="591">
        <v>78</v>
      </c>
      <c r="G123" s="592"/>
      <c r="H123" s="592">
        <v>100</v>
      </c>
      <c r="I123" s="593">
        <f t="shared" si="15"/>
        <v>-6.2999999999999972</v>
      </c>
      <c r="J123" s="593">
        <f t="shared" si="16"/>
        <v>-0.40000000000000568</v>
      </c>
      <c r="K123" s="593">
        <f t="shared" si="17"/>
        <v>-1.0999999999999943</v>
      </c>
      <c r="L123" s="1227"/>
      <c r="M123" s="604">
        <f t="shared" si="30"/>
        <v>105.23</v>
      </c>
      <c r="N123" s="604">
        <f t="shared" si="31"/>
        <v>92</v>
      </c>
      <c r="O123" s="604">
        <f t="shared" si="32"/>
        <v>77.400000000000006</v>
      </c>
      <c r="P123" s="593"/>
      <c r="Q123" s="589">
        <f t="shared" si="24"/>
        <v>-1.2399999999999949</v>
      </c>
      <c r="R123" s="589">
        <f t="shared" si="25"/>
        <v>0.46999999999999886</v>
      </c>
      <c r="S123" s="589">
        <f t="shared" si="26"/>
        <v>0.5</v>
      </c>
      <c r="T123" s="1227"/>
      <c r="U123" s="594">
        <f t="shared" si="33"/>
        <v>101.43</v>
      </c>
      <c r="V123" s="594">
        <f t="shared" si="34"/>
        <v>88.1</v>
      </c>
      <c r="W123" s="594">
        <f t="shared" si="35"/>
        <v>76.510000000000005</v>
      </c>
      <c r="X123" s="592"/>
      <c r="Y123" s="594">
        <f t="shared" si="27"/>
        <v>1.3300000000000125</v>
      </c>
      <c r="Z123" s="594">
        <f t="shared" si="28"/>
        <v>1.5300000000000011</v>
      </c>
      <c r="AA123" s="595">
        <f t="shared" si="29"/>
        <v>0.12000000000000455</v>
      </c>
    </row>
    <row r="124" spans="1:27" s="501" customFormat="1">
      <c r="A124" s="479">
        <v>15</v>
      </c>
      <c r="B124" s="992" t="s">
        <v>663</v>
      </c>
      <c r="C124" s="481">
        <v>1</v>
      </c>
      <c r="D124" s="596">
        <v>94.8</v>
      </c>
      <c r="E124" s="596">
        <v>92.2</v>
      </c>
      <c r="F124" s="596">
        <v>80.099999999999994</v>
      </c>
      <c r="G124" s="597"/>
      <c r="H124" s="597">
        <v>100</v>
      </c>
      <c r="I124" s="598">
        <f t="shared" si="15"/>
        <v>-7.5</v>
      </c>
      <c r="J124" s="598">
        <f t="shared" si="16"/>
        <v>-0.79999999999999716</v>
      </c>
      <c r="K124" s="598">
        <f t="shared" si="17"/>
        <v>2.0999999999999943</v>
      </c>
      <c r="L124" s="1228"/>
      <c r="M124" s="585">
        <f t="shared" si="30"/>
        <v>101.9</v>
      </c>
      <c r="N124" s="585">
        <f t="shared" si="31"/>
        <v>92.87</v>
      </c>
      <c r="O124" s="585">
        <f t="shared" si="32"/>
        <v>79.069999999999993</v>
      </c>
      <c r="P124" s="598"/>
      <c r="Q124" s="589">
        <f t="shared" si="24"/>
        <v>-3.3299999999999983</v>
      </c>
      <c r="R124" s="589">
        <f t="shared" si="25"/>
        <v>0.87000000000000455</v>
      </c>
      <c r="S124" s="589">
        <f t="shared" si="26"/>
        <v>1.6699999999999875</v>
      </c>
      <c r="T124" s="1228"/>
      <c r="U124" s="599">
        <f t="shared" si="33"/>
        <v>101.09</v>
      </c>
      <c r="V124" s="599">
        <f t="shared" si="34"/>
        <v>89.37</v>
      </c>
      <c r="W124" s="599">
        <f t="shared" si="35"/>
        <v>77.069999999999993</v>
      </c>
      <c r="X124" s="597"/>
      <c r="Y124" s="599">
        <f t="shared" si="27"/>
        <v>-0.34000000000000341</v>
      </c>
      <c r="Z124" s="599">
        <f t="shared" si="28"/>
        <v>1.2700000000000102</v>
      </c>
      <c r="AA124" s="600">
        <f t="shared" si="29"/>
        <v>0.55999999999998806</v>
      </c>
    </row>
    <row r="125" spans="1:27" s="501" customFormat="1">
      <c r="A125" s="483"/>
      <c r="B125" s="484" t="s">
        <v>141</v>
      </c>
      <c r="C125" s="485">
        <v>2</v>
      </c>
      <c r="D125" s="587">
        <v>93.3</v>
      </c>
      <c r="E125" s="587">
        <v>92.6</v>
      </c>
      <c r="F125" s="587">
        <v>80.8</v>
      </c>
      <c r="G125" s="588"/>
      <c r="H125" s="588">
        <v>100</v>
      </c>
      <c r="I125" s="584">
        <f t="shared" si="15"/>
        <v>-1.5</v>
      </c>
      <c r="J125" s="584">
        <f t="shared" si="16"/>
        <v>0.39999999999999147</v>
      </c>
      <c r="K125" s="584">
        <f t="shared" si="17"/>
        <v>0.70000000000000284</v>
      </c>
      <c r="L125" s="1226"/>
      <c r="M125" s="589">
        <f t="shared" si="30"/>
        <v>96.8</v>
      </c>
      <c r="N125" s="589">
        <f t="shared" si="31"/>
        <v>92.6</v>
      </c>
      <c r="O125" s="589">
        <f t="shared" si="32"/>
        <v>79.63</v>
      </c>
      <c r="P125" s="584"/>
      <c r="Q125" s="589">
        <f t="shared" si="24"/>
        <v>-5.1000000000000085</v>
      </c>
      <c r="R125" s="589">
        <f t="shared" si="25"/>
        <v>-0.27000000000001023</v>
      </c>
      <c r="S125" s="589">
        <f t="shared" si="26"/>
        <v>0.56000000000000227</v>
      </c>
      <c r="T125" s="1226"/>
      <c r="U125" s="589">
        <f t="shared" si="33"/>
        <v>100.64</v>
      </c>
      <c r="V125" s="589">
        <f t="shared" si="34"/>
        <v>90.43</v>
      </c>
      <c r="W125" s="589">
        <f t="shared" si="35"/>
        <v>77.91</v>
      </c>
      <c r="X125" s="588"/>
      <c r="Y125" s="589">
        <f t="shared" si="27"/>
        <v>-0.45000000000000284</v>
      </c>
      <c r="Z125" s="589">
        <f t="shared" si="28"/>
        <v>1.0600000000000023</v>
      </c>
      <c r="AA125" s="590">
        <f t="shared" si="29"/>
        <v>0.84000000000000341</v>
      </c>
    </row>
    <row r="126" spans="1:27" s="501" customFormat="1">
      <c r="A126" s="483"/>
      <c r="B126" s="484" t="s">
        <v>141</v>
      </c>
      <c r="C126" s="485">
        <v>3</v>
      </c>
      <c r="D126" s="587">
        <v>91.8</v>
      </c>
      <c r="E126" s="587">
        <v>98.5</v>
      </c>
      <c r="F126" s="587">
        <v>80.3</v>
      </c>
      <c r="G126" s="588"/>
      <c r="H126" s="588">
        <v>100</v>
      </c>
      <c r="I126" s="584">
        <f t="shared" si="15"/>
        <v>-1.5</v>
      </c>
      <c r="J126" s="584">
        <f t="shared" si="16"/>
        <v>5.9000000000000057</v>
      </c>
      <c r="K126" s="584">
        <f t="shared" si="17"/>
        <v>-0.5</v>
      </c>
      <c r="L126" s="1226"/>
      <c r="M126" s="589">
        <f t="shared" si="30"/>
        <v>93.3</v>
      </c>
      <c r="N126" s="589">
        <f t="shared" si="31"/>
        <v>94.43</v>
      </c>
      <c r="O126" s="589">
        <f t="shared" si="32"/>
        <v>80.400000000000006</v>
      </c>
      <c r="P126" s="584"/>
      <c r="Q126" s="589">
        <f t="shared" si="24"/>
        <v>-3.5</v>
      </c>
      <c r="R126" s="589">
        <f t="shared" si="25"/>
        <v>1.8300000000000125</v>
      </c>
      <c r="S126" s="589">
        <f t="shared" si="26"/>
        <v>0.77000000000001023</v>
      </c>
      <c r="T126" s="1226"/>
      <c r="U126" s="589">
        <f t="shared" si="33"/>
        <v>100.23</v>
      </c>
      <c r="V126" s="589">
        <f t="shared" si="34"/>
        <v>92.99</v>
      </c>
      <c r="W126" s="589">
        <f t="shared" si="35"/>
        <v>78.56</v>
      </c>
      <c r="X126" s="588"/>
      <c r="Y126" s="589">
        <f t="shared" si="27"/>
        <v>-0.40999999999999659</v>
      </c>
      <c r="Z126" s="589">
        <f t="shared" si="28"/>
        <v>2.5599999999999881</v>
      </c>
      <c r="AA126" s="590">
        <f t="shared" si="29"/>
        <v>0.65000000000000568</v>
      </c>
    </row>
    <row r="127" spans="1:27" s="501" customFormat="1">
      <c r="A127" s="483"/>
      <c r="B127" s="484" t="s">
        <v>141</v>
      </c>
      <c r="C127" s="485">
        <v>4</v>
      </c>
      <c r="D127" s="587">
        <v>92.4</v>
      </c>
      <c r="E127" s="587">
        <v>92.9</v>
      </c>
      <c r="F127" s="587">
        <v>79.3</v>
      </c>
      <c r="G127" s="588"/>
      <c r="H127" s="588">
        <v>100</v>
      </c>
      <c r="I127" s="584">
        <f t="shared" si="15"/>
        <v>0.60000000000000853</v>
      </c>
      <c r="J127" s="584">
        <f t="shared" si="16"/>
        <v>-5.5999999999999943</v>
      </c>
      <c r="K127" s="584">
        <f t="shared" si="17"/>
        <v>-1</v>
      </c>
      <c r="L127" s="1226"/>
      <c r="M127" s="589">
        <f t="shared" si="30"/>
        <v>92.5</v>
      </c>
      <c r="N127" s="589">
        <f t="shared" si="31"/>
        <v>94.67</v>
      </c>
      <c r="O127" s="589">
        <f t="shared" si="32"/>
        <v>80.13</v>
      </c>
      <c r="P127" s="584"/>
      <c r="Q127" s="589">
        <f t="shared" si="24"/>
        <v>-0.79999999999999716</v>
      </c>
      <c r="R127" s="589">
        <f t="shared" si="25"/>
        <v>0.23999999999999488</v>
      </c>
      <c r="S127" s="589">
        <f t="shared" si="26"/>
        <v>-0.27000000000001023</v>
      </c>
      <c r="T127" s="1226"/>
      <c r="U127" s="589">
        <f t="shared" si="33"/>
        <v>98.29</v>
      </c>
      <c r="V127" s="589">
        <f t="shared" si="34"/>
        <v>93.17</v>
      </c>
      <c r="W127" s="589">
        <f t="shared" si="35"/>
        <v>78.959999999999994</v>
      </c>
      <c r="X127" s="588"/>
      <c r="Y127" s="589">
        <f t="shared" si="27"/>
        <v>-1.9399999999999977</v>
      </c>
      <c r="Z127" s="589">
        <f t="shared" si="28"/>
        <v>0.18000000000000682</v>
      </c>
      <c r="AA127" s="590">
        <f t="shared" si="29"/>
        <v>0.39999999999999147</v>
      </c>
    </row>
    <row r="128" spans="1:27" s="501" customFormat="1">
      <c r="A128" s="483"/>
      <c r="B128" s="484" t="s">
        <v>141</v>
      </c>
      <c r="C128" s="485">
        <v>5</v>
      </c>
      <c r="D128" s="587">
        <v>93.6</v>
      </c>
      <c r="E128" s="587">
        <v>97.9</v>
      </c>
      <c r="F128" s="587">
        <v>77.599999999999994</v>
      </c>
      <c r="G128" s="588"/>
      <c r="H128" s="588">
        <v>100</v>
      </c>
      <c r="I128" s="584">
        <f t="shared" ref="I128:I191" si="36">D128-D127</f>
        <v>1.1999999999999886</v>
      </c>
      <c r="J128" s="584">
        <f t="shared" ref="J128:J191" si="37">E128-E127</f>
        <v>5</v>
      </c>
      <c r="K128" s="584">
        <f t="shared" ref="K128:K191" si="38">F128-F127</f>
        <v>-1.7000000000000028</v>
      </c>
      <c r="L128" s="1226"/>
      <c r="M128" s="589">
        <f t="shared" ref="M128:M159" si="39">ROUND(AVERAGE(D126:D128),2)</f>
        <v>92.6</v>
      </c>
      <c r="N128" s="589">
        <f t="shared" ref="N128:N159" si="40">ROUND(AVERAGE(E126:E128),2)</f>
        <v>96.43</v>
      </c>
      <c r="O128" s="589">
        <f t="shared" ref="O128:O159" si="41">ROUND(AVERAGE(F126:F128),2)</f>
        <v>79.069999999999993</v>
      </c>
      <c r="P128" s="584"/>
      <c r="Q128" s="589">
        <f t="shared" si="24"/>
        <v>9.9999999999994316E-2</v>
      </c>
      <c r="R128" s="589">
        <f t="shared" si="25"/>
        <v>1.7600000000000051</v>
      </c>
      <c r="S128" s="589">
        <f t="shared" si="26"/>
        <v>-1.0600000000000023</v>
      </c>
      <c r="T128" s="1226"/>
      <c r="U128" s="589">
        <f t="shared" ref="U128:U159" si="42">ROUND(AVERAGE(D122:D128),2)</f>
        <v>96.69</v>
      </c>
      <c r="V128" s="589">
        <f t="shared" ref="V128:V159" si="43">ROUND(AVERAGE(E122:E128),2)</f>
        <v>94.36</v>
      </c>
      <c r="W128" s="589">
        <f t="shared" ref="W128:W159" si="44">ROUND(AVERAGE(F122:F128),2)</f>
        <v>79.31</v>
      </c>
      <c r="X128" s="588"/>
      <c r="Y128" s="589">
        <f t="shared" si="27"/>
        <v>-1.6000000000000085</v>
      </c>
      <c r="Z128" s="589">
        <f t="shared" si="28"/>
        <v>1.1899999999999977</v>
      </c>
      <c r="AA128" s="590">
        <f t="shared" si="29"/>
        <v>0.35000000000000853</v>
      </c>
    </row>
    <row r="129" spans="1:27" s="501" customFormat="1">
      <c r="A129" s="483"/>
      <c r="B129" s="484" t="s">
        <v>141</v>
      </c>
      <c r="C129" s="485">
        <v>6</v>
      </c>
      <c r="D129" s="587">
        <v>94.6</v>
      </c>
      <c r="E129" s="587">
        <v>101.1</v>
      </c>
      <c r="F129" s="587">
        <v>81.5</v>
      </c>
      <c r="G129" s="588"/>
      <c r="H129" s="588">
        <v>100</v>
      </c>
      <c r="I129" s="584">
        <f t="shared" si="36"/>
        <v>1</v>
      </c>
      <c r="J129" s="584">
        <f t="shared" si="37"/>
        <v>3.1999999999999886</v>
      </c>
      <c r="K129" s="584">
        <f t="shared" si="38"/>
        <v>3.9000000000000057</v>
      </c>
      <c r="L129" s="1226"/>
      <c r="M129" s="589">
        <f t="shared" si="39"/>
        <v>93.53</v>
      </c>
      <c r="N129" s="589">
        <f t="shared" si="40"/>
        <v>97.3</v>
      </c>
      <c r="O129" s="589">
        <f t="shared" si="41"/>
        <v>79.47</v>
      </c>
      <c r="P129" s="584"/>
      <c r="Q129" s="589">
        <f t="shared" si="24"/>
        <v>0.93000000000000682</v>
      </c>
      <c r="R129" s="589">
        <f t="shared" si="25"/>
        <v>0.86999999999999034</v>
      </c>
      <c r="S129" s="589">
        <f t="shared" si="26"/>
        <v>0.40000000000000568</v>
      </c>
      <c r="T129" s="1226"/>
      <c r="U129" s="589">
        <f t="shared" si="42"/>
        <v>94.69</v>
      </c>
      <c r="V129" s="589">
        <f t="shared" si="43"/>
        <v>95.46</v>
      </c>
      <c r="W129" s="589">
        <f t="shared" si="44"/>
        <v>79.66</v>
      </c>
      <c r="X129" s="588"/>
      <c r="Y129" s="589">
        <f t="shared" si="27"/>
        <v>-2</v>
      </c>
      <c r="Z129" s="589">
        <f t="shared" si="28"/>
        <v>1.0999999999999943</v>
      </c>
      <c r="AA129" s="590">
        <f t="shared" si="29"/>
        <v>0.34999999999999432</v>
      </c>
    </row>
    <row r="130" spans="1:27" s="501" customFormat="1">
      <c r="A130" s="483"/>
      <c r="B130" s="484" t="s">
        <v>141</v>
      </c>
      <c r="C130" s="485">
        <v>7</v>
      </c>
      <c r="D130" s="587">
        <v>95.8</v>
      </c>
      <c r="E130" s="587">
        <v>102.5</v>
      </c>
      <c r="F130" s="587">
        <v>85.1</v>
      </c>
      <c r="G130" s="588"/>
      <c r="H130" s="588">
        <v>100</v>
      </c>
      <c r="I130" s="584">
        <f t="shared" si="36"/>
        <v>1.2000000000000028</v>
      </c>
      <c r="J130" s="584">
        <f t="shared" si="37"/>
        <v>1.4000000000000057</v>
      </c>
      <c r="K130" s="584">
        <f t="shared" si="38"/>
        <v>3.5999999999999943</v>
      </c>
      <c r="L130" s="1226"/>
      <c r="M130" s="589">
        <f t="shared" si="39"/>
        <v>94.67</v>
      </c>
      <c r="N130" s="589">
        <f t="shared" si="40"/>
        <v>100.5</v>
      </c>
      <c r="O130" s="589">
        <f t="shared" si="41"/>
        <v>81.400000000000006</v>
      </c>
      <c r="P130" s="584"/>
      <c r="Q130" s="589">
        <f t="shared" si="24"/>
        <v>1.1400000000000006</v>
      </c>
      <c r="R130" s="589">
        <f t="shared" si="25"/>
        <v>3.2000000000000028</v>
      </c>
      <c r="S130" s="589">
        <f t="shared" si="26"/>
        <v>1.9300000000000068</v>
      </c>
      <c r="T130" s="1226"/>
      <c r="U130" s="589">
        <f t="shared" si="42"/>
        <v>93.76</v>
      </c>
      <c r="V130" s="589">
        <f t="shared" si="43"/>
        <v>96.81</v>
      </c>
      <c r="W130" s="589">
        <f t="shared" si="44"/>
        <v>80.67</v>
      </c>
      <c r="X130" s="588"/>
      <c r="Y130" s="589">
        <f t="shared" si="27"/>
        <v>-0.92999999999999261</v>
      </c>
      <c r="Z130" s="589">
        <f t="shared" si="28"/>
        <v>1.3500000000000085</v>
      </c>
      <c r="AA130" s="590">
        <f t="shared" si="29"/>
        <v>1.0100000000000051</v>
      </c>
    </row>
    <row r="131" spans="1:27" s="501" customFormat="1">
      <c r="A131" s="483"/>
      <c r="B131" s="484" t="s">
        <v>141</v>
      </c>
      <c r="C131" s="485">
        <v>8</v>
      </c>
      <c r="D131" s="587">
        <v>97.7</v>
      </c>
      <c r="E131" s="587">
        <v>103.6</v>
      </c>
      <c r="F131" s="587">
        <v>83.1</v>
      </c>
      <c r="G131" s="588"/>
      <c r="H131" s="588">
        <v>100</v>
      </c>
      <c r="I131" s="584">
        <f t="shared" si="36"/>
        <v>1.9000000000000057</v>
      </c>
      <c r="J131" s="584">
        <f t="shared" si="37"/>
        <v>1.0999999999999943</v>
      </c>
      <c r="K131" s="584">
        <f t="shared" si="38"/>
        <v>-2</v>
      </c>
      <c r="L131" s="1226"/>
      <c r="M131" s="589">
        <f t="shared" si="39"/>
        <v>96.03</v>
      </c>
      <c r="N131" s="589">
        <f t="shared" si="40"/>
        <v>102.4</v>
      </c>
      <c r="O131" s="589">
        <f t="shared" si="41"/>
        <v>83.23</v>
      </c>
      <c r="P131" s="584"/>
      <c r="Q131" s="589">
        <f t="shared" si="24"/>
        <v>1.3599999999999994</v>
      </c>
      <c r="R131" s="589">
        <f t="shared" si="25"/>
        <v>1.9000000000000057</v>
      </c>
      <c r="S131" s="589">
        <f t="shared" si="26"/>
        <v>1.8299999999999983</v>
      </c>
      <c r="T131" s="1226"/>
      <c r="U131" s="589">
        <f t="shared" si="42"/>
        <v>94.17</v>
      </c>
      <c r="V131" s="589">
        <f t="shared" si="43"/>
        <v>98.44</v>
      </c>
      <c r="W131" s="589">
        <f t="shared" si="44"/>
        <v>81.099999999999994</v>
      </c>
      <c r="X131" s="588"/>
      <c r="Y131" s="589">
        <f t="shared" si="27"/>
        <v>0.40999999999999659</v>
      </c>
      <c r="Z131" s="589">
        <f t="shared" si="28"/>
        <v>1.6299999999999955</v>
      </c>
      <c r="AA131" s="590">
        <f t="shared" si="29"/>
        <v>0.42999999999999261</v>
      </c>
    </row>
    <row r="132" spans="1:27" s="501" customFormat="1">
      <c r="A132" s="483"/>
      <c r="B132" s="484" t="s">
        <v>141</v>
      </c>
      <c r="C132" s="485">
        <v>9</v>
      </c>
      <c r="D132" s="587">
        <v>101.3</v>
      </c>
      <c r="E132" s="587">
        <v>108.6</v>
      </c>
      <c r="F132" s="587">
        <v>84.2</v>
      </c>
      <c r="G132" s="588"/>
      <c r="H132" s="588">
        <v>100</v>
      </c>
      <c r="I132" s="584">
        <f t="shared" si="36"/>
        <v>3.5999999999999943</v>
      </c>
      <c r="J132" s="584">
        <f t="shared" si="37"/>
        <v>5</v>
      </c>
      <c r="K132" s="584">
        <f t="shared" si="38"/>
        <v>1.1000000000000085</v>
      </c>
      <c r="L132" s="1226"/>
      <c r="M132" s="589">
        <f t="shared" si="39"/>
        <v>98.27</v>
      </c>
      <c r="N132" s="589">
        <f t="shared" si="40"/>
        <v>104.9</v>
      </c>
      <c r="O132" s="589">
        <f t="shared" si="41"/>
        <v>84.13</v>
      </c>
      <c r="P132" s="584"/>
      <c r="Q132" s="589">
        <f t="shared" ref="Q132:Q195" si="45">M132-M131</f>
        <v>2.2399999999999949</v>
      </c>
      <c r="R132" s="589">
        <f t="shared" ref="R132:R195" si="46">N132-N131</f>
        <v>2.5</v>
      </c>
      <c r="S132" s="589">
        <f t="shared" ref="S132:S195" si="47">O132-O131</f>
        <v>0.89999999999999147</v>
      </c>
      <c r="T132" s="1226"/>
      <c r="U132" s="589">
        <f t="shared" si="42"/>
        <v>95.31</v>
      </c>
      <c r="V132" s="589">
        <f t="shared" si="43"/>
        <v>100.73</v>
      </c>
      <c r="W132" s="589">
        <f t="shared" si="44"/>
        <v>81.59</v>
      </c>
      <c r="X132" s="588"/>
      <c r="Y132" s="589">
        <f t="shared" si="27"/>
        <v>1.1400000000000006</v>
      </c>
      <c r="Z132" s="589">
        <f t="shared" si="28"/>
        <v>2.2900000000000063</v>
      </c>
      <c r="AA132" s="590">
        <f t="shared" si="29"/>
        <v>0.49000000000000909</v>
      </c>
    </row>
    <row r="133" spans="1:27" s="501" customFormat="1">
      <c r="A133" s="483"/>
      <c r="B133" s="484" t="s">
        <v>141</v>
      </c>
      <c r="C133" s="485">
        <v>10</v>
      </c>
      <c r="D133" s="587">
        <v>105.3</v>
      </c>
      <c r="E133" s="587">
        <v>111.3</v>
      </c>
      <c r="F133" s="587">
        <v>84.4</v>
      </c>
      <c r="G133" s="588"/>
      <c r="H133" s="588">
        <v>100</v>
      </c>
      <c r="I133" s="584">
        <f t="shared" si="36"/>
        <v>4</v>
      </c>
      <c r="J133" s="584">
        <f t="shared" si="37"/>
        <v>2.7000000000000028</v>
      </c>
      <c r="K133" s="584">
        <f t="shared" si="38"/>
        <v>0.20000000000000284</v>
      </c>
      <c r="L133" s="1226"/>
      <c r="M133" s="589">
        <f t="shared" si="39"/>
        <v>101.43</v>
      </c>
      <c r="N133" s="589">
        <f t="shared" si="40"/>
        <v>107.83</v>
      </c>
      <c r="O133" s="589">
        <f t="shared" si="41"/>
        <v>83.9</v>
      </c>
      <c r="P133" s="584"/>
      <c r="Q133" s="589">
        <f t="shared" si="45"/>
        <v>3.1600000000000108</v>
      </c>
      <c r="R133" s="589">
        <f t="shared" si="46"/>
        <v>2.9299999999999926</v>
      </c>
      <c r="S133" s="589">
        <f t="shared" si="47"/>
        <v>-0.22999999999998977</v>
      </c>
      <c r="T133" s="1226"/>
      <c r="U133" s="589">
        <f t="shared" si="42"/>
        <v>97.24</v>
      </c>
      <c r="V133" s="589">
        <f t="shared" si="43"/>
        <v>102.56</v>
      </c>
      <c r="W133" s="589">
        <f t="shared" si="44"/>
        <v>82.17</v>
      </c>
      <c r="X133" s="588"/>
      <c r="Y133" s="589">
        <f t="shared" si="27"/>
        <v>1.9299999999999926</v>
      </c>
      <c r="Z133" s="589">
        <f t="shared" si="28"/>
        <v>1.8299999999999983</v>
      </c>
      <c r="AA133" s="590">
        <f t="shared" si="29"/>
        <v>0.57999999999999829</v>
      </c>
    </row>
    <row r="134" spans="1:27" s="501" customFormat="1">
      <c r="A134" s="483"/>
      <c r="B134" s="484" t="s">
        <v>141</v>
      </c>
      <c r="C134" s="485">
        <v>11</v>
      </c>
      <c r="D134" s="587">
        <v>105.6</v>
      </c>
      <c r="E134" s="587">
        <v>113.1</v>
      </c>
      <c r="F134" s="587">
        <v>84.7</v>
      </c>
      <c r="G134" s="588"/>
      <c r="H134" s="588">
        <v>100</v>
      </c>
      <c r="I134" s="584">
        <f t="shared" si="36"/>
        <v>0.29999999999999716</v>
      </c>
      <c r="J134" s="584">
        <f t="shared" si="37"/>
        <v>1.7999999999999972</v>
      </c>
      <c r="K134" s="584">
        <f t="shared" si="38"/>
        <v>0.29999999999999716</v>
      </c>
      <c r="L134" s="1226"/>
      <c r="M134" s="589">
        <f t="shared" si="39"/>
        <v>104.07</v>
      </c>
      <c r="N134" s="589">
        <f t="shared" si="40"/>
        <v>111</v>
      </c>
      <c r="O134" s="589">
        <f t="shared" si="41"/>
        <v>84.43</v>
      </c>
      <c r="P134" s="584"/>
      <c r="Q134" s="589">
        <f t="shared" si="45"/>
        <v>2.6399999999999864</v>
      </c>
      <c r="R134" s="589">
        <f t="shared" si="46"/>
        <v>3.1700000000000017</v>
      </c>
      <c r="S134" s="589">
        <f t="shared" si="47"/>
        <v>0.53000000000000114</v>
      </c>
      <c r="T134" s="1226"/>
      <c r="U134" s="589">
        <f t="shared" si="42"/>
        <v>99.13</v>
      </c>
      <c r="V134" s="589">
        <f t="shared" si="43"/>
        <v>105.44</v>
      </c>
      <c r="W134" s="589">
        <f t="shared" si="44"/>
        <v>82.94</v>
      </c>
      <c r="X134" s="588"/>
      <c r="Y134" s="589">
        <f t="shared" si="27"/>
        <v>1.8900000000000006</v>
      </c>
      <c r="Z134" s="589">
        <f t="shared" si="28"/>
        <v>2.8799999999999955</v>
      </c>
      <c r="AA134" s="590">
        <f t="shared" si="29"/>
        <v>0.76999999999999602</v>
      </c>
    </row>
    <row r="135" spans="1:27" s="501" customFormat="1">
      <c r="A135" s="487"/>
      <c r="B135" s="488" t="s">
        <v>141</v>
      </c>
      <c r="C135" s="489">
        <v>12</v>
      </c>
      <c r="D135" s="601">
        <v>109.7</v>
      </c>
      <c r="E135" s="601">
        <v>114.3</v>
      </c>
      <c r="F135" s="601">
        <v>85.7</v>
      </c>
      <c r="G135" s="602"/>
      <c r="H135" s="602">
        <v>100</v>
      </c>
      <c r="I135" s="603">
        <f t="shared" si="36"/>
        <v>4.1000000000000085</v>
      </c>
      <c r="J135" s="603">
        <f t="shared" si="37"/>
        <v>1.2000000000000028</v>
      </c>
      <c r="K135" s="603">
        <f t="shared" si="38"/>
        <v>1</v>
      </c>
      <c r="L135" s="1229"/>
      <c r="M135" s="594">
        <f t="shared" si="39"/>
        <v>106.87</v>
      </c>
      <c r="N135" s="594">
        <f t="shared" si="40"/>
        <v>112.9</v>
      </c>
      <c r="O135" s="594">
        <f t="shared" si="41"/>
        <v>84.93</v>
      </c>
      <c r="P135" s="603"/>
      <c r="Q135" s="589">
        <f t="shared" si="45"/>
        <v>2.8000000000000114</v>
      </c>
      <c r="R135" s="589">
        <f t="shared" si="46"/>
        <v>1.9000000000000057</v>
      </c>
      <c r="S135" s="589">
        <f t="shared" si="47"/>
        <v>0.5</v>
      </c>
      <c r="T135" s="1229"/>
      <c r="U135" s="604">
        <f t="shared" si="42"/>
        <v>101.43</v>
      </c>
      <c r="V135" s="604">
        <f t="shared" si="43"/>
        <v>107.79</v>
      </c>
      <c r="W135" s="604">
        <f t="shared" si="44"/>
        <v>84.1</v>
      </c>
      <c r="X135" s="602"/>
      <c r="Y135" s="604">
        <f t="shared" si="27"/>
        <v>2.3000000000000114</v>
      </c>
      <c r="Z135" s="604">
        <f t="shared" si="28"/>
        <v>2.3500000000000085</v>
      </c>
      <c r="AA135" s="605">
        <f t="shared" si="29"/>
        <v>1.1599999999999966</v>
      </c>
    </row>
    <row r="136" spans="1:27" s="501" customFormat="1">
      <c r="A136" s="479">
        <v>16</v>
      </c>
      <c r="B136" s="992" t="s">
        <v>664</v>
      </c>
      <c r="C136" s="481">
        <v>1</v>
      </c>
      <c r="D136" s="581">
        <v>109.8</v>
      </c>
      <c r="E136" s="581">
        <v>110.6</v>
      </c>
      <c r="F136" s="581">
        <v>86.8</v>
      </c>
      <c r="G136" s="582"/>
      <c r="H136" s="582">
        <v>100</v>
      </c>
      <c r="I136" s="583">
        <f t="shared" si="36"/>
        <v>9.9999999999994316E-2</v>
      </c>
      <c r="J136" s="583">
        <f t="shared" si="37"/>
        <v>-3.7000000000000028</v>
      </c>
      <c r="K136" s="583">
        <f t="shared" si="38"/>
        <v>1.0999999999999943</v>
      </c>
      <c r="L136" s="1225"/>
      <c r="M136" s="599">
        <f t="shared" si="39"/>
        <v>108.37</v>
      </c>
      <c r="N136" s="599">
        <f t="shared" si="40"/>
        <v>112.67</v>
      </c>
      <c r="O136" s="599">
        <f t="shared" si="41"/>
        <v>85.73</v>
      </c>
      <c r="P136" s="583"/>
      <c r="Q136" s="589">
        <f t="shared" si="45"/>
        <v>1.5</v>
      </c>
      <c r="R136" s="589">
        <f t="shared" si="46"/>
        <v>-0.23000000000000398</v>
      </c>
      <c r="S136" s="589">
        <f t="shared" si="47"/>
        <v>0.79999999999999716</v>
      </c>
      <c r="T136" s="1225"/>
      <c r="U136" s="585">
        <f t="shared" si="42"/>
        <v>103.6</v>
      </c>
      <c r="V136" s="585">
        <f t="shared" si="43"/>
        <v>109.14</v>
      </c>
      <c r="W136" s="585">
        <f t="shared" si="44"/>
        <v>84.86</v>
      </c>
      <c r="X136" s="582"/>
      <c r="Y136" s="585">
        <f t="shared" si="27"/>
        <v>2.1699999999999875</v>
      </c>
      <c r="Z136" s="585">
        <f t="shared" si="28"/>
        <v>1.3499999999999943</v>
      </c>
      <c r="AA136" s="586">
        <f t="shared" si="29"/>
        <v>0.76000000000000512</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26"/>
      <c r="M137" s="589">
        <f t="shared" si="39"/>
        <v>109.4</v>
      </c>
      <c r="N137" s="589">
        <f t="shared" si="40"/>
        <v>112.1</v>
      </c>
      <c r="O137" s="589">
        <f t="shared" si="41"/>
        <v>86.57</v>
      </c>
      <c r="P137" s="584"/>
      <c r="Q137" s="589">
        <f t="shared" si="45"/>
        <v>1.0300000000000011</v>
      </c>
      <c r="R137" s="589">
        <f t="shared" si="46"/>
        <v>-0.57000000000000739</v>
      </c>
      <c r="S137" s="589">
        <f t="shared" si="47"/>
        <v>0.8399999999999892</v>
      </c>
      <c r="T137" s="1226"/>
      <c r="U137" s="589">
        <f t="shared" si="42"/>
        <v>105.44</v>
      </c>
      <c r="V137" s="589">
        <f t="shared" si="43"/>
        <v>110.41</v>
      </c>
      <c r="W137" s="589">
        <f t="shared" si="44"/>
        <v>85.16</v>
      </c>
      <c r="X137" s="588"/>
      <c r="Y137" s="589">
        <f t="shared" si="27"/>
        <v>1.8400000000000034</v>
      </c>
      <c r="Z137" s="589">
        <f t="shared" si="28"/>
        <v>1.269999999999996</v>
      </c>
      <c r="AA137" s="590">
        <f t="shared" si="29"/>
        <v>0.29999999999999716</v>
      </c>
    </row>
    <row r="138" spans="1:27" s="501" customFormat="1">
      <c r="A138" s="483"/>
      <c r="B138" s="484" t="s">
        <v>141</v>
      </c>
      <c r="C138" s="485">
        <v>3</v>
      </c>
      <c r="D138" s="587">
        <v>107.5</v>
      </c>
      <c r="E138" s="587">
        <v>112.7</v>
      </c>
      <c r="F138" s="587">
        <v>88.7</v>
      </c>
      <c r="G138" s="588"/>
      <c r="H138" s="588">
        <v>100</v>
      </c>
      <c r="I138" s="584">
        <f t="shared" si="36"/>
        <v>-1.2000000000000028</v>
      </c>
      <c r="J138" s="584">
        <f t="shared" si="37"/>
        <v>1.2999999999999972</v>
      </c>
      <c r="K138" s="584">
        <f t="shared" si="38"/>
        <v>1.5</v>
      </c>
      <c r="L138" s="1226"/>
      <c r="M138" s="589">
        <f t="shared" si="39"/>
        <v>108.67</v>
      </c>
      <c r="N138" s="589">
        <f t="shared" si="40"/>
        <v>111.57</v>
      </c>
      <c r="O138" s="589">
        <f t="shared" si="41"/>
        <v>87.57</v>
      </c>
      <c r="P138" s="584"/>
      <c r="Q138" s="589">
        <f t="shared" si="45"/>
        <v>-0.73000000000000398</v>
      </c>
      <c r="R138" s="589">
        <f t="shared" si="46"/>
        <v>-0.53000000000000114</v>
      </c>
      <c r="S138" s="589">
        <f t="shared" si="47"/>
        <v>1</v>
      </c>
      <c r="T138" s="1226"/>
      <c r="U138" s="589">
        <f t="shared" si="42"/>
        <v>106.84</v>
      </c>
      <c r="V138" s="589">
        <f t="shared" si="43"/>
        <v>111.71</v>
      </c>
      <c r="W138" s="589">
        <f t="shared" si="44"/>
        <v>85.96</v>
      </c>
      <c r="X138" s="588"/>
      <c r="Y138" s="589">
        <f t="shared" si="27"/>
        <v>1.4000000000000057</v>
      </c>
      <c r="Z138" s="589">
        <f t="shared" si="28"/>
        <v>1.2999999999999972</v>
      </c>
      <c r="AA138" s="590">
        <f t="shared" si="29"/>
        <v>0.79999999999999716</v>
      </c>
    </row>
    <row r="139" spans="1:27" s="501" customFormat="1">
      <c r="A139" s="483"/>
      <c r="B139" s="484" t="s">
        <v>141</v>
      </c>
      <c r="C139" s="485">
        <v>4</v>
      </c>
      <c r="D139" s="587">
        <v>109.7</v>
      </c>
      <c r="E139" s="587">
        <v>113.2</v>
      </c>
      <c r="F139" s="587">
        <v>88.7</v>
      </c>
      <c r="G139" s="588"/>
      <c r="H139" s="588">
        <v>100</v>
      </c>
      <c r="I139" s="584">
        <f t="shared" si="36"/>
        <v>2.2000000000000028</v>
      </c>
      <c r="J139" s="584">
        <f t="shared" si="37"/>
        <v>0.5</v>
      </c>
      <c r="K139" s="584">
        <f t="shared" si="38"/>
        <v>0</v>
      </c>
      <c r="L139" s="1226"/>
      <c r="M139" s="589">
        <f t="shared" si="39"/>
        <v>108.63</v>
      </c>
      <c r="N139" s="589">
        <f t="shared" si="40"/>
        <v>112.43</v>
      </c>
      <c r="O139" s="589">
        <f t="shared" si="41"/>
        <v>88.2</v>
      </c>
      <c r="P139" s="584"/>
      <c r="Q139" s="589">
        <f t="shared" si="45"/>
        <v>-4.0000000000006253E-2</v>
      </c>
      <c r="R139" s="589">
        <f t="shared" si="46"/>
        <v>0.86000000000001364</v>
      </c>
      <c r="S139" s="589">
        <f t="shared" si="47"/>
        <v>0.63000000000000966</v>
      </c>
      <c r="T139" s="1226"/>
      <c r="U139" s="589">
        <f t="shared" si="42"/>
        <v>108.04</v>
      </c>
      <c r="V139" s="589">
        <f t="shared" si="43"/>
        <v>112.37</v>
      </c>
      <c r="W139" s="589">
        <f t="shared" si="44"/>
        <v>86.6</v>
      </c>
      <c r="X139" s="588"/>
      <c r="Y139" s="589">
        <f t="shared" si="27"/>
        <v>1.2000000000000028</v>
      </c>
      <c r="Z139" s="589">
        <f t="shared" si="28"/>
        <v>0.6600000000000108</v>
      </c>
      <c r="AA139" s="590">
        <f t="shared" si="29"/>
        <v>0.64000000000000057</v>
      </c>
    </row>
    <row r="140" spans="1:27" s="501" customFormat="1">
      <c r="A140" s="483"/>
      <c r="B140" s="484" t="s">
        <v>141</v>
      </c>
      <c r="C140" s="485">
        <v>5</v>
      </c>
      <c r="D140" s="587">
        <v>107.7</v>
      </c>
      <c r="E140" s="587">
        <v>113.2</v>
      </c>
      <c r="F140" s="587">
        <v>90.2</v>
      </c>
      <c r="G140" s="588"/>
      <c r="H140" s="588">
        <v>100</v>
      </c>
      <c r="I140" s="584">
        <f t="shared" si="36"/>
        <v>-2</v>
      </c>
      <c r="J140" s="584">
        <f t="shared" si="37"/>
        <v>0</v>
      </c>
      <c r="K140" s="584">
        <f t="shared" si="38"/>
        <v>1.5</v>
      </c>
      <c r="L140" s="1226"/>
      <c r="M140" s="589">
        <f t="shared" si="39"/>
        <v>108.3</v>
      </c>
      <c r="N140" s="589">
        <f t="shared" si="40"/>
        <v>113.03</v>
      </c>
      <c r="O140" s="589">
        <f t="shared" si="41"/>
        <v>89.2</v>
      </c>
      <c r="P140" s="584"/>
      <c r="Q140" s="589">
        <f t="shared" si="45"/>
        <v>-0.32999999999999829</v>
      </c>
      <c r="R140" s="589">
        <f t="shared" si="46"/>
        <v>0.59999999999999432</v>
      </c>
      <c r="S140" s="589">
        <f t="shared" si="47"/>
        <v>1</v>
      </c>
      <c r="T140" s="1226"/>
      <c r="U140" s="589">
        <f t="shared" si="42"/>
        <v>108.39</v>
      </c>
      <c r="V140" s="589">
        <f t="shared" si="43"/>
        <v>112.64</v>
      </c>
      <c r="W140" s="589">
        <f t="shared" si="44"/>
        <v>87.43</v>
      </c>
      <c r="X140" s="588"/>
      <c r="Y140" s="589">
        <f t="shared" ref="Y140:Y195" si="48">U140-U139</f>
        <v>0.34999999999999432</v>
      </c>
      <c r="Z140" s="589">
        <f t="shared" ref="Z140:Z195" si="49">V140-V139</f>
        <v>0.26999999999999602</v>
      </c>
      <c r="AA140" s="590">
        <f t="shared" ref="AA140:AA195" si="50">W140-W139</f>
        <v>0.83000000000001251</v>
      </c>
    </row>
    <row r="141" spans="1:27" s="501" customFormat="1">
      <c r="A141" s="483"/>
      <c r="B141" s="484" t="s">
        <v>141</v>
      </c>
      <c r="C141" s="485">
        <v>6</v>
      </c>
      <c r="D141" s="587">
        <v>109.1</v>
      </c>
      <c r="E141" s="587">
        <v>113.4</v>
      </c>
      <c r="F141" s="587">
        <v>89.7</v>
      </c>
      <c r="G141" s="588"/>
      <c r="H141" s="588">
        <v>100</v>
      </c>
      <c r="I141" s="584">
        <f t="shared" si="36"/>
        <v>1.3999999999999915</v>
      </c>
      <c r="J141" s="584">
        <f t="shared" si="37"/>
        <v>0.20000000000000284</v>
      </c>
      <c r="K141" s="584">
        <f t="shared" si="38"/>
        <v>-0.5</v>
      </c>
      <c r="L141" s="1226"/>
      <c r="M141" s="589">
        <f t="shared" si="39"/>
        <v>108.83</v>
      </c>
      <c r="N141" s="589">
        <f t="shared" si="40"/>
        <v>113.27</v>
      </c>
      <c r="O141" s="589">
        <f t="shared" si="41"/>
        <v>89.53</v>
      </c>
      <c r="P141" s="584"/>
      <c r="Q141" s="589">
        <f t="shared" si="45"/>
        <v>0.53000000000000114</v>
      </c>
      <c r="R141" s="589">
        <f t="shared" si="46"/>
        <v>0.23999999999999488</v>
      </c>
      <c r="S141" s="589">
        <f t="shared" si="47"/>
        <v>0.32999999999999829</v>
      </c>
      <c r="T141" s="1226"/>
      <c r="U141" s="589">
        <f t="shared" si="42"/>
        <v>108.89</v>
      </c>
      <c r="V141" s="589">
        <f t="shared" si="43"/>
        <v>112.69</v>
      </c>
      <c r="W141" s="589">
        <f t="shared" si="44"/>
        <v>88.14</v>
      </c>
      <c r="X141" s="588"/>
      <c r="Y141" s="589">
        <f t="shared" si="48"/>
        <v>0.5</v>
      </c>
      <c r="Z141" s="589">
        <f t="shared" si="49"/>
        <v>4.9999999999997158E-2</v>
      </c>
      <c r="AA141" s="590">
        <f t="shared" si="50"/>
        <v>0.70999999999999375</v>
      </c>
    </row>
    <row r="142" spans="1:27" s="501" customFormat="1">
      <c r="A142" s="483"/>
      <c r="B142" s="484" t="s">
        <v>141</v>
      </c>
      <c r="C142" s="485">
        <v>7</v>
      </c>
      <c r="D142" s="587">
        <v>111.5</v>
      </c>
      <c r="E142" s="587">
        <v>116.3</v>
      </c>
      <c r="F142" s="587">
        <v>91.2</v>
      </c>
      <c r="G142" s="588"/>
      <c r="H142" s="588">
        <v>100</v>
      </c>
      <c r="I142" s="584">
        <f t="shared" si="36"/>
        <v>2.4000000000000057</v>
      </c>
      <c r="J142" s="584">
        <f t="shared" si="37"/>
        <v>2.8999999999999915</v>
      </c>
      <c r="K142" s="584">
        <f t="shared" si="38"/>
        <v>1.5</v>
      </c>
      <c r="L142" s="1226"/>
      <c r="M142" s="589">
        <f t="shared" si="39"/>
        <v>109.43</v>
      </c>
      <c r="N142" s="589">
        <f t="shared" si="40"/>
        <v>114.3</v>
      </c>
      <c r="O142" s="589">
        <f t="shared" si="41"/>
        <v>90.37</v>
      </c>
      <c r="P142" s="584"/>
      <c r="Q142" s="589">
        <f t="shared" si="45"/>
        <v>0.60000000000000853</v>
      </c>
      <c r="R142" s="589">
        <f t="shared" si="46"/>
        <v>1.0300000000000011</v>
      </c>
      <c r="S142" s="589">
        <f t="shared" si="47"/>
        <v>0.84000000000000341</v>
      </c>
      <c r="T142" s="1226"/>
      <c r="U142" s="589">
        <f t="shared" si="42"/>
        <v>109.14</v>
      </c>
      <c r="V142" s="589">
        <f t="shared" si="43"/>
        <v>112.97</v>
      </c>
      <c r="W142" s="589">
        <f t="shared" si="44"/>
        <v>88.93</v>
      </c>
      <c r="X142" s="588"/>
      <c r="Y142" s="589">
        <f t="shared" si="48"/>
        <v>0.25</v>
      </c>
      <c r="Z142" s="589">
        <f t="shared" si="49"/>
        <v>0.28000000000000114</v>
      </c>
      <c r="AA142" s="590">
        <f t="shared" si="50"/>
        <v>0.79000000000000625</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0.5</v>
      </c>
      <c r="L143" s="1226"/>
      <c r="M143" s="589">
        <f t="shared" si="39"/>
        <v>111.5</v>
      </c>
      <c r="N143" s="589">
        <f t="shared" si="40"/>
        <v>115.47</v>
      </c>
      <c r="O143" s="589">
        <f t="shared" si="41"/>
        <v>90.87</v>
      </c>
      <c r="P143" s="584"/>
      <c r="Q143" s="589">
        <f t="shared" si="45"/>
        <v>2.0699999999999932</v>
      </c>
      <c r="R143" s="589">
        <f t="shared" si="46"/>
        <v>1.1700000000000017</v>
      </c>
      <c r="S143" s="589">
        <f t="shared" si="47"/>
        <v>0.5</v>
      </c>
      <c r="T143" s="1226"/>
      <c r="U143" s="589">
        <f t="shared" si="42"/>
        <v>109.73</v>
      </c>
      <c r="V143" s="589">
        <f t="shared" si="43"/>
        <v>113.84</v>
      </c>
      <c r="W143" s="589">
        <f t="shared" si="44"/>
        <v>89.63</v>
      </c>
      <c r="X143" s="588"/>
      <c r="Y143" s="589">
        <f t="shared" si="48"/>
        <v>0.59000000000000341</v>
      </c>
      <c r="Z143" s="589">
        <f t="shared" si="49"/>
        <v>0.87000000000000455</v>
      </c>
      <c r="AA143" s="590">
        <f t="shared" si="50"/>
        <v>0.69999999999998863</v>
      </c>
    </row>
    <row r="144" spans="1:27" s="501" customFormat="1">
      <c r="A144" s="483"/>
      <c r="B144" s="484" t="s">
        <v>141</v>
      </c>
      <c r="C144" s="485">
        <v>9</v>
      </c>
      <c r="D144" s="587">
        <v>113.9</v>
      </c>
      <c r="E144" s="587">
        <v>115.8</v>
      </c>
      <c r="F144" s="587">
        <v>92.2</v>
      </c>
      <c r="G144" s="588"/>
      <c r="H144" s="588">
        <v>100</v>
      </c>
      <c r="I144" s="584">
        <f t="shared" si="36"/>
        <v>0</v>
      </c>
      <c r="J144" s="584">
        <f t="shared" si="37"/>
        <v>-0.90000000000000568</v>
      </c>
      <c r="K144" s="584">
        <f t="shared" si="38"/>
        <v>0.5</v>
      </c>
      <c r="L144" s="1226"/>
      <c r="M144" s="589">
        <f t="shared" si="39"/>
        <v>113.1</v>
      </c>
      <c r="N144" s="589">
        <f t="shared" si="40"/>
        <v>116.27</v>
      </c>
      <c r="O144" s="589">
        <f t="shared" si="41"/>
        <v>91.7</v>
      </c>
      <c r="P144" s="584"/>
      <c r="Q144" s="589">
        <f t="shared" si="45"/>
        <v>1.5999999999999943</v>
      </c>
      <c r="R144" s="589">
        <f t="shared" si="46"/>
        <v>0.79999999999999716</v>
      </c>
      <c r="S144" s="589">
        <f t="shared" si="47"/>
        <v>0.82999999999999829</v>
      </c>
      <c r="T144" s="1226"/>
      <c r="U144" s="589">
        <f t="shared" si="42"/>
        <v>110.47</v>
      </c>
      <c r="V144" s="589">
        <f t="shared" si="43"/>
        <v>114.47</v>
      </c>
      <c r="W144" s="589">
        <f t="shared" si="44"/>
        <v>90.34</v>
      </c>
      <c r="X144" s="588"/>
      <c r="Y144" s="589">
        <f t="shared" si="48"/>
        <v>0.73999999999999488</v>
      </c>
      <c r="Z144" s="589">
        <f t="shared" si="49"/>
        <v>0.62999999999999545</v>
      </c>
      <c r="AA144" s="590">
        <f t="shared" si="50"/>
        <v>0.71000000000000796</v>
      </c>
    </row>
    <row r="145" spans="1:27" s="501" customFormat="1">
      <c r="A145" s="483"/>
      <c r="B145" s="484" t="s">
        <v>141</v>
      </c>
      <c r="C145" s="485">
        <v>10</v>
      </c>
      <c r="D145" s="587">
        <v>108.7</v>
      </c>
      <c r="E145" s="587">
        <v>110.5</v>
      </c>
      <c r="F145" s="587">
        <v>91.7</v>
      </c>
      <c r="G145" s="588"/>
      <c r="H145" s="588">
        <v>100</v>
      </c>
      <c r="I145" s="584">
        <f t="shared" si="36"/>
        <v>-5.2000000000000028</v>
      </c>
      <c r="J145" s="584">
        <f t="shared" si="37"/>
        <v>-5.2999999999999972</v>
      </c>
      <c r="K145" s="584">
        <f t="shared" si="38"/>
        <v>-0.5</v>
      </c>
      <c r="L145" s="1226"/>
      <c r="M145" s="589">
        <f t="shared" si="39"/>
        <v>112.17</v>
      </c>
      <c r="N145" s="589">
        <f t="shared" si="40"/>
        <v>114.33</v>
      </c>
      <c r="O145" s="589">
        <f t="shared" si="41"/>
        <v>91.87</v>
      </c>
      <c r="P145" s="584"/>
      <c r="Q145" s="589">
        <f t="shared" si="45"/>
        <v>-0.92999999999999261</v>
      </c>
      <c r="R145" s="589">
        <f t="shared" si="46"/>
        <v>-1.9399999999999977</v>
      </c>
      <c r="S145" s="589">
        <f t="shared" si="47"/>
        <v>0.17000000000000171</v>
      </c>
      <c r="T145" s="1226"/>
      <c r="U145" s="589">
        <f t="shared" si="42"/>
        <v>110.64</v>
      </c>
      <c r="V145" s="589">
        <f t="shared" si="43"/>
        <v>114.16</v>
      </c>
      <c r="W145" s="589">
        <f t="shared" si="44"/>
        <v>90.77</v>
      </c>
      <c r="X145" s="588"/>
      <c r="Y145" s="589">
        <f t="shared" si="48"/>
        <v>0.17000000000000171</v>
      </c>
      <c r="Z145" s="589">
        <f t="shared" si="49"/>
        <v>-0.31000000000000227</v>
      </c>
      <c r="AA145" s="590">
        <f t="shared" si="50"/>
        <v>0.42999999999999261</v>
      </c>
    </row>
    <row r="146" spans="1:27" s="501" customFormat="1">
      <c r="A146" s="483"/>
      <c r="B146" s="484" t="s">
        <v>141</v>
      </c>
      <c r="C146" s="485">
        <v>11</v>
      </c>
      <c r="D146" s="587">
        <v>108.9</v>
      </c>
      <c r="E146" s="587">
        <v>111.5</v>
      </c>
      <c r="F146" s="587">
        <v>89.5</v>
      </c>
      <c r="G146" s="588"/>
      <c r="H146" s="588">
        <v>100</v>
      </c>
      <c r="I146" s="584">
        <f t="shared" si="36"/>
        <v>0.20000000000000284</v>
      </c>
      <c r="J146" s="584">
        <f t="shared" si="37"/>
        <v>1</v>
      </c>
      <c r="K146" s="584">
        <f t="shared" si="38"/>
        <v>-2.2000000000000028</v>
      </c>
      <c r="L146" s="1226"/>
      <c r="M146" s="589">
        <f t="shared" si="39"/>
        <v>110.5</v>
      </c>
      <c r="N146" s="589">
        <f t="shared" si="40"/>
        <v>112.6</v>
      </c>
      <c r="O146" s="589">
        <f t="shared" si="41"/>
        <v>91.13</v>
      </c>
      <c r="P146" s="584"/>
      <c r="Q146" s="589">
        <f t="shared" si="45"/>
        <v>-1.6700000000000017</v>
      </c>
      <c r="R146" s="589">
        <f t="shared" si="46"/>
        <v>-1.730000000000004</v>
      </c>
      <c r="S146" s="589">
        <f t="shared" si="47"/>
        <v>-0.74000000000000909</v>
      </c>
      <c r="T146" s="1226"/>
      <c r="U146" s="589">
        <f t="shared" si="42"/>
        <v>110.53</v>
      </c>
      <c r="V146" s="589">
        <f t="shared" si="43"/>
        <v>113.91</v>
      </c>
      <c r="W146" s="589">
        <f t="shared" si="44"/>
        <v>90.89</v>
      </c>
      <c r="X146" s="588"/>
      <c r="Y146" s="589">
        <f t="shared" si="48"/>
        <v>-0.10999999999999943</v>
      </c>
      <c r="Z146" s="589">
        <f t="shared" si="49"/>
        <v>-0.25</v>
      </c>
      <c r="AA146" s="590">
        <f t="shared" si="50"/>
        <v>0.12000000000000455</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1.9000000000000057</v>
      </c>
      <c r="L147" s="1227"/>
      <c r="M147" s="604">
        <f t="shared" si="39"/>
        <v>108.77</v>
      </c>
      <c r="N147" s="604">
        <f t="shared" si="40"/>
        <v>111.7</v>
      </c>
      <c r="O147" s="604">
        <f t="shared" si="41"/>
        <v>90.87</v>
      </c>
      <c r="P147" s="593"/>
      <c r="Q147" s="589">
        <f t="shared" si="45"/>
        <v>-1.730000000000004</v>
      </c>
      <c r="R147" s="589">
        <f t="shared" si="46"/>
        <v>-0.89999999999999147</v>
      </c>
      <c r="S147" s="589">
        <f t="shared" si="47"/>
        <v>-0.25999999999999091</v>
      </c>
      <c r="T147" s="1227"/>
      <c r="U147" s="594">
        <f t="shared" si="42"/>
        <v>110.67</v>
      </c>
      <c r="V147" s="594">
        <f t="shared" si="43"/>
        <v>113.9</v>
      </c>
      <c r="W147" s="594">
        <f t="shared" si="44"/>
        <v>91.06</v>
      </c>
      <c r="X147" s="592"/>
      <c r="Y147" s="594">
        <f t="shared" si="48"/>
        <v>0.14000000000000057</v>
      </c>
      <c r="Z147" s="594">
        <f t="shared" si="49"/>
        <v>-9.9999999999909051E-3</v>
      </c>
      <c r="AA147" s="595">
        <f t="shared" si="50"/>
        <v>0.17000000000000171</v>
      </c>
    </row>
    <row r="148" spans="1:27" s="501" customFormat="1">
      <c r="A148" s="491">
        <v>17</v>
      </c>
      <c r="B148" s="993" t="s">
        <v>665</v>
      </c>
      <c r="C148" s="493">
        <v>1</v>
      </c>
      <c r="D148" s="596">
        <v>108.8</v>
      </c>
      <c r="E148" s="596">
        <v>112.5</v>
      </c>
      <c r="F148" s="596">
        <v>92.9</v>
      </c>
      <c r="G148" s="597"/>
      <c r="H148" s="597">
        <v>100</v>
      </c>
      <c r="I148" s="598">
        <f t="shared" si="36"/>
        <v>9.9999999999994316E-2</v>
      </c>
      <c r="J148" s="598">
        <f t="shared" si="37"/>
        <v>-0.59999999999999432</v>
      </c>
      <c r="K148" s="598">
        <f t="shared" si="38"/>
        <v>1.5</v>
      </c>
      <c r="L148" s="1228"/>
      <c r="M148" s="585">
        <f t="shared" si="39"/>
        <v>108.8</v>
      </c>
      <c r="N148" s="585">
        <f t="shared" si="40"/>
        <v>112.37</v>
      </c>
      <c r="O148" s="585">
        <f t="shared" si="41"/>
        <v>91.27</v>
      </c>
      <c r="P148" s="598"/>
      <c r="Q148" s="589">
        <f t="shared" si="45"/>
        <v>3.0000000000001137E-2</v>
      </c>
      <c r="R148" s="589">
        <f t="shared" si="46"/>
        <v>0.67000000000000171</v>
      </c>
      <c r="S148" s="589">
        <f t="shared" si="47"/>
        <v>0.39999999999999147</v>
      </c>
      <c r="T148" s="1228"/>
      <c r="U148" s="599">
        <f t="shared" si="42"/>
        <v>110.63</v>
      </c>
      <c r="V148" s="599">
        <f t="shared" si="43"/>
        <v>113.77</v>
      </c>
      <c r="W148" s="599">
        <f t="shared" si="44"/>
        <v>91.51</v>
      </c>
      <c r="X148" s="597"/>
      <c r="Y148" s="599">
        <f t="shared" si="48"/>
        <v>-4.0000000000006253E-2</v>
      </c>
      <c r="Z148" s="599">
        <f t="shared" si="49"/>
        <v>-0.13000000000000966</v>
      </c>
      <c r="AA148" s="600">
        <f t="shared" si="50"/>
        <v>0.45000000000000284</v>
      </c>
    </row>
    <row r="149" spans="1:27" s="501" customFormat="1">
      <c r="A149" s="483"/>
      <c r="B149" s="484" t="s">
        <v>141</v>
      </c>
      <c r="C149" s="485">
        <v>2</v>
      </c>
      <c r="D149" s="587">
        <v>104.9</v>
      </c>
      <c r="E149" s="587">
        <v>112</v>
      </c>
      <c r="F149" s="587">
        <v>89.4</v>
      </c>
      <c r="G149" s="588"/>
      <c r="H149" s="588">
        <v>100</v>
      </c>
      <c r="I149" s="584">
        <f t="shared" si="36"/>
        <v>-3.8999999999999915</v>
      </c>
      <c r="J149" s="584">
        <f t="shared" si="37"/>
        <v>-0.5</v>
      </c>
      <c r="K149" s="584">
        <f t="shared" si="38"/>
        <v>-3.5</v>
      </c>
      <c r="L149" s="1226"/>
      <c r="M149" s="589">
        <f t="shared" si="39"/>
        <v>107.47</v>
      </c>
      <c r="N149" s="589">
        <f t="shared" si="40"/>
        <v>112.53</v>
      </c>
      <c r="O149" s="589">
        <f t="shared" si="41"/>
        <v>91.23</v>
      </c>
      <c r="P149" s="584"/>
      <c r="Q149" s="589">
        <f t="shared" si="45"/>
        <v>-1.3299999999999983</v>
      </c>
      <c r="R149" s="589">
        <f t="shared" si="46"/>
        <v>0.15999999999999659</v>
      </c>
      <c r="S149" s="589">
        <f t="shared" si="47"/>
        <v>-3.9999999999992042E-2</v>
      </c>
      <c r="T149" s="1226"/>
      <c r="U149" s="589">
        <f t="shared" si="42"/>
        <v>109.69</v>
      </c>
      <c r="V149" s="589">
        <f t="shared" si="43"/>
        <v>113.16</v>
      </c>
      <c r="W149" s="589">
        <f t="shared" si="44"/>
        <v>91.26</v>
      </c>
      <c r="X149" s="588"/>
      <c r="Y149" s="589">
        <f t="shared" si="48"/>
        <v>-0.93999999999999773</v>
      </c>
      <c r="Z149" s="589">
        <f t="shared" si="49"/>
        <v>-0.60999999999999943</v>
      </c>
      <c r="AA149" s="590">
        <f t="shared" si="50"/>
        <v>-0.25</v>
      </c>
    </row>
    <row r="150" spans="1:27" s="501" customFormat="1">
      <c r="A150" s="483"/>
      <c r="B150" s="484" t="s">
        <v>141</v>
      </c>
      <c r="C150" s="485">
        <v>3</v>
      </c>
      <c r="D150" s="587">
        <v>104</v>
      </c>
      <c r="E150" s="587">
        <v>109.1</v>
      </c>
      <c r="F150" s="587">
        <v>90.2</v>
      </c>
      <c r="G150" s="588"/>
      <c r="H150" s="588">
        <v>100</v>
      </c>
      <c r="I150" s="584">
        <f t="shared" si="36"/>
        <v>-0.90000000000000568</v>
      </c>
      <c r="J150" s="584">
        <f t="shared" si="37"/>
        <v>-2.9000000000000057</v>
      </c>
      <c r="K150" s="584">
        <f t="shared" si="38"/>
        <v>0.79999999999999716</v>
      </c>
      <c r="L150" s="1226"/>
      <c r="M150" s="589">
        <f t="shared" si="39"/>
        <v>105.9</v>
      </c>
      <c r="N150" s="589">
        <f t="shared" si="40"/>
        <v>111.2</v>
      </c>
      <c r="O150" s="589">
        <f t="shared" si="41"/>
        <v>90.83</v>
      </c>
      <c r="P150" s="584"/>
      <c r="Q150" s="589">
        <f t="shared" si="45"/>
        <v>-1.5699999999999932</v>
      </c>
      <c r="R150" s="589">
        <f t="shared" si="46"/>
        <v>-1.3299999999999983</v>
      </c>
      <c r="S150" s="589">
        <f t="shared" si="47"/>
        <v>-0.40000000000000568</v>
      </c>
      <c r="T150" s="1226"/>
      <c r="U150" s="589">
        <f t="shared" si="42"/>
        <v>108.27</v>
      </c>
      <c r="V150" s="589">
        <f t="shared" si="43"/>
        <v>112.07</v>
      </c>
      <c r="W150" s="589">
        <f t="shared" si="44"/>
        <v>91.04</v>
      </c>
      <c r="X150" s="588"/>
      <c r="Y150" s="589">
        <f t="shared" si="48"/>
        <v>-1.4200000000000017</v>
      </c>
      <c r="Z150" s="589">
        <f t="shared" si="49"/>
        <v>-1.0900000000000034</v>
      </c>
      <c r="AA150" s="590">
        <f t="shared" si="50"/>
        <v>-0.21999999999999886</v>
      </c>
    </row>
    <row r="151" spans="1:27" s="501" customFormat="1">
      <c r="A151" s="483"/>
      <c r="B151" s="484" t="s">
        <v>141</v>
      </c>
      <c r="C151" s="485">
        <v>4</v>
      </c>
      <c r="D151" s="587">
        <v>102.2</v>
      </c>
      <c r="E151" s="587">
        <v>107.2</v>
      </c>
      <c r="F151" s="587">
        <v>90.8</v>
      </c>
      <c r="G151" s="588"/>
      <c r="H151" s="588">
        <v>100</v>
      </c>
      <c r="I151" s="584">
        <f t="shared" si="36"/>
        <v>-1.7999999999999972</v>
      </c>
      <c r="J151" s="584">
        <f t="shared" si="37"/>
        <v>-1.8999999999999915</v>
      </c>
      <c r="K151" s="584">
        <f t="shared" si="38"/>
        <v>0.59999999999999432</v>
      </c>
      <c r="L151" s="1226"/>
      <c r="M151" s="589">
        <f t="shared" si="39"/>
        <v>103.7</v>
      </c>
      <c r="N151" s="589">
        <f t="shared" si="40"/>
        <v>109.43</v>
      </c>
      <c r="O151" s="589">
        <f t="shared" si="41"/>
        <v>90.13</v>
      </c>
      <c r="P151" s="584"/>
      <c r="Q151" s="589">
        <f t="shared" si="45"/>
        <v>-2.2000000000000028</v>
      </c>
      <c r="R151" s="589">
        <f t="shared" si="46"/>
        <v>-1.769999999999996</v>
      </c>
      <c r="S151" s="589">
        <f t="shared" si="47"/>
        <v>-0.70000000000000284</v>
      </c>
      <c r="T151" s="1226"/>
      <c r="U151" s="589">
        <f t="shared" si="42"/>
        <v>106.6</v>
      </c>
      <c r="V151" s="589">
        <f t="shared" si="43"/>
        <v>110.84</v>
      </c>
      <c r="W151" s="589">
        <f t="shared" si="44"/>
        <v>90.84</v>
      </c>
      <c r="X151" s="588"/>
      <c r="Y151" s="589">
        <f t="shared" si="48"/>
        <v>-1.6700000000000017</v>
      </c>
      <c r="Z151" s="589">
        <f t="shared" si="49"/>
        <v>-1.2299999999999898</v>
      </c>
      <c r="AA151" s="590">
        <f t="shared" si="50"/>
        <v>-0.20000000000000284</v>
      </c>
    </row>
    <row r="152" spans="1:27" s="501" customFormat="1">
      <c r="A152" s="483"/>
      <c r="B152" s="484" t="s">
        <v>141</v>
      </c>
      <c r="C152" s="485">
        <v>5</v>
      </c>
      <c r="D152" s="587">
        <v>105.4</v>
      </c>
      <c r="E152" s="587">
        <v>111.7</v>
      </c>
      <c r="F152" s="587">
        <v>90.8</v>
      </c>
      <c r="G152" s="588"/>
      <c r="H152" s="588">
        <v>100</v>
      </c>
      <c r="I152" s="584">
        <f t="shared" si="36"/>
        <v>3.2000000000000028</v>
      </c>
      <c r="J152" s="584">
        <f t="shared" si="37"/>
        <v>4.5</v>
      </c>
      <c r="K152" s="584">
        <f t="shared" si="38"/>
        <v>0</v>
      </c>
      <c r="L152" s="1226"/>
      <c r="M152" s="589">
        <f t="shared" si="39"/>
        <v>103.87</v>
      </c>
      <c r="N152" s="589">
        <f t="shared" si="40"/>
        <v>109.33</v>
      </c>
      <c r="O152" s="589">
        <f t="shared" si="41"/>
        <v>90.6</v>
      </c>
      <c r="P152" s="584"/>
      <c r="Q152" s="589">
        <f t="shared" si="45"/>
        <v>0.17000000000000171</v>
      </c>
      <c r="R152" s="589">
        <f t="shared" si="46"/>
        <v>-0.10000000000000853</v>
      </c>
      <c r="S152" s="589">
        <f t="shared" si="47"/>
        <v>0.46999999999999886</v>
      </c>
      <c r="T152" s="1226"/>
      <c r="U152" s="589">
        <f t="shared" si="42"/>
        <v>106.13</v>
      </c>
      <c r="V152" s="589">
        <f t="shared" si="43"/>
        <v>111.01</v>
      </c>
      <c r="W152" s="589">
        <f t="shared" si="44"/>
        <v>90.71</v>
      </c>
      <c r="X152" s="588"/>
      <c r="Y152" s="589">
        <f t="shared" si="48"/>
        <v>-0.46999999999999886</v>
      </c>
      <c r="Z152" s="589">
        <f t="shared" si="49"/>
        <v>0.17000000000000171</v>
      </c>
      <c r="AA152" s="590">
        <f t="shared" si="50"/>
        <v>-0.13000000000000966</v>
      </c>
    </row>
    <row r="153" spans="1:27" s="501" customFormat="1">
      <c r="A153" s="483"/>
      <c r="B153" s="484" t="s">
        <v>141</v>
      </c>
      <c r="C153" s="485">
        <v>6</v>
      </c>
      <c r="D153" s="587">
        <v>104</v>
      </c>
      <c r="E153" s="587">
        <v>110</v>
      </c>
      <c r="F153" s="587">
        <v>90.6</v>
      </c>
      <c r="G153" s="588"/>
      <c r="H153" s="588">
        <v>100</v>
      </c>
      <c r="I153" s="584">
        <f t="shared" si="36"/>
        <v>-1.4000000000000057</v>
      </c>
      <c r="J153" s="584">
        <f t="shared" si="37"/>
        <v>-1.7000000000000028</v>
      </c>
      <c r="K153" s="584">
        <f t="shared" si="38"/>
        <v>-0.20000000000000284</v>
      </c>
      <c r="L153" s="1226"/>
      <c r="M153" s="589">
        <f t="shared" si="39"/>
        <v>103.87</v>
      </c>
      <c r="N153" s="589">
        <f t="shared" si="40"/>
        <v>109.63</v>
      </c>
      <c r="O153" s="589">
        <f t="shared" si="41"/>
        <v>90.73</v>
      </c>
      <c r="P153" s="584"/>
      <c r="Q153" s="589">
        <f t="shared" si="45"/>
        <v>0</v>
      </c>
      <c r="R153" s="589">
        <f t="shared" si="46"/>
        <v>0.29999999999999716</v>
      </c>
      <c r="S153" s="589">
        <f t="shared" si="47"/>
        <v>0.13000000000000966</v>
      </c>
      <c r="T153" s="1226"/>
      <c r="U153" s="589">
        <f t="shared" si="42"/>
        <v>105.43</v>
      </c>
      <c r="V153" s="589">
        <f t="shared" si="43"/>
        <v>110.8</v>
      </c>
      <c r="W153" s="589">
        <f t="shared" si="44"/>
        <v>90.87</v>
      </c>
      <c r="X153" s="588"/>
      <c r="Y153" s="589">
        <f t="shared" si="48"/>
        <v>-0.69999999999998863</v>
      </c>
      <c r="Z153" s="589">
        <f t="shared" si="49"/>
        <v>-0.21000000000000796</v>
      </c>
      <c r="AA153" s="590">
        <f t="shared" si="50"/>
        <v>0.1600000000000108</v>
      </c>
    </row>
    <row r="154" spans="1:27" s="501" customFormat="1">
      <c r="A154" s="483"/>
      <c r="B154" s="484" t="s">
        <v>141</v>
      </c>
      <c r="C154" s="485">
        <v>7</v>
      </c>
      <c r="D154" s="587">
        <v>103.7</v>
      </c>
      <c r="E154" s="587">
        <v>108.7</v>
      </c>
      <c r="F154" s="587">
        <v>90.2</v>
      </c>
      <c r="G154" s="588"/>
      <c r="H154" s="588">
        <v>100</v>
      </c>
      <c r="I154" s="584">
        <f t="shared" si="36"/>
        <v>-0.29999999999999716</v>
      </c>
      <c r="J154" s="584">
        <f t="shared" si="37"/>
        <v>-1.2999999999999972</v>
      </c>
      <c r="K154" s="584">
        <f t="shared" si="38"/>
        <v>-0.39999999999999147</v>
      </c>
      <c r="L154" s="1226"/>
      <c r="M154" s="589">
        <f t="shared" si="39"/>
        <v>104.37</v>
      </c>
      <c r="N154" s="589">
        <f t="shared" si="40"/>
        <v>110.13</v>
      </c>
      <c r="O154" s="589">
        <f t="shared" si="41"/>
        <v>90.53</v>
      </c>
      <c r="P154" s="584"/>
      <c r="Q154" s="589">
        <f t="shared" si="45"/>
        <v>0.5</v>
      </c>
      <c r="R154" s="589">
        <f t="shared" si="46"/>
        <v>0.5</v>
      </c>
      <c r="S154" s="589">
        <f t="shared" si="47"/>
        <v>-0.20000000000000284</v>
      </c>
      <c r="T154" s="1226"/>
      <c r="U154" s="589">
        <f t="shared" si="42"/>
        <v>104.71</v>
      </c>
      <c r="V154" s="589">
        <f t="shared" si="43"/>
        <v>110.17</v>
      </c>
      <c r="W154" s="589">
        <f t="shared" si="44"/>
        <v>90.7</v>
      </c>
      <c r="X154" s="588"/>
      <c r="Y154" s="589">
        <f t="shared" si="48"/>
        <v>-0.72000000000001307</v>
      </c>
      <c r="Z154" s="589">
        <f t="shared" si="49"/>
        <v>-0.62999999999999545</v>
      </c>
      <c r="AA154" s="590">
        <f t="shared" si="50"/>
        <v>-0.17000000000000171</v>
      </c>
    </row>
    <row r="155" spans="1:27" s="501" customFormat="1">
      <c r="A155" s="483"/>
      <c r="B155" s="484" t="s">
        <v>141</v>
      </c>
      <c r="C155" s="485">
        <v>8</v>
      </c>
      <c r="D155" s="587">
        <v>107.1</v>
      </c>
      <c r="E155" s="587">
        <v>114.1</v>
      </c>
      <c r="F155" s="587">
        <v>90.8</v>
      </c>
      <c r="G155" s="588"/>
      <c r="H155" s="588">
        <v>100</v>
      </c>
      <c r="I155" s="584">
        <f t="shared" si="36"/>
        <v>3.3999999999999915</v>
      </c>
      <c r="J155" s="584">
        <f t="shared" si="37"/>
        <v>5.3999999999999915</v>
      </c>
      <c r="K155" s="584">
        <f t="shared" si="38"/>
        <v>0.59999999999999432</v>
      </c>
      <c r="L155" s="1226"/>
      <c r="M155" s="589">
        <f t="shared" si="39"/>
        <v>104.93</v>
      </c>
      <c r="N155" s="589">
        <f t="shared" si="40"/>
        <v>110.93</v>
      </c>
      <c r="O155" s="589">
        <f t="shared" si="41"/>
        <v>90.53</v>
      </c>
      <c r="P155" s="584"/>
      <c r="Q155" s="589">
        <f t="shared" si="45"/>
        <v>0.56000000000000227</v>
      </c>
      <c r="R155" s="589">
        <f t="shared" si="46"/>
        <v>0.80000000000001137</v>
      </c>
      <c r="S155" s="589">
        <f t="shared" si="47"/>
        <v>0</v>
      </c>
      <c r="T155" s="1226"/>
      <c r="U155" s="589">
        <f t="shared" si="42"/>
        <v>104.47</v>
      </c>
      <c r="V155" s="589">
        <f t="shared" si="43"/>
        <v>110.4</v>
      </c>
      <c r="W155" s="589">
        <f t="shared" si="44"/>
        <v>90.4</v>
      </c>
      <c r="X155" s="588"/>
      <c r="Y155" s="589">
        <f t="shared" si="48"/>
        <v>-0.23999999999999488</v>
      </c>
      <c r="Z155" s="589">
        <f t="shared" si="49"/>
        <v>0.23000000000000398</v>
      </c>
      <c r="AA155" s="590">
        <f t="shared" si="50"/>
        <v>-0.29999999999999716</v>
      </c>
    </row>
    <row r="156" spans="1:27" s="501" customFormat="1">
      <c r="A156" s="483"/>
      <c r="B156" s="484" t="s">
        <v>141</v>
      </c>
      <c r="C156" s="485">
        <v>9</v>
      </c>
      <c r="D156" s="587">
        <v>110.4</v>
      </c>
      <c r="E156" s="587">
        <v>112.3</v>
      </c>
      <c r="F156" s="587">
        <v>90.5</v>
      </c>
      <c r="G156" s="588"/>
      <c r="H156" s="588">
        <v>100</v>
      </c>
      <c r="I156" s="584">
        <f t="shared" si="36"/>
        <v>3.3000000000000114</v>
      </c>
      <c r="J156" s="584">
        <f t="shared" si="37"/>
        <v>-1.7999999999999972</v>
      </c>
      <c r="K156" s="584">
        <f t="shared" si="38"/>
        <v>-0.29999999999999716</v>
      </c>
      <c r="L156" s="1226"/>
      <c r="M156" s="589">
        <f t="shared" si="39"/>
        <v>107.07</v>
      </c>
      <c r="N156" s="589">
        <f t="shared" si="40"/>
        <v>111.7</v>
      </c>
      <c r="O156" s="589">
        <f t="shared" si="41"/>
        <v>90.5</v>
      </c>
      <c r="P156" s="584"/>
      <c r="Q156" s="589">
        <f t="shared" si="45"/>
        <v>2.1399999999999864</v>
      </c>
      <c r="R156" s="589">
        <f t="shared" si="46"/>
        <v>0.76999999999999602</v>
      </c>
      <c r="S156" s="589">
        <f t="shared" si="47"/>
        <v>-3.0000000000001137E-2</v>
      </c>
      <c r="T156" s="1226"/>
      <c r="U156" s="589">
        <f t="shared" si="42"/>
        <v>105.26</v>
      </c>
      <c r="V156" s="589">
        <f t="shared" si="43"/>
        <v>110.44</v>
      </c>
      <c r="W156" s="589">
        <f t="shared" si="44"/>
        <v>90.56</v>
      </c>
      <c r="X156" s="588"/>
      <c r="Y156" s="589">
        <f t="shared" si="48"/>
        <v>0.79000000000000625</v>
      </c>
      <c r="Z156" s="589">
        <f t="shared" si="49"/>
        <v>3.9999999999992042E-2</v>
      </c>
      <c r="AA156" s="590">
        <f t="shared" si="50"/>
        <v>0.15999999999999659</v>
      </c>
    </row>
    <row r="157" spans="1:27" s="501" customFormat="1">
      <c r="A157" s="483"/>
      <c r="B157" s="484" t="s">
        <v>141</v>
      </c>
      <c r="C157" s="485">
        <v>10</v>
      </c>
      <c r="D157" s="587">
        <v>110.9</v>
      </c>
      <c r="E157" s="587">
        <v>118</v>
      </c>
      <c r="F157" s="587">
        <v>91.2</v>
      </c>
      <c r="G157" s="588"/>
      <c r="H157" s="588">
        <v>100</v>
      </c>
      <c r="I157" s="584">
        <f t="shared" si="36"/>
        <v>0.5</v>
      </c>
      <c r="J157" s="584">
        <f t="shared" si="37"/>
        <v>5.7000000000000028</v>
      </c>
      <c r="K157" s="584">
        <f t="shared" si="38"/>
        <v>0.70000000000000284</v>
      </c>
      <c r="L157" s="1226"/>
      <c r="M157" s="589">
        <f t="shared" si="39"/>
        <v>109.47</v>
      </c>
      <c r="N157" s="589">
        <f t="shared" si="40"/>
        <v>114.8</v>
      </c>
      <c r="O157" s="589">
        <f t="shared" si="41"/>
        <v>90.83</v>
      </c>
      <c r="P157" s="584"/>
      <c r="Q157" s="589">
        <f t="shared" si="45"/>
        <v>2.4000000000000057</v>
      </c>
      <c r="R157" s="589">
        <f t="shared" si="46"/>
        <v>3.0999999999999943</v>
      </c>
      <c r="S157" s="589">
        <f t="shared" si="47"/>
        <v>0.32999999999999829</v>
      </c>
      <c r="T157" s="1226"/>
      <c r="U157" s="589">
        <f t="shared" si="42"/>
        <v>106.24</v>
      </c>
      <c r="V157" s="589">
        <f t="shared" si="43"/>
        <v>111.71</v>
      </c>
      <c r="W157" s="589">
        <f t="shared" si="44"/>
        <v>90.7</v>
      </c>
      <c r="X157" s="588"/>
      <c r="Y157" s="589">
        <f t="shared" si="48"/>
        <v>0.97999999999998977</v>
      </c>
      <c r="Z157" s="589">
        <f t="shared" si="49"/>
        <v>1.269999999999996</v>
      </c>
      <c r="AA157" s="590">
        <f t="shared" si="50"/>
        <v>0.14000000000000057</v>
      </c>
    </row>
    <row r="158" spans="1:27" s="501" customFormat="1">
      <c r="A158" s="483"/>
      <c r="B158" s="484" t="s">
        <v>141</v>
      </c>
      <c r="C158" s="485">
        <v>11</v>
      </c>
      <c r="D158" s="587">
        <v>114.9</v>
      </c>
      <c r="E158" s="587">
        <v>122.7</v>
      </c>
      <c r="F158" s="587">
        <v>91.4</v>
      </c>
      <c r="G158" s="588"/>
      <c r="H158" s="588">
        <v>100</v>
      </c>
      <c r="I158" s="584">
        <f t="shared" si="36"/>
        <v>4</v>
      </c>
      <c r="J158" s="584">
        <f t="shared" si="37"/>
        <v>4.7000000000000028</v>
      </c>
      <c r="K158" s="584">
        <f t="shared" si="38"/>
        <v>0.20000000000000284</v>
      </c>
      <c r="L158" s="1226"/>
      <c r="M158" s="589">
        <f t="shared" si="39"/>
        <v>112.07</v>
      </c>
      <c r="N158" s="589">
        <f t="shared" si="40"/>
        <v>117.67</v>
      </c>
      <c r="O158" s="589">
        <f t="shared" si="41"/>
        <v>91.03</v>
      </c>
      <c r="P158" s="584"/>
      <c r="Q158" s="589">
        <f t="shared" si="45"/>
        <v>2.5999999999999943</v>
      </c>
      <c r="R158" s="589">
        <f t="shared" si="46"/>
        <v>2.8700000000000045</v>
      </c>
      <c r="S158" s="589">
        <f t="shared" si="47"/>
        <v>0.20000000000000284</v>
      </c>
      <c r="T158" s="1226"/>
      <c r="U158" s="589">
        <f t="shared" si="42"/>
        <v>108.06</v>
      </c>
      <c r="V158" s="589">
        <f t="shared" si="43"/>
        <v>113.93</v>
      </c>
      <c r="W158" s="589">
        <f t="shared" si="44"/>
        <v>90.79</v>
      </c>
      <c r="X158" s="588"/>
      <c r="Y158" s="589">
        <f t="shared" si="48"/>
        <v>1.8200000000000074</v>
      </c>
      <c r="Z158" s="589">
        <f t="shared" si="49"/>
        <v>2.2200000000000131</v>
      </c>
      <c r="AA158" s="590">
        <f t="shared" si="50"/>
        <v>9.0000000000003411E-2</v>
      </c>
    </row>
    <row r="159" spans="1:27" s="501" customFormat="1">
      <c r="A159" s="495"/>
      <c r="B159" s="496" t="s">
        <v>141</v>
      </c>
      <c r="C159" s="497">
        <v>12</v>
      </c>
      <c r="D159" s="601">
        <v>115.9</v>
      </c>
      <c r="E159" s="601">
        <v>122.3</v>
      </c>
      <c r="F159" s="601">
        <v>91.7</v>
      </c>
      <c r="G159" s="602"/>
      <c r="H159" s="602">
        <v>100</v>
      </c>
      <c r="I159" s="603">
        <f t="shared" si="36"/>
        <v>1</v>
      </c>
      <c r="J159" s="603">
        <f t="shared" si="37"/>
        <v>-0.40000000000000568</v>
      </c>
      <c r="K159" s="603">
        <f t="shared" si="38"/>
        <v>0.29999999999999716</v>
      </c>
      <c r="L159" s="1229"/>
      <c r="M159" s="594">
        <f t="shared" si="39"/>
        <v>113.9</v>
      </c>
      <c r="N159" s="594">
        <f t="shared" si="40"/>
        <v>121</v>
      </c>
      <c r="O159" s="594">
        <f t="shared" si="41"/>
        <v>91.43</v>
      </c>
      <c r="P159" s="603"/>
      <c r="Q159" s="589">
        <f t="shared" si="45"/>
        <v>1.8300000000000125</v>
      </c>
      <c r="R159" s="589">
        <f t="shared" si="46"/>
        <v>3.3299999999999983</v>
      </c>
      <c r="S159" s="589">
        <f t="shared" si="47"/>
        <v>0.40000000000000568</v>
      </c>
      <c r="T159" s="1229"/>
      <c r="U159" s="604">
        <f t="shared" si="42"/>
        <v>109.56</v>
      </c>
      <c r="V159" s="604">
        <f t="shared" si="43"/>
        <v>115.44</v>
      </c>
      <c r="W159" s="604">
        <f t="shared" si="44"/>
        <v>90.91</v>
      </c>
      <c r="X159" s="602"/>
      <c r="Y159" s="604">
        <f t="shared" si="48"/>
        <v>1.5</v>
      </c>
      <c r="Z159" s="604">
        <f t="shared" si="49"/>
        <v>1.5099999999999909</v>
      </c>
      <c r="AA159" s="605">
        <f t="shared" si="50"/>
        <v>0.11999999999999034</v>
      </c>
    </row>
    <row r="160" spans="1:27" s="501" customFormat="1">
      <c r="A160" s="479">
        <v>18</v>
      </c>
      <c r="B160" s="992" t="s">
        <v>666</v>
      </c>
      <c r="C160" s="481">
        <v>1</v>
      </c>
      <c r="D160" s="581">
        <v>121.4</v>
      </c>
      <c r="E160" s="581">
        <v>125.7</v>
      </c>
      <c r="F160" s="581">
        <v>93.1</v>
      </c>
      <c r="G160" s="582"/>
      <c r="H160" s="582">
        <v>100</v>
      </c>
      <c r="I160" s="583">
        <f t="shared" si="36"/>
        <v>5.5</v>
      </c>
      <c r="J160" s="583">
        <f t="shared" si="37"/>
        <v>3.4000000000000057</v>
      </c>
      <c r="K160" s="583">
        <f t="shared" si="38"/>
        <v>1.3999999999999915</v>
      </c>
      <c r="L160" s="1225"/>
      <c r="M160" s="599">
        <f t="shared" ref="M160:M191" si="51">ROUND(AVERAGE(D158:D160),2)</f>
        <v>117.4</v>
      </c>
      <c r="N160" s="599">
        <f t="shared" ref="N160:N191" si="52">ROUND(AVERAGE(E158:E160),2)</f>
        <v>123.57</v>
      </c>
      <c r="O160" s="599">
        <f t="shared" ref="O160:O191" si="53">ROUND(AVERAGE(F158:F160),2)</f>
        <v>92.07</v>
      </c>
      <c r="P160" s="583"/>
      <c r="Q160" s="589">
        <f t="shared" si="45"/>
        <v>3.5</v>
      </c>
      <c r="R160" s="589">
        <f t="shared" si="46"/>
        <v>2.5699999999999932</v>
      </c>
      <c r="S160" s="589">
        <f t="shared" si="47"/>
        <v>0.63999999999998636</v>
      </c>
      <c r="T160" s="1225"/>
      <c r="U160" s="585">
        <f t="shared" ref="U160:U191" si="54">ROUND(AVERAGE(D154:D160),2)</f>
        <v>112.04</v>
      </c>
      <c r="V160" s="585">
        <f t="shared" ref="V160:V191" si="55">ROUND(AVERAGE(E154:E160),2)</f>
        <v>117.69</v>
      </c>
      <c r="W160" s="585">
        <f t="shared" ref="W160:W191" si="56">ROUND(AVERAGE(F154:F160),2)</f>
        <v>91.27</v>
      </c>
      <c r="X160" s="582"/>
      <c r="Y160" s="585">
        <f t="shared" si="48"/>
        <v>2.480000000000004</v>
      </c>
      <c r="Z160" s="585">
        <f t="shared" si="49"/>
        <v>2.25</v>
      </c>
      <c r="AA160" s="586">
        <f t="shared" si="50"/>
        <v>0.35999999999999943</v>
      </c>
    </row>
    <row r="161" spans="1:27" s="501" customFormat="1">
      <c r="A161" s="483"/>
      <c r="B161" s="484" t="s">
        <v>141</v>
      </c>
      <c r="C161" s="485">
        <v>2</v>
      </c>
      <c r="D161" s="587">
        <v>116.8</v>
      </c>
      <c r="E161" s="587">
        <v>127</v>
      </c>
      <c r="F161" s="587">
        <v>94.1</v>
      </c>
      <c r="G161" s="588"/>
      <c r="H161" s="588">
        <v>100</v>
      </c>
      <c r="I161" s="584">
        <f t="shared" si="36"/>
        <v>-4.6000000000000085</v>
      </c>
      <c r="J161" s="584">
        <f t="shared" si="37"/>
        <v>1.2999999999999972</v>
      </c>
      <c r="K161" s="584">
        <f t="shared" si="38"/>
        <v>1</v>
      </c>
      <c r="L161" s="1226"/>
      <c r="M161" s="589">
        <f t="shared" si="51"/>
        <v>118.03</v>
      </c>
      <c r="N161" s="589">
        <f t="shared" si="52"/>
        <v>125</v>
      </c>
      <c r="O161" s="589">
        <f t="shared" si="53"/>
        <v>92.97</v>
      </c>
      <c r="P161" s="584"/>
      <c r="Q161" s="589">
        <f t="shared" si="45"/>
        <v>0.62999999999999545</v>
      </c>
      <c r="R161" s="589">
        <f t="shared" si="46"/>
        <v>1.4300000000000068</v>
      </c>
      <c r="S161" s="589">
        <f t="shared" si="47"/>
        <v>0.90000000000000568</v>
      </c>
      <c r="T161" s="1226"/>
      <c r="U161" s="589">
        <f t="shared" si="54"/>
        <v>113.91</v>
      </c>
      <c r="V161" s="589">
        <f t="shared" si="55"/>
        <v>120.3</v>
      </c>
      <c r="W161" s="589">
        <f t="shared" si="56"/>
        <v>91.83</v>
      </c>
      <c r="X161" s="588"/>
      <c r="Y161" s="589">
        <f t="shared" si="48"/>
        <v>1.8699999999999903</v>
      </c>
      <c r="Z161" s="589">
        <f t="shared" si="49"/>
        <v>2.6099999999999994</v>
      </c>
      <c r="AA161" s="590">
        <f t="shared" si="50"/>
        <v>0.56000000000000227</v>
      </c>
    </row>
    <row r="162" spans="1:27" s="501" customFormat="1">
      <c r="A162" s="483"/>
      <c r="B162" s="484" t="s">
        <v>141</v>
      </c>
      <c r="C162" s="485">
        <v>3</v>
      </c>
      <c r="D162" s="587">
        <v>118.1</v>
      </c>
      <c r="E162" s="587">
        <v>127.9</v>
      </c>
      <c r="F162" s="587">
        <v>96.3</v>
      </c>
      <c r="G162" s="588"/>
      <c r="H162" s="588">
        <v>100</v>
      </c>
      <c r="I162" s="584">
        <f t="shared" si="36"/>
        <v>1.2999999999999972</v>
      </c>
      <c r="J162" s="584">
        <f t="shared" si="37"/>
        <v>0.90000000000000568</v>
      </c>
      <c r="K162" s="584">
        <f t="shared" si="38"/>
        <v>2.2000000000000028</v>
      </c>
      <c r="L162" s="1226"/>
      <c r="M162" s="589">
        <f t="shared" si="51"/>
        <v>118.77</v>
      </c>
      <c r="N162" s="589">
        <f t="shared" si="52"/>
        <v>126.87</v>
      </c>
      <c r="O162" s="589">
        <f t="shared" si="53"/>
        <v>94.5</v>
      </c>
      <c r="P162" s="584"/>
      <c r="Q162" s="589">
        <f t="shared" si="45"/>
        <v>0.73999999999999488</v>
      </c>
      <c r="R162" s="589">
        <f t="shared" si="46"/>
        <v>1.8700000000000045</v>
      </c>
      <c r="S162" s="589">
        <f t="shared" si="47"/>
        <v>1.5300000000000011</v>
      </c>
      <c r="T162" s="1226"/>
      <c r="U162" s="589">
        <f t="shared" si="54"/>
        <v>115.49</v>
      </c>
      <c r="V162" s="589">
        <f t="shared" si="55"/>
        <v>122.27</v>
      </c>
      <c r="W162" s="589">
        <f t="shared" si="56"/>
        <v>92.61</v>
      </c>
      <c r="X162" s="588"/>
      <c r="Y162" s="589">
        <f t="shared" si="48"/>
        <v>1.5799999999999983</v>
      </c>
      <c r="Z162" s="589">
        <f t="shared" si="49"/>
        <v>1.9699999999999989</v>
      </c>
      <c r="AA162" s="590">
        <f t="shared" si="50"/>
        <v>0.78000000000000114</v>
      </c>
    </row>
    <row r="163" spans="1:27" s="501" customFormat="1">
      <c r="A163" s="483"/>
      <c r="B163" s="484" t="s">
        <v>141</v>
      </c>
      <c r="C163" s="485">
        <v>4</v>
      </c>
      <c r="D163" s="587">
        <v>119.6</v>
      </c>
      <c r="E163" s="587">
        <v>132.9</v>
      </c>
      <c r="F163" s="587">
        <v>97.1</v>
      </c>
      <c r="G163" s="588"/>
      <c r="H163" s="588">
        <v>100</v>
      </c>
      <c r="I163" s="584">
        <f t="shared" si="36"/>
        <v>1.5</v>
      </c>
      <c r="J163" s="584">
        <f t="shared" si="37"/>
        <v>5</v>
      </c>
      <c r="K163" s="584">
        <f t="shared" si="38"/>
        <v>0.79999999999999716</v>
      </c>
      <c r="L163" s="1226"/>
      <c r="M163" s="589">
        <f t="shared" si="51"/>
        <v>118.17</v>
      </c>
      <c r="N163" s="589">
        <f t="shared" si="52"/>
        <v>129.27000000000001</v>
      </c>
      <c r="O163" s="589">
        <f t="shared" si="53"/>
        <v>95.83</v>
      </c>
      <c r="P163" s="584"/>
      <c r="Q163" s="589">
        <f t="shared" si="45"/>
        <v>-0.59999999999999432</v>
      </c>
      <c r="R163" s="589">
        <f t="shared" si="46"/>
        <v>2.4000000000000057</v>
      </c>
      <c r="S163" s="589">
        <f t="shared" si="47"/>
        <v>1.3299999999999983</v>
      </c>
      <c r="T163" s="1226"/>
      <c r="U163" s="589">
        <f t="shared" si="54"/>
        <v>116.8</v>
      </c>
      <c r="V163" s="589">
        <f t="shared" si="55"/>
        <v>125.21</v>
      </c>
      <c r="W163" s="589">
        <f t="shared" si="56"/>
        <v>93.56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130.6</v>
      </c>
      <c r="F164" s="587">
        <v>97.4</v>
      </c>
      <c r="G164" s="588"/>
      <c r="H164" s="588">
        <v>100</v>
      </c>
      <c r="I164" s="584">
        <f t="shared" si="36"/>
        <v>0.90000000000000568</v>
      </c>
      <c r="J164" s="584">
        <f t="shared" si="37"/>
        <v>-2.3000000000000114</v>
      </c>
      <c r="K164" s="584">
        <f t="shared" si="38"/>
        <v>0.30000000000001137</v>
      </c>
      <c r="L164" s="1226"/>
      <c r="M164" s="589">
        <f t="shared" si="51"/>
        <v>119.4</v>
      </c>
      <c r="N164" s="589">
        <f t="shared" si="52"/>
        <v>130.47</v>
      </c>
      <c r="O164" s="589">
        <f t="shared" si="53"/>
        <v>96.93</v>
      </c>
      <c r="P164" s="584"/>
      <c r="Q164" s="589">
        <f t="shared" si="45"/>
        <v>1.230000000000004</v>
      </c>
      <c r="R164" s="589">
        <f t="shared" si="46"/>
        <v>1.1999999999999886</v>
      </c>
      <c r="S164" s="589">
        <f t="shared" si="47"/>
        <v>1.1000000000000085</v>
      </c>
      <c r="T164" s="1226"/>
      <c r="U164" s="589">
        <f t="shared" si="54"/>
        <v>118.17</v>
      </c>
      <c r="V164" s="589">
        <f t="shared" si="55"/>
        <v>127.01</v>
      </c>
      <c r="W164" s="589">
        <f t="shared" si="56"/>
        <v>94.44</v>
      </c>
      <c r="X164" s="588"/>
      <c r="Y164" s="589">
        <f t="shared" si="48"/>
        <v>1.3700000000000045</v>
      </c>
      <c r="Z164" s="589">
        <f t="shared" si="49"/>
        <v>1.8000000000000114</v>
      </c>
      <c r="AA164" s="590">
        <f t="shared" si="50"/>
        <v>0.87999999999999545</v>
      </c>
    </row>
    <row r="165" spans="1:27" s="501" customFormat="1">
      <c r="A165" s="483"/>
      <c r="B165" s="484" t="s">
        <v>141</v>
      </c>
      <c r="C165" s="485">
        <v>6</v>
      </c>
      <c r="D165" s="587">
        <v>122.2</v>
      </c>
      <c r="E165" s="587">
        <v>134</v>
      </c>
      <c r="F165" s="587">
        <v>95.4</v>
      </c>
      <c r="G165" s="588"/>
      <c r="H165" s="588">
        <v>100</v>
      </c>
      <c r="I165" s="584">
        <f t="shared" si="36"/>
        <v>1.7000000000000028</v>
      </c>
      <c r="J165" s="584">
        <f t="shared" si="37"/>
        <v>3.4000000000000057</v>
      </c>
      <c r="K165" s="584">
        <f t="shared" si="38"/>
        <v>-2</v>
      </c>
      <c r="L165" s="1226"/>
      <c r="M165" s="589">
        <f t="shared" si="51"/>
        <v>120.77</v>
      </c>
      <c r="N165" s="589">
        <f t="shared" si="52"/>
        <v>132.5</v>
      </c>
      <c r="O165" s="589">
        <f t="shared" si="53"/>
        <v>96.63</v>
      </c>
      <c r="P165" s="584"/>
      <c r="Q165" s="589">
        <f t="shared" si="45"/>
        <v>1.3699999999999903</v>
      </c>
      <c r="R165" s="589">
        <f t="shared" si="46"/>
        <v>2.0300000000000011</v>
      </c>
      <c r="S165" s="589">
        <f t="shared" si="47"/>
        <v>-0.30000000000001137</v>
      </c>
      <c r="T165" s="1226"/>
      <c r="U165" s="589">
        <f t="shared" si="54"/>
        <v>119.21</v>
      </c>
      <c r="V165" s="589">
        <f t="shared" si="55"/>
        <v>128.63</v>
      </c>
      <c r="W165" s="589">
        <f t="shared" si="56"/>
        <v>95.01</v>
      </c>
      <c r="X165" s="588"/>
      <c r="Y165" s="589">
        <f t="shared" si="48"/>
        <v>1.039999999999992</v>
      </c>
      <c r="Z165" s="589">
        <f t="shared" si="49"/>
        <v>1.6199999999999903</v>
      </c>
      <c r="AA165" s="590">
        <f t="shared" si="50"/>
        <v>0.57000000000000739</v>
      </c>
    </row>
    <row r="166" spans="1:27" s="501" customFormat="1">
      <c r="A166" s="483"/>
      <c r="B166" s="484" t="s">
        <v>141</v>
      </c>
      <c r="C166" s="485">
        <v>7</v>
      </c>
      <c r="D166" s="587">
        <v>122.9</v>
      </c>
      <c r="E166" s="587">
        <v>136.1</v>
      </c>
      <c r="F166" s="587">
        <v>95.8</v>
      </c>
      <c r="G166" s="588"/>
      <c r="H166" s="588">
        <v>100</v>
      </c>
      <c r="I166" s="584">
        <f t="shared" si="36"/>
        <v>0.70000000000000284</v>
      </c>
      <c r="J166" s="584">
        <f t="shared" si="37"/>
        <v>2.0999999999999943</v>
      </c>
      <c r="K166" s="584">
        <f t="shared" si="38"/>
        <v>0.39999999999999147</v>
      </c>
      <c r="L166" s="1226"/>
      <c r="M166" s="589">
        <f t="shared" si="51"/>
        <v>121.87</v>
      </c>
      <c r="N166" s="589">
        <f t="shared" si="52"/>
        <v>133.57</v>
      </c>
      <c r="O166" s="589">
        <f t="shared" si="53"/>
        <v>96.2</v>
      </c>
      <c r="P166" s="584"/>
      <c r="Q166" s="589">
        <f t="shared" si="45"/>
        <v>1.1000000000000085</v>
      </c>
      <c r="R166" s="589">
        <f t="shared" si="46"/>
        <v>1.0699999999999932</v>
      </c>
      <c r="S166" s="589">
        <f t="shared" si="47"/>
        <v>-0.42999999999999261</v>
      </c>
      <c r="T166" s="1226"/>
      <c r="U166" s="589">
        <f t="shared" si="54"/>
        <v>120.21</v>
      </c>
      <c r="V166" s="589">
        <f t="shared" si="55"/>
        <v>130.6</v>
      </c>
      <c r="W166" s="589">
        <f t="shared" si="56"/>
        <v>95.6</v>
      </c>
      <c r="X166" s="588"/>
      <c r="Y166" s="589">
        <f t="shared" si="48"/>
        <v>1</v>
      </c>
      <c r="Z166" s="589">
        <f t="shared" si="49"/>
        <v>1.9699999999999989</v>
      </c>
      <c r="AA166" s="590">
        <f t="shared" si="50"/>
        <v>0.5899999999999892</v>
      </c>
    </row>
    <row r="167" spans="1:27" s="501" customFormat="1">
      <c r="A167" s="483"/>
      <c r="B167" s="484" t="s">
        <v>141</v>
      </c>
      <c r="C167" s="485">
        <v>8</v>
      </c>
      <c r="D167" s="587">
        <v>122.5</v>
      </c>
      <c r="E167" s="587">
        <v>133.9</v>
      </c>
      <c r="F167" s="587">
        <v>97.2</v>
      </c>
      <c r="G167" s="588"/>
      <c r="H167" s="588">
        <v>100</v>
      </c>
      <c r="I167" s="584">
        <f t="shared" si="36"/>
        <v>-0.40000000000000568</v>
      </c>
      <c r="J167" s="584">
        <f t="shared" si="37"/>
        <v>-2.1999999999999886</v>
      </c>
      <c r="K167" s="584">
        <f t="shared" si="38"/>
        <v>1.4000000000000057</v>
      </c>
      <c r="L167" s="1226"/>
      <c r="M167" s="589">
        <f t="shared" si="51"/>
        <v>122.53</v>
      </c>
      <c r="N167" s="589">
        <f t="shared" si="52"/>
        <v>134.66999999999999</v>
      </c>
      <c r="O167" s="589">
        <f t="shared" si="53"/>
        <v>96.13</v>
      </c>
      <c r="P167" s="584"/>
      <c r="Q167" s="589">
        <f t="shared" si="45"/>
        <v>0.65999999999999659</v>
      </c>
      <c r="R167" s="589">
        <f t="shared" si="46"/>
        <v>1.0999999999999943</v>
      </c>
      <c r="S167" s="589">
        <f t="shared" si="47"/>
        <v>-7.000000000000739E-2</v>
      </c>
      <c r="T167" s="1226"/>
      <c r="U167" s="589">
        <f t="shared" si="54"/>
        <v>120.37</v>
      </c>
      <c r="V167" s="589">
        <f t="shared" si="55"/>
        <v>131.77000000000001</v>
      </c>
      <c r="W167" s="589">
        <f t="shared" si="56"/>
        <v>96.19</v>
      </c>
      <c r="X167" s="588"/>
      <c r="Y167" s="589">
        <f t="shared" si="48"/>
        <v>0.1600000000000108</v>
      </c>
      <c r="Z167" s="589">
        <f t="shared" si="49"/>
        <v>1.1700000000000159</v>
      </c>
      <c r="AA167" s="590">
        <f t="shared" si="50"/>
        <v>0.59000000000000341</v>
      </c>
    </row>
    <row r="168" spans="1:27" s="501" customFormat="1">
      <c r="A168" s="483"/>
      <c r="B168" s="484" t="s">
        <v>141</v>
      </c>
      <c r="C168" s="485">
        <v>9</v>
      </c>
      <c r="D168" s="587">
        <v>121.9</v>
      </c>
      <c r="E168" s="587">
        <v>133.69999999999999</v>
      </c>
      <c r="F168" s="587">
        <v>99.4</v>
      </c>
      <c r="G168" s="588"/>
      <c r="H168" s="588">
        <v>100</v>
      </c>
      <c r="I168" s="584">
        <f t="shared" si="36"/>
        <v>-0.59999999999999432</v>
      </c>
      <c r="J168" s="584">
        <f t="shared" si="37"/>
        <v>-0.20000000000001705</v>
      </c>
      <c r="K168" s="584">
        <f t="shared" si="38"/>
        <v>2.2000000000000028</v>
      </c>
      <c r="L168" s="1226"/>
      <c r="M168" s="589">
        <f t="shared" si="51"/>
        <v>122.43</v>
      </c>
      <c r="N168" s="589">
        <f t="shared" si="52"/>
        <v>134.57</v>
      </c>
      <c r="O168" s="589">
        <f t="shared" si="53"/>
        <v>97.47</v>
      </c>
      <c r="P168" s="584"/>
      <c r="Q168" s="589">
        <f t="shared" si="45"/>
        <v>-9.9999999999994316E-2</v>
      </c>
      <c r="R168" s="589">
        <f t="shared" si="46"/>
        <v>-9.9999999999994316E-2</v>
      </c>
      <c r="S168" s="589">
        <f t="shared" si="47"/>
        <v>1.3400000000000034</v>
      </c>
      <c r="T168" s="1226"/>
      <c r="U168" s="589">
        <f t="shared" si="54"/>
        <v>121.1</v>
      </c>
      <c r="V168" s="589">
        <f t="shared" si="55"/>
        <v>132.72999999999999</v>
      </c>
      <c r="W168" s="589">
        <f t="shared" si="56"/>
        <v>96.94</v>
      </c>
      <c r="X168" s="588"/>
      <c r="Y168" s="589">
        <f t="shared" si="48"/>
        <v>0.72999999999998977</v>
      </c>
      <c r="Z168" s="589">
        <f t="shared" si="49"/>
        <v>0.95999999999997954</v>
      </c>
      <c r="AA168" s="590">
        <f t="shared" si="50"/>
        <v>0.75</v>
      </c>
    </row>
    <row r="169" spans="1:27" s="501" customFormat="1">
      <c r="A169" s="483"/>
      <c r="B169" s="484" t="s">
        <v>141</v>
      </c>
      <c r="C169" s="485">
        <v>10</v>
      </c>
      <c r="D169" s="587">
        <v>125.5</v>
      </c>
      <c r="E169" s="587">
        <v>139.30000000000001</v>
      </c>
      <c r="F169" s="587">
        <v>96.7</v>
      </c>
      <c r="G169" s="588"/>
      <c r="H169" s="588">
        <v>100</v>
      </c>
      <c r="I169" s="584">
        <f t="shared" si="36"/>
        <v>3.5999999999999943</v>
      </c>
      <c r="J169" s="584">
        <f t="shared" si="37"/>
        <v>5.6000000000000227</v>
      </c>
      <c r="K169" s="584">
        <f t="shared" si="38"/>
        <v>-2.7000000000000028</v>
      </c>
      <c r="L169" s="1226"/>
      <c r="M169" s="589">
        <f t="shared" si="51"/>
        <v>123.3</v>
      </c>
      <c r="N169" s="589">
        <f t="shared" si="52"/>
        <v>135.63</v>
      </c>
      <c r="O169" s="589">
        <f t="shared" si="53"/>
        <v>97.77</v>
      </c>
      <c r="P169" s="584"/>
      <c r="Q169" s="589">
        <f t="shared" si="45"/>
        <v>0.86999999999999034</v>
      </c>
      <c r="R169" s="589">
        <f t="shared" si="46"/>
        <v>1.0600000000000023</v>
      </c>
      <c r="S169" s="589">
        <f t="shared" si="47"/>
        <v>0.29999999999999716</v>
      </c>
      <c r="T169" s="1226"/>
      <c r="U169" s="589">
        <f t="shared" si="54"/>
        <v>122.16</v>
      </c>
      <c r="V169" s="589">
        <f t="shared" si="55"/>
        <v>134.36000000000001</v>
      </c>
      <c r="W169" s="589">
        <f t="shared" si="56"/>
        <v>97</v>
      </c>
      <c r="X169" s="588"/>
      <c r="Y169" s="589">
        <f t="shared" si="48"/>
        <v>1.0600000000000023</v>
      </c>
      <c r="Z169" s="589">
        <f t="shared" si="49"/>
        <v>1.6300000000000239</v>
      </c>
      <c r="AA169" s="590">
        <f t="shared" si="50"/>
        <v>6.0000000000002274E-2</v>
      </c>
    </row>
    <row r="170" spans="1:27" s="501" customFormat="1">
      <c r="A170" s="483"/>
      <c r="B170" s="484" t="s">
        <v>141</v>
      </c>
      <c r="C170" s="485">
        <v>11</v>
      </c>
      <c r="D170" s="587">
        <v>130.9</v>
      </c>
      <c r="E170" s="587">
        <v>143.5</v>
      </c>
      <c r="F170" s="587">
        <v>99.3</v>
      </c>
      <c r="G170" s="588"/>
      <c r="H170" s="588">
        <v>100</v>
      </c>
      <c r="I170" s="584">
        <f t="shared" si="36"/>
        <v>5.4000000000000057</v>
      </c>
      <c r="J170" s="584">
        <f t="shared" si="37"/>
        <v>4.1999999999999886</v>
      </c>
      <c r="K170" s="584">
        <f t="shared" si="38"/>
        <v>2.5999999999999943</v>
      </c>
      <c r="L170" s="1226"/>
      <c r="M170" s="589">
        <f t="shared" si="51"/>
        <v>126.1</v>
      </c>
      <c r="N170" s="589">
        <f t="shared" si="52"/>
        <v>138.83000000000001</v>
      </c>
      <c r="O170" s="589">
        <f t="shared" si="53"/>
        <v>98.47</v>
      </c>
      <c r="P170" s="584"/>
      <c r="Q170" s="589">
        <f t="shared" si="45"/>
        <v>2.7999999999999972</v>
      </c>
      <c r="R170" s="589">
        <f t="shared" si="46"/>
        <v>3.2000000000000171</v>
      </c>
      <c r="S170" s="589">
        <f t="shared" si="47"/>
        <v>0.70000000000000284</v>
      </c>
      <c r="T170" s="1226"/>
      <c r="U170" s="589">
        <f t="shared" si="54"/>
        <v>123.77</v>
      </c>
      <c r="V170" s="589">
        <f t="shared" si="55"/>
        <v>135.87</v>
      </c>
      <c r="W170" s="589">
        <f t="shared" si="56"/>
        <v>97.31</v>
      </c>
      <c r="X170" s="588"/>
      <c r="Y170" s="589">
        <f t="shared" si="48"/>
        <v>1.6099999999999994</v>
      </c>
      <c r="Z170" s="589">
        <f t="shared" si="49"/>
        <v>1.5099999999999909</v>
      </c>
      <c r="AA170" s="590">
        <f t="shared" si="50"/>
        <v>0.31000000000000227</v>
      </c>
    </row>
    <row r="171" spans="1:27" s="501" customFormat="1">
      <c r="A171" s="487"/>
      <c r="B171" s="488" t="s">
        <v>141</v>
      </c>
      <c r="C171" s="489">
        <v>12</v>
      </c>
      <c r="D171" s="591">
        <v>128.6</v>
      </c>
      <c r="E171" s="591">
        <v>142.5</v>
      </c>
      <c r="F171" s="591">
        <v>102.5</v>
      </c>
      <c r="G171" s="592"/>
      <c r="H171" s="592">
        <v>100</v>
      </c>
      <c r="I171" s="593">
        <f t="shared" si="36"/>
        <v>-2.3000000000000114</v>
      </c>
      <c r="J171" s="593">
        <f t="shared" si="37"/>
        <v>-1</v>
      </c>
      <c r="K171" s="593">
        <f t="shared" si="38"/>
        <v>3.2000000000000028</v>
      </c>
      <c r="L171" s="1227"/>
      <c r="M171" s="604">
        <f t="shared" si="51"/>
        <v>128.33000000000001</v>
      </c>
      <c r="N171" s="604">
        <f t="shared" si="52"/>
        <v>141.77000000000001</v>
      </c>
      <c r="O171" s="604">
        <f t="shared" si="53"/>
        <v>99.5</v>
      </c>
      <c r="P171" s="593"/>
      <c r="Q171" s="589">
        <f t="shared" si="45"/>
        <v>2.2300000000000182</v>
      </c>
      <c r="R171" s="589">
        <f t="shared" si="46"/>
        <v>2.9399999999999977</v>
      </c>
      <c r="S171" s="589">
        <f t="shared" si="47"/>
        <v>1.0300000000000011</v>
      </c>
      <c r="T171" s="1227"/>
      <c r="U171" s="594">
        <f t="shared" si="54"/>
        <v>124.93</v>
      </c>
      <c r="V171" s="594">
        <f t="shared" si="55"/>
        <v>137.57</v>
      </c>
      <c r="W171" s="594">
        <f t="shared" si="56"/>
        <v>98.04</v>
      </c>
      <c r="X171" s="592"/>
      <c r="Y171" s="594">
        <f t="shared" si="48"/>
        <v>1.1600000000000108</v>
      </c>
      <c r="Z171" s="594">
        <f t="shared" si="49"/>
        <v>1.6999999999999886</v>
      </c>
      <c r="AA171" s="595">
        <f t="shared" si="50"/>
        <v>0.73000000000000398</v>
      </c>
    </row>
    <row r="172" spans="1:27" s="501" customFormat="1">
      <c r="A172" s="491">
        <v>19</v>
      </c>
      <c r="B172" s="993" t="s">
        <v>667</v>
      </c>
      <c r="C172" s="493">
        <v>1</v>
      </c>
      <c r="D172" s="596">
        <v>118.4</v>
      </c>
      <c r="E172" s="596">
        <v>146.19999999999999</v>
      </c>
      <c r="F172" s="596">
        <v>95.2</v>
      </c>
      <c r="G172" s="597"/>
      <c r="H172" s="597">
        <v>100</v>
      </c>
      <c r="I172" s="598">
        <f t="shared" si="36"/>
        <v>-10.199999999999989</v>
      </c>
      <c r="J172" s="598">
        <f t="shared" si="37"/>
        <v>3.6999999999999886</v>
      </c>
      <c r="K172" s="598">
        <f t="shared" si="38"/>
        <v>-7.2999999999999972</v>
      </c>
      <c r="L172" s="1228"/>
      <c r="M172" s="585">
        <f t="shared" si="51"/>
        <v>125.97</v>
      </c>
      <c r="N172" s="585">
        <f t="shared" si="52"/>
        <v>144.07</v>
      </c>
      <c r="O172" s="585">
        <f t="shared" si="53"/>
        <v>99</v>
      </c>
      <c r="P172" s="598"/>
      <c r="Q172" s="589">
        <f t="shared" si="45"/>
        <v>-2.3600000000000136</v>
      </c>
      <c r="R172" s="589">
        <f t="shared" si="46"/>
        <v>2.2999999999999829</v>
      </c>
      <c r="S172" s="589">
        <f t="shared" si="47"/>
        <v>-0.5</v>
      </c>
      <c r="T172" s="1228"/>
      <c r="U172" s="599">
        <f t="shared" si="54"/>
        <v>124.39</v>
      </c>
      <c r="V172" s="599">
        <f t="shared" si="55"/>
        <v>139.31</v>
      </c>
      <c r="W172" s="599">
        <f t="shared" si="56"/>
        <v>98.01</v>
      </c>
      <c r="X172" s="597"/>
      <c r="Y172" s="599">
        <f t="shared" si="48"/>
        <v>-0.54000000000000625</v>
      </c>
      <c r="Z172" s="599">
        <f t="shared" si="49"/>
        <v>1.7400000000000091</v>
      </c>
      <c r="AA172" s="600">
        <f t="shared" si="50"/>
        <v>-3.0000000000001137E-2</v>
      </c>
    </row>
    <row r="173" spans="1:27" s="501" customFormat="1">
      <c r="A173" s="483"/>
      <c r="B173" s="484" t="s">
        <v>141</v>
      </c>
      <c r="C173" s="485">
        <v>2</v>
      </c>
      <c r="D173" s="587">
        <v>123.8</v>
      </c>
      <c r="E173" s="587">
        <v>146.69999999999999</v>
      </c>
      <c r="F173" s="587">
        <v>95</v>
      </c>
      <c r="G173" s="588"/>
      <c r="H173" s="588">
        <v>100</v>
      </c>
      <c r="I173" s="584">
        <f t="shared" si="36"/>
        <v>5.3999999999999915</v>
      </c>
      <c r="J173" s="584">
        <f t="shared" si="37"/>
        <v>0.5</v>
      </c>
      <c r="K173" s="584">
        <f t="shared" si="38"/>
        <v>-0.20000000000000284</v>
      </c>
      <c r="L173" s="1226"/>
      <c r="M173" s="589">
        <f t="shared" si="51"/>
        <v>123.6</v>
      </c>
      <c r="N173" s="589">
        <f t="shared" si="52"/>
        <v>145.13</v>
      </c>
      <c r="O173" s="589">
        <f t="shared" si="53"/>
        <v>97.57</v>
      </c>
      <c r="P173" s="584"/>
      <c r="Q173" s="589">
        <f t="shared" si="45"/>
        <v>-2.3700000000000045</v>
      </c>
      <c r="R173" s="589">
        <f t="shared" si="46"/>
        <v>1.0600000000000023</v>
      </c>
      <c r="S173" s="589">
        <f t="shared" si="47"/>
        <v>-1.4300000000000068</v>
      </c>
      <c r="T173" s="1226"/>
      <c r="U173" s="589">
        <f t="shared" si="54"/>
        <v>124.51</v>
      </c>
      <c r="V173" s="589">
        <f t="shared" si="55"/>
        <v>140.83000000000001</v>
      </c>
      <c r="W173" s="589">
        <f t="shared" si="56"/>
        <v>97.9</v>
      </c>
      <c r="X173" s="588"/>
      <c r="Y173" s="589">
        <f t="shared" si="48"/>
        <v>0.12000000000000455</v>
      </c>
      <c r="Z173" s="589">
        <f t="shared" si="49"/>
        <v>1.5200000000000102</v>
      </c>
      <c r="AA173" s="590">
        <f t="shared" si="50"/>
        <v>-0.10999999999999943</v>
      </c>
    </row>
    <row r="174" spans="1:27" s="501" customFormat="1">
      <c r="A174" s="483"/>
      <c r="B174" s="484" t="s">
        <v>141</v>
      </c>
      <c r="C174" s="485">
        <v>3</v>
      </c>
      <c r="D174" s="587">
        <v>117.8</v>
      </c>
      <c r="E174" s="587">
        <v>143</v>
      </c>
      <c r="F174" s="587">
        <v>98.4</v>
      </c>
      <c r="G174" s="588"/>
      <c r="H174" s="588">
        <v>100</v>
      </c>
      <c r="I174" s="584">
        <f t="shared" si="36"/>
        <v>-6</v>
      </c>
      <c r="J174" s="584">
        <f t="shared" si="37"/>
        <v>-3.6999999999999886</v>
      </c>
      <c r="K174" s="584">
        <f t="shared" si="38"/>
        <v>3.4000000000000057</v>
      </c>
      <c r="L174" s="1226"/>
      <c r="M174" s="589">
        <f t="shared" si="51"/>
        <v>120</v>
      </c>
      <c r="N174" s="589">
        <f t="shared" si="52"/>
        <v>145.30000000000001</v>
      </c>
      <c r="O174" s="589">
        <f t="shared" si="53"/>
        <v>96.2</v>
      </c>
      <c r="P174" s="584"/>
      <c r="Q174" s="589">
        <f t="shared" si="45"/>
        <v>-3.5999999999999943</v>
      </c>
      <c r="R174" s="589">
        <f t="shared" si="46"/>
        <v>0.17000000000001592</v>
      </c>
      <c r="S174" s="589">
        <f t="shared" si="47"/>
        <v>-1.3699999999999903</v>
      </c>
      <c r="T174" s="1226"/>
      <c r="U174" s="589">
        <f t="shared" si="54"/>
        <v>123.84</v>
      </c>
      <c r="V174" s="589">
        <f t="shared" si="55"/>
        <v>142.13</v>
      </c>
      <c r="W174" s="589">
        <f t="shared" si="56"/>
        <v>98.07</v>
      </c>
      <c r="X174" s="588"/>
      <c r="Y174" s="589">
        <f t="shared" si="48"/>
        <v>-0.67000000000000171</v>
      </c>
      <c r="Z174" s="589">
        <f t="shared" si="49"/>
        <v>1.2999999999999829</v>
      </c>
      <c r="AA174" s="590">
        <f t="shared" si="50"/>
        <v>0.16999999999998749</v>
      </c>
    </row>
    <row r="175" spans="1:27" s="501" customFormat="1">
      <c r="A175" s="483"/>
      <c r="B175" s="484" t="s">
        <v>141</v>
      </c>
      <c r="C175" s="485">
        <v>4</v>
      </c>
      <c r="D175" s="587">
        <v>118.5</v>
      </c>
      <c r="E175" s="587">
        <v>143.6</v>
      </c>
      <c r="F175" s="587">
        <v>95.2</v>
      </c>
      <c r="G175" s="588"/>
      <c r="H175" s="588">
        <v>100</v>
      </c>
      <c r="I175" s="584">
        <f t="shared" si="36"/>
        <v>0.70000000000000284</v>
      </c>
      <c r="J175" s="584">
        <f t="shared" si="37"/>
        <v>0.59999999999999432</v>
      </c>
      <c r="K175" s="584">
        <f t="shared" si="38"/>
        <v>-3.2000000000000028</v>
      </c>
      <c r="L175" s="1226"/>
      <c r="M175" s="589">
        <f t="shared" si="51"/>
        <v>120.03</v>
      </c>
      <c r="N175" s="589">
        <f t="shared" si="52"/>
        <v>144.43</v>
      </c>
      <c r="O175" s="589">
        <f t="shared" si="53"/>
        <v>96.2</v>
      </c>
      <c r="P175" s="584"/>
      <c r="Q175" s="589">
        <f t="shared" si="45"/>
        <v>3.0000000000001137E-2</v>
      </c>
      <c r="R175" s="589">
        <f t="shared" si="46"/>
        <v>-0.87000000000000455</v>
      </c>
      <c r="S175" s="589">
        <f t="shared" si="47"/>
        <v>0</v>
      </c>
      <c r="T175" s="1226"/>
      <c r="U175" s="589">
        <f t="shared" si="54"/>
        <v>123.36</v>
      </c>
      <c r="V175" s="589">
        <f t="shared" si="55"/>
        <v>143.54</v>
      </c>
      <c r="W175" s="589">
        <f t="shared" si="56"/>
        <v>97.47</v>
      </c>
      <c r="X175" s="588"/>
      <c r="Y175" s="589">
        <f t="shared" si="48"/>
        <v>-0.48000000000000398</v>
      </c>
      <c r="Z175" s="589">
        <f t="shared" si="49"/>
        <v>1.4099999999999966</v>
      </c>
      <c r="AA175" s="590">
        <f t="shared" si="50"/>
        <v>-0.59999999999999432</v>
      </c>
    </row>
    <row r="176" spans="1:27" s="501" customFormat="1">
      <c r="A176" s="483"/>
      <c r="B176" s="484" t="s">
        <v>141</v>
      </c>
      <c r="C176" s="485">
        <v>5</v>
      </c>
      <c r="D176" s="587">
        <v>116.8</v>
      </c>
      <c r="E176" s="587">
        <v>143.19999999999999</v>
      </c>
      <c r="F176" s="587">
        <v>98.4</v>
      </c>
      <c r="G176" s="588"/>
      <c r="H176" s="588">
        <v>100</v>
      </c>
      <c r="I176" s="584">
        <f t="shared" si="36"/>
        <v>-1.7000000000000028</v>
      </c>
      <c r="J176" s="584">
        <f t="shared" si="37"/>
        <v>-0.40000000000000568</v>
      </c>
      <c r="K176" s="584">
        <f t="shared" si="38"/>
        <v>3.2000000000000028</v>
      </c>
      <c r="L176" s="1226"/>
      <c r="M176" s="589">
        <f t="shared" si="51"/>
        <v>117.7</v>
      </c>
      <c r="N176" s="589">
        <f t="shared" si="52"/>
        <v>143.27000000000001</v>
      </c>
      <c r="O176" s="589">
        <f t="shared" si="53"/>
        <v>97.33</v>
      </c>
      <c r="P176" s="584"/>
      <c r="Q176" s="589">
        <f t="shared" si="45"/>
        <v>-2.3299999999999983</v>
      </c>
      <c r="R176" s="589">
        <f t="shared" si="46"/>
        <v>-1.1599999999999966</v>
      </c>
      <c r="S176" s="589">
        <f t="shared" si="47"/>
        <v>1.1299999999999955</v>
      </c>
      <c r="T176" s="1226"/>
      <c r="U176" s="589">
        <f t="shared" si="54"/>
        <v>122.11</v>
      </c>
      <c r="V176" s="589">
        <f t="shared" si="55"/>
        <v>144.1</v>
      </c>
      <c r="W176" s="589">
        <f t="shared" si="56"/>
        <v>97.71</v>
      </c>
      <c r="X176" s="588"/>
      <c r="Y176" s="589">
        <f t="shared" si="48"/>
        <v>-1.25</v>
      </c>
      <c r="Z176" s="589">
        <f t="shared" si="49"/>
        <v>0.56000000000000227</v>
      </c>
      <c r="AA176" s="590">
        <f t="shared" si="50"/>
        <v>0.23999999999999488</v>
      </c>
    </row>
    <row r="177" spans="1:27" s="501" customFormat="1">
      <c r="A177" s="483"/>
      <c r="B177" s="484" t="s">
        <v>141</v>
      </c>
      <c r="C177" s="485">
        <v>6</v>
      </c>
      <c r="D177" s="587">
        <v>122.1</v>
      </c>
      <c r="E177" s="587">
        <v>144.4</v>
      </c>
      <c r="F177" s="587">
        <v>99.7</v>
      </c>
      <c r="G177" s="588"/>
      <c r="H177" s="588">
        <v>100</v>
      </c>
      <c r="I177" s="584">
        <f t="shared" si="36"/>
        <v>5.2999999999999972</v>
      </c>
      <c r="J177" s="584">
        <f t="shared" si="37"/>
        <v>1.2000000000000171</v>
      </c>
      <c r="K177" s="584">
        <f t="shared" si="38"/>
        <v>1.2999999999999972</v>
      </c>
      <c r="L177" s="1226"/>
      <c r="M177" s="589">
        <f t="shared" si="51"/>
        <v>119.13</v>
      </c>
      <c r="N177" s="589">
        <f t="shared" si="52"/>
        <v>143.72999999999999</v>
      </c>
      <c r="O177" s="589">
        <f t="shared" si="53"/>
        <v>97.77</v>
      </c>
      <c r="P177" s="584"/>
      <c r="Q177" s="589">
        <f t="shared" si="45"/>
        <v>1.4299999999999926</v>
      </c>
      <c r="R177" s="589">
        <f t="shared" si="46"/>
        <v>0.45999999999997954</v>
      </c>
      <c r="S177" s="589">
        <f t="shared" si="47"/>
        <v>0.43999999999999773</v>
      </c>
      <c r="T177" s="1226"/>
      <c r="U177" s="589">
        <f t="shared" si="54"/>
        <v>120.86</v>
      </c>
      <c r="V177" s="589">
        <f t="shared" si="55"/>
        <v>144.22999999999999</v>
      </c>
      <c r="W177" s="589">
        <f t="shared" si="56"/>
        <v>97.77</v>
      </c>
      <c r="X177" s="588"/>
      <c r="Y177" s="589">
        <f t="shared" si="48"/>
        <v>-1.25</v>
      </c>
      <c r="Z177" s="589">
        <f t="shared" si="49"/>
        <v>0.12999999999999545</v>
      </c>
      <c r="AA177" s="590">
        <f t="shared" si="50"/>
        <v>6.0000000000002274E-2</v>
      </c>
    </row>
    <row r="178" spans="1:27" s="501" customFormat="1">
      <c r="A178" s="483"/>
      <c r="B178" s="484" t="s">
        <v>141</v>
      </c>
      <c r="C178" s="485">
        <v>7</v>
      </c>
      <c r="D178" s="587">
        <v>111.6</v>
      </c>
      <c r="E178" s="587">
        <v>146.1</v>
      </c>
      <c r="F178" s="587">
        <v>99.4</v>
      </c>
      <c r="G178" s="588"/>
      <c r="H178" s="588">
        <v>100</v>
      </c>
      <c r="I178" s="584">
        <f t="shared" si="36"/>
        <v>-10.5</v>
      </c>
      <c r="J178" s="584">
        <f t="shared" si="37"/>
        <v>1.6999999999999886</v>
      </c>
      <c r="K178" s="584">
        <f t="shared" si="38"/>
        <v>-0.29999999999999716</v>
      </c>
      <c r="L178" s="1226"/>
      <c r="M178" s="589">
        <f t="shared" si="51"/>
        <v>116.83</v>
      </c>
      <c r="N178" s="589">
        <f t="shared" si="52"/>
        <v>144.57</v>
      </c>
      <c r="O178" s="589">
        <f t="shared" si="53"/>
        <v>99.17</v>
      </c>
      <c r="P178" s="584"/>
      <c r="Q178" s="589">
        <f t="shared" si="45"/>
        <v>-2.2999999999999972</v>
      </c>
      <c r="R178" s="589">
        <f t="shared" si="46"/>
        <v>0.84000000000000341</v>
      </c>
      <c r="S178" s="589">
        <f t="shared" si="47"/>
        <v>1.4000000000000057</v>
      </c>
      <c r="T178" s="1226"/>
      <c r="U178" s="589">
        <f t="shared" si="54"/>
        <v>118.43</v>
      </c>
      <c r="V178" s="589">
        <f t="shared" si="55"/>
        <v>144.74</v>
      </c>
      <c r="W178" s="589">
        <f t="shared" si="56"/>
        <v>97.33</v>
      </c>
      <c r="X178" s="588"/>
      <c r="Y178" s="589">
        <f t="shared" si="48"/>
        <v>-2.4299999999999926</v>
      </c>
      <c r="Z178" s="589">
        <f t="shared" si="49"/>
        <v>0.51000000000001933</v>
      </c>
      <c r="AA178" s="590">
        <f t="shared" si="50"/>
        <v>-0.43999999999999773</v>
      </c>
    </row>
    <row r="179" spans="1:27" s="501" customFormat="1">
      <c r="A179" s="483"/>
      <c r="B179" s="484" t="s">
        <v>141</v>
      </c>
      <c r="C179" s="485">
        <v>8</v>
      </c>
      <c r="D179" s="587">
        <v>115.8</v>
      </c>
      <c r="E179" s="587">
        <v>145.6</v>
      </c>
      <c r="F179" s="587">
        <v>99.9</v>
      </c>
      <c r="G179" s="588"/>
      <c r="H179" s="588">
        <v>100</v>
      </c>
      <c r="I179" s="584">
        <f t="shared" si="36"/>
        <v>4.2000000000000028</v>
      </c>
      <c r="J179" s="584">
        <f t="shared" si="37"/>
        <v>-0.5</v>
      </c>
      <c r="K179" s="584">
        <f t="shared" si="38"/>
        <v>0.5</v>
      </c>
      <c r="L179" s="1226"/>
      <c r="M179" s="589">
        <f t="shared" si="51"/>
        <v>116.5</v>
      </c>
      <c r="N179" s="589">
        <f t="shared" si="52"/>
        <v>145.37</v>
      </c>
      <c r="O179" s="589">
        <f t="shared" si="53"/>
        <v>99.67</v>
      </c>
      <c r="P179" s="584"/>
      <c r="Q179" s="589">
        <f t="shared" si="45"/>
        <v>-0.32999999999999829</v>
      </c>
      <c r="R179" s="589">
        <f t="shared" si="46"/>
        <v>0.80000000000001137</v>
      </c>
      <c r="S179" s="589">
        <f t="shared" si="47"/>
        <v>0.5</v>
      </c>
      <c r="T179" s="1226"/>
      <c r="U179" s="589">
        <f t="shared" si="54"/>
        <v>118.06</v>
      </c>
      <c r="V179" s="589">
        <f t="shared" si="55"/>
        <v>144.66</v>
      </c>
      <c r="W179" s="589">
        <f t="shared" si="56"/>
        <v>98</v>
      </c>
      <c r="X179" s="588"/>
      <c r="Y179" s="589">
        <f t="shared" si="48"/>
        <v>-0.37000000000000455</v>
      </c>
      <c r="Z179" s="589">
        <f t="shared" si="49"/>
        <v>-8.0000000000012506E-2</v>
      </c>
      <c r="AA179" s="590">
        <f t="shared" si="50"/>
        <v>0.67000000000000171</v>
      </c>
    </row>
    <row r="180" spans="1:27" s="501" customFormat="1">
      <c r="A180" s="483"/>
      <c r="B180" s="484" t="s">
        <v>141</v>
      </c>
      <c r="C180" s="485">
        <v>9</v>
      </c>
      <c r="D180" s="587">
        <v>116.4</v>
      </c>
      <c r="E180" s="587">
        <v>143.30000000000001</v>
      </c>
      <c r="F180" s="587">
        <v>98.8</v>
      </c>
      <c r="G180" s="588"/>
      <c r="H180" s="588">
        <v>100</v>
      </c>
      <c r="I180" s="584">
        <f t="shared" si="36"/>
        <v>0.60000000000000853</v>
      </c>
      <c r="J180" s="584">
        <f t="shared" si="37"/>
        <v>-2.2999999999999829</v>
      </c>
      <c r="K180" s="584">
        <f t="shared" si="38"/>
        <v>-1.1000000000000085</v>
      </c>
      <c r="L180" s="1226"/>
      <c r="M180" s="589">
        <f t="shared" si="51"/>
        <v>114.6</v>
      </c>
      <c r="N180" s="589">
        <f t="shared" si="52"/>
        <v>145</v>
      </c>
      <c r="O180" s="589">
        <f t="shared" si="53"/>
        <v>99.37</v>
      </c>
      <c r="P180" s="584"/>
      <c r="Q180" s="589">
        <f t="shared" si="45"/>
        <v>-1.9000000000000057</v>
      </c>
      <c r="R180" s="589">
        <f t="shared" si="46"/>
        <v>-0.37000000000000455</v>
      </c>
      <c r="S180" s="589">
        <f t="shared" si="47"/>
        <v>-0.29999999999999716</v>
      </c>
      <c r="T180" s="1226"/>
      <c r="U180" s="589">
        <f t="shared" si="54"/>
        <v>117</v>
      </c>
      <c r="V180" s="589">
        <f t="shared" si="55"/>
        <v>144.16999999999999</v>
      </c>
      <c r="W180" s="589">
        <f t="shared" si="56"/>
        <v>98.54</v>
      </c>
      <c r="X180" s="588"/>
      <c r="Y180" s="589">
        <f t="shared" si="48"/>
        <v>-1.0600000000000023</v>
      </c>
      <c r="Z180" s="589">
        <f t="shared" si="49"/>
        <v>-0.49000000000000909</v>
      </c>
      <c r="AA180" s="590">
        <f t="shared" si="50"/>
        <v>0.54000000000000625</v>
      </c>
    </row>
    <row r="181" spans="1:27" s="501" customFormat="1">
      <c r="A181" s="483"/>
      <c r="B181" s="484" t="s">
        <v>141</v>
      </c>
      <c r="C181" s="485">
        <v>10</v>
      </c>
      <c r="D181" s="587">
        <v>116.3</v>
      </c>
      <c r="E181" s="587">
        <v>140.9</v>
      </c>
      <c r="F181" s="587">
        <v>99.7</v>
      </c>
      <c r="G181" s="588">
        <v>170</v>
      </c>
      <c r="H181" s="588">
        <v>100</v>
      </c>
      <c r="I181" s="584">
        <f t="shared" si="36"/>
        <v>-0.10000000000000853</v>
      </c>
      <c r="J181" s="584">
        <f t="shared" si="37"/>
        <v>-2.4000000000000057</v>
      </c>
      <c r="K181" s="584">
        <f t="shared" si="38"/>
        <v>0.90000000000000568</v>
      </c>
      <c r="L181" s="1226"/>
      <c r="M181" s="589">
        <f t="shared" si="51"/>
        <v>116.17</v>
      </c>
      <c r="N181" s="589">
        <f t="shared" si="52"/>
        <v>143.27000000000001</v>
      </c>
      <c r="O181" s="589">
        <f t="shared" si="53"/>
        <v>99.47</v>
      </c>
      <c r="P181" s="584"/>
      <c r="Q181" s="589">
        <f t="shared" si="45"/>
        <v>1.5700000000000074</v>
      </c>
      <c r="R181" s="589">
        <f t="shared" si="46"/>
        <v>-1.7299999999999898</v>
      </c>
      <c r="S181" s="589">
        <f t="shared" si="47"/>
        <v>9.9999999999994316E-2</v>
      </c>
      <c r="T181" s="1226"/>
      <c r="U181" s="589">
        <f t="shared" si="54"/>
        <v>116.79</v>
      </c>
      <c r="V181" s="589">
        <f t="shared" si="55"/>
        <v>143.87</v>
      </c>
      <c r="W181" s="589">
        <f t="shared" si="56"/>
        <v>98.73</v>
      </c>
      <c r="X181" s="588"/>
      <c r="Y181" s="589">
        <f t="shared" si="48"/>
        <v>-0.20999999999999375</v>
      </c>
      <c r="Z181" s="589">
        <f t="shared" si="49"/>
        <v>-0.29999999999998295</v>
      </c>
      <c r="AA181" s="590">
        <f t="shared" si="50"/>
        <v>0.18999999999999773</v>
      </c>
    </row>
    <row r="182" spans="1:27" s="501" customFormat="1">
      <c r="A182" s="483"/>
      <c r="B182" s="484" t="s">
        <v>141</v>
      </c>
      <c r="C182" s="485">
        <v>11</v>
      </c>
      <c r="D182" s="587">
        <v>116.4</v>
      </c>
      <c r="E182" s="587">
        <v>136.4</v>
      </c>
      <c r="F182" s="587">
        <v>102.3</v>
      </c>
      <c r="G182" s="588">
        <v>170</v>
      </c>
      <c r="H182" s="588">
        <v>100</v>
      </c>
      <c r="I182" s="584">
        <f t="shared" si="36"/>
        <v>0.10000000000000853</v>
      </c>
      <c r="J182" s="584">
        <f t="shared" si="37"/>
        <v>-4.5</v>
      </c>
      <c r="K182" s="584">
        <f t="shared" si="38"/>
        <v>2.5999999999999943</v>
      </c>
      <c r="L182" s="1226"/>
      <c r="M182" s="589">
        <f t="shared" si="51"/>
        <v>116.37</v>
      </c>
      <c r="N182" s="589">
        <f t="shared" si="52"/>
        <v>140.19999999999999</v>
      </c>
      <c r="O182" s="589">
        <f t="shared" si="53"/>
        <v>100.27</v>
      </c>
      <c r="P182" s="584"/>
      <c r="Q182" s="589">
        <f t="shared" si="45"/>
        <v>0.20000000000000284</v>
      </c>
      <c r="R182" s="589">
        <f t="shared" si="46"/>
        <v>-3.0700000000000216</v>
      </c>
      <c r="S182" s="589">
        <f t="shared" si="47"/>
        <v>0.79999999999999716</v>
      </c>
      <c r="T182" s="1226"/>
      <c r="U182" s="589">
        <f t="shared" si="54"/>
        <v>116.49</v>
      </c>
      <c r="V182" s="589">
        <f t="shared" si="55"/>
        <v>142.84</v>
      </c>
      <c r="W182" s="589">
        <f t="shared" si="56"/>
        <v>99.74</v>
      </c>
      <c r="X182" s="588"/>
      <c r="Y182" s="589">
        <f t="shared" si="48"/>
        <v>-0.30000000000001137</v>
      </c>
      <c r="Z182" s="589">
        <f t="shared" si="49"/>
        <v>-1.0300000000000011</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3.0999999999999943</v>
      </c>
      <c r="K183" s="603">
        <f t="shared" si="38"/>
        <v>0.40000000000000568</v>
      </c>
      <c r="L183" s="1229"/>
      <c r="M183" s="594">
        <f t="shared" si="51"/>
        <v>115.77</v>
      </c>
      <c r="N183" s="594">
        <f t="shared" si="52"/>
        <v>138.93</v>
      </c>
      <c r="O183" s="594">
        <f t="shared" si="53"/>
        <v>101.57</v>
      </c>
      <c r="P183" s="603"/>
      <c r="Q183" s="589">
        <f t="shared" si="45"/>
        <v>-0.60000000000000853</v>
      </c>
      <c r="R183" s="589">
        <f t="shared" si="46"/>
        <v>-1.2699999999999818</v>
      </c>
      <c r="S183" s="589">
        <f t="shared" si="47"/>
        <v>1.2999999999999972</v>
      </c>
      <c r="T183" s="1229"/>
      <c r="U183" s="604">
        <f t="shared" si="54"/>
        <v>116.17</v>
      </c>
      <c r="V183" s="604">
        <f t="shared" si="55"/>
        <v>142.31</v>
      </c>
      <c r="W183" s="604">
        <f t="shared" si="56"/>
        <v>100.36</v>
      </c>
      <c r="X183" s="602"/>
      <c r="Y183" s="604">
        <f t="shared" si="48"/>
        <v>-0.31999999999999318</v>
      </c>
      <c r="Z183" s="604">
        <f t="shared" si="49"/>
        <v>-0.53000000000000114</v>
      </c>
      <c r="AA183" s="605">
        <f t="shared" si="50"/>
        <v>0.62000000000000455</v>
      </c>
    </row>
    <row r="184" spans="1:27" s="501" customFormat="1">
      <c r="A184" s="479">
        <v>20</v>
      </c>
      <c r="B184" s="992" t="s">
        <v>668</v>
      </c>
      <c r="C184" s="481">
        <v>1</v>
      </c>
      <c r="D184" s="581">
        <v>109.3</v>
      </c>
      <c r="E184" s="581">
        <v>135.30000000000001</v>
      </c>
      <c r="F184" s="581">
        <v>99.9</v>
      </c>
      <c r="G184" s="582">
        <v>170</v>
      </c>
      <c r="H184" s="582">
        <v>100</v>
      </c>
      <c r="I184" s="583">
        <f t="shared" si="36"/>
        <v>-5.2999999999999972</v>
      </c>
      <c r="J184" s="583">
        <f t="shared" si="37"/>
        <v>-4.1999999999999886</v>
      </c>
      <c r="K184" s="583">
        <f t="shared" si="38"/>
        <v>-2.7999999999999972</v>
      </c>
      <c r="L184" s="1225"/>
      <c r="M184" s="599">
        <f t="shared" si="51"/>
        <v>113.43</v>
      </c>
      <c r="N184" s="599">
        <f t="shared" si="52"/>
        <v>137.07</v>
      </c>
      <c r="O184" s="599">
        <f t="shared" si="53"/>
        <v>101.63</v>
      </c>
      <c r="P184" s="583"/>
      <c r="Q184" s="589">
        <f t="shared" si="45"/>
        <v>-2.3399999999999892</v>
      </c>
      <c r="R184" s="589">
        <f t="shared" si="46"/>
        <v>-1.8600000000000136</v>
      </c>
      <c r="S184" s="589">
        <f t="shared" si="47"/>
        <v>6.0000000000002274E-2</v>
      </c>
      <c r="T184" s="1225"/>
      <c r="U184" s="585">
        <f t="shared" si="54"/>
        <v>114.34</v>
      </c>
      <c r="V184" s="585">
        <f t="shared" si="55"/>
        <v>141.01</v>
      </c>
      <c r="W184" s="585">
        <f t="shared" si="56"/>
        <v>100.39</v>
      </c>
      <c r="X184" s="582"/>
      <c r="Y184" s="585">
        <f t="shared" si="48"/>
        <v>-1.8299999999999983</v>
      </c>
      <c r="Z184" s="585">
        <f t="shared" si="49"/>
        <v>-1.3000000000000114</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2.4000000000000057</v>
      </c>
      <c r="J185" s="584">
        <f t="shared" si="37"/>
        <v>2.8999999999999773</v>
      </c>
      <c r="K185" s="584">
        <f t="shared" si="38"/>
        <v>3</v>
      </c>
      <c r="L185" s="1226"/>
      <c r="M185" s="589">
        <f t="shared" si="51"/>
        <v>111.87</v>
      </c>
      <c r="N185" s="589">
        <f t="shared" si="52"/>
        <v>137.66999999999999</v>
      </c>
      <c r="O185" s="589">
        <f t="shared" si="53"/>
        <v>101.83</v>
      </c>
      <c r="P185" s="584"/>
      <c r="Q185" s="589">
        <f t="shared" si="45"/>
        <v>-1.5600000000000023</v>
      </c>
      <c r="R185" s="589">
        <f t="shared" si="46"/>
        <v>0.59999999999999432</v>
      </c>
      <c r="S185" s="589">
        <f t="shared" si="47"/>
        <v>0.20000000000000284</v>
      </c>
      <c r="T185" s="1226"/>
      <c r="U185" s="589">
        <f t="shared" si="54"/>
        <v>114.36</v>
      </c>
      <c r="V185" s="589">
        <f t="shared" si="55"/>
        <v>139.88999999999999</v>
      </c>
      <c r="W185" s="589">
        <f t="shared" si="56"/>
        <v>100.89</v>
      </c>
      <c r="X185" s="588"/>
      <c r="Y185" s="589">
        <f t="shared" si="48"/>
        <v>1.9999999999996021E-2</v>
      </c>
      <c r="Z185" s="589">
        <f t="shared" si="49"/>
        <v>-1.1200000000000045</v>
      </c>
      <c r="AA185" s="590">
        <f t="shared" si="50"/>
        <v>0.5</v>
      </c>
    </row>
    <row r="186" spans="1:27" s="501" customFormat="1">
      <c r="A186" s="483"/>
      <c r="B186" s="484" t="s">
        <v>141</v>
      </c>
      <c r="C186" s="485">
        <v>3</v>
      </c>
      <c r="D186" s="587">
        <v>112.1</v>
      </c>
      <c r="E186" s="587">
        <v>136.1</v>
      </c>
      <c r="F186" s="587">
        <v>106.6</v>
      </c>
      <c r="G186" s="588">
        <v>170</v>
      </c>
      <c r="H186" s="588">
        <v>100</v>
      </c>
      <c r="I186" s="584">
        <f t="shared" si="36"/>
        <v>0.39999999999999147</v>
      </c>
      <c r="J186" s="584">
        <f t="shared" si="37"/>
        <v>-2.0999999999999943</v>
      </c>
      <c r="K186" s="584">
        <f t="shared" si="38"/>
        <v>3.6999999999999886</v>
      </c>
      <c r="L186" s="1226"/>
      <c r="M186" s="589">
        <f t="shared" si="51"/>
        <v>111.03</v>
      </c>
      <c r="N186" s="589">
        <f t="shared" si="52"/>
        <v>136.53</v>
      </c>
      <c r="O186" s="589">
        <f t="shared" si="53"/>
        <v>103.13</v>
      </c>
      <c r="P186" s="584"/>
      <c r="Q186" s="589">
        <f t="shared" si="45"/>
        <v>-0.84000000000000341</v>
      </c>
      <c r="R186" s="589">
        <f t="shared" si="46"/>
        <v>-1.1399999999999864</v>
      </c>
      <c r="S186" s="589">
        <f t="shared" si="47"/>
        <v>1.2999999999999972</v>
      </c>
      <c r="T186" s="1226"/>
      <c r="U186" s="589">
        <f t="shared" si="54"/>
        <v>113.83</v>
      </c>
      <c r="V186" s="589">
        <f t="shared" si="55"/>
        <v>138.53</v>
      </c>
      <c r="W186" s="589">
        <f t="shared" si="56"/>
        <v>101.84</v>
      </c>
      <c r="X186" s="588"/>
      <c r="Y186" s="589">
        <f t="shared" si="48"/>
        <v>-0.53000000000000114</v>
      </c>
      <c r="Z186" s="589">
        <f t="shared" si="49"/>
        <v>-1.3599999999999852</v>
      </c>
      <c r="AA186" s="590">
        <f t="shared" si="50"/>
        <v>0.95000000000000284</v>
      </c>
    </row>
    <row r="187" spans="1:27" s="501" customFormat="1">
      <c r="A187" s="483"/>
      <c r="B187" s="484" t="s">
        <v>141</v>
      </c>
      <c r="C187" s="485">
        <v>4</v>
      </c>
      <c r="D187" s="587">
        <v>109.3</v>
      </c>
      <c r="E187" s="587">
        <v>132.1</v>
      </c>
      <c r="F187" s="587">
        <v>104.3</v>
      </c>
      <c r="G187" s="588">
        <v>170</v>
      </c>
      <c r="H187" s="588">
        <v>100</v>
      </c>
      <c r="I187" s="584">
        <f t="shared" si="36"/>
        <v>-2.7999999999999972</v>
      </c>
      <c r="J187" s="584">
        <f t="shared" si="37"/>
        <v>-4</v>
      </c>
      <c r="K187" s="584">
        <f t="shared" si="38"/>
        <v>-2.2999999999999972</v>
      </c>
      <c r="L187" s="1226"/>
      <c r="M187" s="589">
        <f t="shared" si="51"/>
        <v>111.03</v>
      </c>
      <c r="N187" s="589">
        <f t="shared" si="52"/>
        <v>135.47</v>
      </c>
      <c r="O187" s="589">
        <f t="shared" si="53"/>
        <v>104.6</v>
      </c>
      <c r="P187" s="584"/>
      <c r="Q187" s="589">
        <f t="shared" si="45"/>
        <v>0</v>
      </c>
      <c r="R187" s="589">
        <f t="shared" si="46"/>
        <v>-1.0600000000000023</v>
      </c>
      <c r="S187" s="589">
        <f t="shared" si="47"/>
        <v>1.4699999999999989</v>
      </c>
      <c r="T187" s="1226"/>
      <c r="U187" s="589">
        <f t="shared" si="54"/>
        <v>112.81</v>
      </c>
      <c r="V187" s="589">
        <f t="shared" si="55"/>
        <v>136.93</v>
      </c>
      <c r="W187" s="589">
        <f t="shared" si="56"/>
        <v>102.63</v>
      </c>
      <c r="X187" s="588"/>
      <c r="Y187" s="589">
        <f t="shared" si="48"/>
        <v>-1.019999999999996</v>
      </c>
      <c r="Z187" s="589">
        <f t="shared" si="49"/>
        <v>-1.5999999999999943</v>
      </c>
      <c r="AA187" s="590">
        <f t="shared" si="50"/>
        <v>0.78999999999999204</v>
      </c>
    </row>
    <row r="188" spans="1:27" s="501" customFormat="1">
      <c r="A188" s="483"/>
      <c r="B188" s="484" t="s">
        <v>141</v>
      </c>
      <c r="C188" s="485">
        <v>5</v>
      </c>
      <c r="D188" s="587">
        <v>107.1</v>
      </c>
      <c r="E188" s="587">
        <v>128.4</v>
      </c>
      <c r="F188" s="587">
        <v>104.2</v>
      </c>
      <c r="G188" s="588">
        <v>170</v>
      </c>
      <c r="H188" s="588">
        <v>100</v>
      </c>
      <c r="I188" s="584">
        <f t="shared" si="36"/>
        <v>-2.2000000000000028</v>
      </c>
      <c r="J188" s="584">
        <f t="shared" si="37"/>
        <v>-3.6999999999999886</v>
      </c>
      <c r="K188" s="584">
        <f t="shared" si="38"/>
        <v>-9.9999999999994316E-2</v>
      </c>
      <c r="L188" s="1226"/>
      <c r="M188" s="589">
        <f t="shared" si="51"/>
        <v>109.5</v>
      </c>
      <c r="N188" s="589">
        <f t="shared" si="52"/>
        <v>132.19999999999999</v>
      </c>
      <c r="O188" s="589">
        <f t="shared" si="53"/>
        <v>105.03</v>
      </c>
      <c r="P188" s="584"/>
      <c r="Q188" s="589">
        <f t="shared" si="45"/>
        <v>-1.5300000000000011</v>
      </c>
      <c r="R188" s="589">
        <f t="shared" si="46"/>
        <v>-3.2700000000000102</v>
      </c>
      <c r="S188" s="589">
        <f t="shared" si="47"/>
        <v>0.43000000000000682</v>
      </c>
      <c r="T188" s="1226"/>
      <c r="U188" s="589">
        <f t="shared" si="54"/>
        <v>111.5</v>
      </c>
      <c r="V188" s="589">
        <f t="shared" si="55"/>
        <v>135.13999999999999</v>
      </c>
      <c r="W188" s="589">
        <f t="shared" si="56"/>
        <v>103.27</v>
      </c>
      <c r="X188" s="588"/>
      <c r="Y188" s="589">
        <f t="shared" si="48"/>
        <v>-1.3100000000000023</v>
      </c>
      <c r="Z188" s="589">
        <f t="shared" si="49"/>
        <v>-1.7900000000000205</v>
      </c>
      <c r="AA188" s="590">
        <f t="shared" si="50"/>
        <v>0.64000000000000057</v>
      </c>
    </row>
    <row r="189" spans="1:27" s="501" customFormat="1">
      <c r="A189" s="483"/>
      <c r="B189" s="484" t="s">
        <v>141</v>
      </c>
      <c r="C189" s="485">
        <v>6</v>
      </c>
      <c r="D189" s="587">
        <v>103</v>
      </c>
      <c r="E189" s="587">
        <v>123.9</v>
      </c>
      <c r="F189" s="587">
        <v>106.3</v>
      </c>
      <c r="G189" s="588">
        <v>170</v>
      </c>
      <c r="H189" s="588">
        <v>100</v>
      </c>
      <c r="I189" s="584">
        <f t="shared" si="36"/>
        <v>-4.0999999999999943</v>
      </c>
      <c r="J189" s="584">
        <f t="shared" si="37"/>
        <v>-4.5</v>
      </c>
      <c r="K189" s="584">
        <f t="shared" si="38"/>
        <v>2.0999999999999943</v>
      </c>
      <c r="L189" s="1226"/>
      <c r="M189" s="589">
        <f t="shared" si="51"/>
        <v>106.47</v>
      </c>
      <c r="N189" s="589">
        <f t="shared" si="52"/>
        <v>128.13</v>
      </c>
      <c r="O189" s="589">
        <f t="shared" si="53"/>
        <v>104.93</v>
      </c>
      <c r="P189" s="584"/>
      <c r="Q189" s="589">
        <f t="shared" si="45"/>
        <v>-3.0300000000000011</v>
      </c>
      <c r="R189" s="589">
        <f t="shared" si="46"/>
        <v>-4.0699999999999932</v>
      </c>
      <c r="S189" s="589">
        <f t="shared" si="47"/>
        <v>-9.9999999999994316E-2</v>
      </c>
      <c r="T189" s="1226"/>
      <c r="U189" s="589">
        <f t="shared" si="54"/>
        <v>109.59</v>
      </c>
      <c r="V189" s="589">
        <f t="shared" si="55"/>
        <v>133.36000000000001</v>
      </c>
      <c r="W189" s="589">
        <f t="shared" si="56"/>
        <v>103.84</v>
      </c>
      <c r="X189" s="588"/>
      <c r="Y189" s="589">
        <f t="shared" si="48"/>
        <v>-1.9099999999999966</v>
      </c>
      <c r="Z189" s="589">
        <f t="shared" si="49"/>
        <v>-1.7799999999999727</v>
      </c>
      <c r="AA189" s="590">
        <f t="shared" si="50"/>
        <v>0.57000000000000739</v>
      </c>
    </row>
    <row r="190" spans="1:27" s="501" customFormat="1">
      <c r="A190" s="483"/>
      <c r="B190" s="484" t="s">
        <v>141</v>
      </c>
      <c r="C190" s="485">
        <v>7</v>
      </c>
      <c r="D190" s="587">
        <v>102.2</v>
      </c>
      <c r="E190" s="587">
        <v>123.3</v>
      </c>
      <c r="F190" s="587">
        <v>106.7</v>
      </c>
      <c r="G190" s="588">
        <v>170</v>
      </c>
      <c r="H190" s="588">
        <v>100</v>
      </c>
      <c r="I190" s="584">
        <f t="shared" si="36"/>
        <v>-0.79999999999999716</v>
      </c>
      <c r="J190" s="584">
        <f t="shared" si="37"/>
        <v>-0.60000000000000853</v>
      </c>
      <c r="K190" s="584">
        <f t="shared" si="38"/>
        <v>0.40000000000000568</v>
      </c>
      <c r="L190" s="1226"/>
      <c r="M190" s="589">
        <f t="shared" si="51"/>
        <v>104.1</v>
      </c>
      <c r="N190" s="589">
        <f t="shared" si="52"/>
        <v>125.2</v>
      </c>
      <c r="O190" s="589">
        <f t="shared" si="53"/>
        <v>105.73</v>
      </c>
      <c r="P190" s="584"/>
      <c r="Q190" s="589">
        <f t="shared" si="45"/>
        <v>-2.3700000000000045</v>
      </c>
      <c r="R190" s="589">
        <f t="shared" si="46"/>
        <v>-2.9299999999999926</v>
      </c>
      <c r="S190" s="589">
        <f t="shared" si="47"/>
        <v>0.79999999999999716</v>
      </c>
      <c r="T190" s="1226"/>
      <c r="U190" s="589">
        <f t="shared" si="54"/>
        <v>107.81</v>
      </c>
      <c r="V190" s="589">
        <f t="shared" si="55"/>
        <v>131.04</v>
      </c>
      <c r="W190" s="589">
        <f t="shared" si="56"/>
        <v>104.41</v>
      </c>
      <c r="X190" s="588"/>
      <c r="Y190" s="589">
        <f t="shared" si="48"/>
        <v>-1.7800000000000011</v>
      </c>
      <c r="Z190" s="589">
        <f t="shared" si="49"/>
        <v>-2.3200000000000216</v>
      </c>
      <c r="AA190" s="590">
        <f t="shared" si="50"/>
        <v>0.56999999999999318</v>
      </c>
    </row>
    <row r="191" spans="1:27" s="501" customFormat="1">
      <c r="A191" s="483"/>
      <c r="B191" s="484" t="s">
        <v>141</v>
      </c>
      <c r="C191" s="485">
        <v>8</v>
      </c>
      <c r="D191" s="587">
        <v>99.5</v>
      </c>
      <c r="E191" s="587">
        <v>114.4</v>
      </c>
      <c r="F191" s="587">
        <v>103.9</v>
      </c>
      <c r="G191" s="588">
        <v>170</v>
      </c>
      <c r="H191" s="588">
        <v>100</v>
      </c>
      <c r="I191" s="584">
        <f t="shared" si="36"/>
        <v>-2.7000000000000028</v>
      </c>
      <c r="J191" s="584">
        <f t="shared" si="37"/>
        <v>-8.8999999999999915</v>
      </c>
      <c r="K191" s="584">
        <f t="shared" si="38"/>
        <v>-2.7999999999999972</v>
      </c>
      <c r="L191" s="1226"/>
      <c r="M191" s="589">
        <f t="shared" si="51"/>
        <v>101.57</v>
      </c>
      <c r="N191" s="589">
        <f t="shared" si="52"/>
        <v>120.53</v>
      </c>
      <c r="O191" s="589">
        <f t="shared" si="53"/>
        <v>105.63</v>
      </c>
      <c r="P191" s="584"/>
      <c r="Q191" s="589">
        <f t="shared" si="45"/>
        <v>-2.5300000000000011</v>
      </c>
      <c r="R191" s="589">
        <f t="shared" si="46"/>
        <v>-4.6700000000000017</v>
      </c>
      <c r="S191" s="589">
        <f t="shared" si="47"/>
        <v>-0.10000000000000853</v>
      </c>
      <c r="T191" s="1226"/>
      <c r="U191" s="589">
        <f t="shared" si="54"/>
        <v>106.41</v>
      </c>
      <c r="V191" s="589">
        <f t="shared" si="55"/>
        <v>128.06</v>
      </c>
      <c r="W191" s="589">
        <f t="shared" si="56"/>
        <v>104.99</v>
      </c>
      <c r="X191" s="588"/>
      <c r="Y191" s="589">
        <f t="shared" si="48"/>
        <v>-1.4000000000000057</v>
      </c>
      <c r="Z191" s="589">
        <f t="shared" si="49"/>
        <v>-2.9799999999999898</v>
      </c>
      <c r="AA191" s="590">
        <f t="shared" si="50"/>
        <v>0.57999999999999829</v>
      </c>
    </row>
    <row r="192" spans="1:27" s="501" customFormat="1">
      <c r="A192" s="483"/>
      <c r="B192" s="484" t="s">
        <v>141</v>
      </c>
      <c r="C192" s="485">
        <v>9</v>
      </c>
      <c r="D192" s="587">
        <v>100.8</v>
      </c>
      <c r="E192" s="587">
        <v>116.6</v>
      </c>
      <c r="F192" s="587">
        <v>104.2</v>
      </c>
      <c r="G192" s="588">
        <v>170</v>
      </c>
      <c r="H192" s="588">
        <v>100</v>
      </c>
      <c r="I192" s="584">
        <f t="shared" ref="I192:I255" si="57">D192-D191</f>
        <v>1.2999999999999972</v>
      </c>
      <c r="J192" s="584">
        <f t="shared" ref="J192:J255" si="58">E192-E191</f>
        <v>2.1999999999999886</v>
      </c>
      <c r="K192" s="584">
        <f t="shared" ref="K192:K255" si="59">F192-F191</f>
        <v>0.29999999999999716</v>
      </c>
      <c r="L192" s="1226"/>
      <c r="M192" s="589">
        <f t="shared" ref="M192:M207" si="60">ROUND(AVERAGE(D190:D192),2)</f>
        <v>100.83</v>
      </c>
      <c r="N192" s="589">
        <f t="shared" ref="N192:N207" si="61">ROUND(AVERAGE(E190:E192),2)</f>
        <v>118.1</v>
      </c>
      <c r="O192" s="589">
        <f t="shared" ref="O192:O207" si="62">ROUND(AVERAGE(F190:F192),2)</f>
        <v>104.93</v>
      </c>
      <c r="P192" s="584"/>
      <c r="Q192" s="589">
        <f t="shared" si="45"/>
        <v>-0.73999999999999488</v>
      </c>
      <c r="R192" s="589">
        <f t="shared" si="46"/>
        <v>-2.4300000000000068</v>
      </c>
      <c r="S192" s="589">
        <f t="shared" si="47"/>
        <v>-0.69999999999998863</v>
      </c>
      <c r="T192" s="1226"/>
      <c r="U192" s="589">
        <f t="shared" ref="U192:U207" si="63">ROUND(AVERAGE(D186:D192),2)</f>
        <v>104.86</v>
      </c>
      <c r="V192" s="589">
        <f t="shared" ref="V192:V207" si="64">ROUND(AVERAGE(E186:E192),2)</f>
        <v>124.97</v>
      </c>
      <c r="W192" s="589">
        <f t="shared" ref="W192:W207" si="65">ROUND(AVERAGE(F186:F192),2)</f>
        <v>105.17</v>
      </c>
      <c r="X192" s="588"/>
      <c r="Y192" s="589">
        <f t="shared" si="48"/>
        <v>-1.5499999999999972</v>
      </c>
      <c r="Z192" s="589">
        <f t="shared" si="49"/>
        <v>-3.0900000000000034</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1.9000000000000057</v>
      </c>
      <c r="J193" s="584">
        <f t="shared" si="58"/>
        <v>-3.2999999999999972</v>
      </c>
      <c r="K193" s="584">
        <f t="shared" si="59"/>
        <v>-1.9000000000000057</v>
      </c>
      <c r="L193" s="1226"/>
      <c r="M193" s="589">
        <f t="shared" si="60"/>
        <v>101</v>
      </c>
      <c r="N193" s="589">
        <f t="shared" si="61"/>
        <v>114.77</v>
      </c>
      <c r="O193" s="589">
        <f t="shared" si="62"/>
        <v>103.47</v>
      </c>
      <c r="P193" s="584"/>
      <c r="Q193" s="589">
        <f t="shared" si="45"/>
        <v>0.17000000000000171</v>
      </c>
      <c r="R193" s="589">
        <f t="shared" si="46"/>
        <v>-3.3299999999999983</v>
      </c>
      <c r="S193" s="589">
        <f t="shared" si="47"/>
        <v>-1.460000000000008</v>
      </c>
      <c r="T193" s="1226"/>
      <c r="U193" s="589">
        <f t="shared" si="63"/>
        <v>103.51</v>
      </c>
      <c r="V193" s="589">
        <f t="shared" si="64"/>
        <v>121.71</v>
      </c>
      <c r="W193" s="589">
        <f t="shared" si="65"/>
        <v>104.56</v>
      </c>
      <c r="X193" s="588"/>
      <c r="Y193" s="589">
        <f t="shared" si="48"/>
        <v>-1.3499999999999943</v>
      </c>
      <c r="Z193" s="589">
        <f t="shared" si="49"/>
        <v>-3.2600000000000051</v>
      </c>
      <c r="AA193" s="590">
        <f t="shared" si="50"/>
        <v>-0.60999999999999943</v>
      </c>
    </row>
    <row r="194" spans="1:27" s="501" customFormat="1">
      <c r="A194" s="483"/>
      <c r="B194" s="484" t="s">
        <v>141</v>
      </c>
      <c r="C194" s="485">
        <v>11</v>
      </c>
      <c r="D194" s="587">
        <v>102.6</v>
      </c>
      <c r="E194" s="587">
        <v>106.3</v>
      </c>
      <c r="F194" s="587">
        <v>98.6</v>
      </c>
      <c r="G194" s="588">
        <v>170</v>
      </c>
      <c r="H194" s="588">
        <v>100</v>
      </c>
      <c r="I194" s="584">
        <f t="shared" si="57"/>
        <v>-0.10000000000000853</v>
      </c>
      <c r="J194" s="584">
        <f t="shared" si="58"/>
        <v>-7</v>
      </c>
      <c r="K194" s="584">
        <f t="shared" si="59"/>
        <v>-3.7000000000000028</v>
      </c>
      <c r="L194" s="1226"/>
      <c r="M194" s="589">
        <f t="shared" si="60"/>
        <v>102.03</v>
      </c>
      <c r="N194" s="589">
        <f t="shared" si="61"/>
        <v>112.07</v>
      </c>
      <c r="O194" s="589">
        <f t="shared" si="62"/>
        <v>101.7</v>
      </c>
      <c r="P194" s="584"/>
      <c r="Q194" s="589">
        <f t="shared" si="45"/>
        <v>1.0300000000000011</v>
      </c>
      <c r="R194" s="589">
        <f t="shared" si="46"/>
        <v>-2.7000000000000028</v>
      </c>
      <c r="S194" s="589">
        <f t="shared" si="47"/>
        <v>-1.769999999999996</v>
      </c>
      <c r="T194" s="1226"/>
      <c r="U194" s="589">
        <f t="shared" si="63"/>
        <v>102.56</v>
      </c>
      <c r="V194" s="589">
        <f t="shared" si="64"/>
        <v>118.03</v>
      </c>
      <c r="W194" s="589">
        <f t="shared" si="65"/>
        <v>103.74</v>
      </c>
      <c r="X194" s="588"/>
      <c r="Y194" s="589">
        <f t="shared" si="48"/>
        <v>-0.95000000000000284</v>
      </c>
      <c r="Z194" s="589">
        <f t="shared" si="49"/>
        <v>-3.6799999999999926</v>
      </c>
      <c r="AA194" s="590">
        <f t="shared" si="50"/>
        <v>-0.82000000000000739</v>
      </c>
    </row>
    <row r="195" spans="1:27" s="501" customFormat="1">
      <c r="A195" s="487"/>
      <c r="B195" s="488" t="s">
        <v>141</v>
      </c>
      <c r="C195" s="489">
        <v>12</v>
      </c>
      <c r="D195" s="591">
        <v>95.7</v>
      </c>
      <c r="E195" s="591">
        <v>94.3</v>
      </c>
      <c r="F195" s="591">
        <v>94.7</v>
      </c>
      <c r="G195" s="592">
        <v>170</v>
      </c>
      <c r="H195" s="592">
        <v>100</v>
      </c>
      <c r="I195" s="593">
        <f t="shared" si="57"/>
        <v>-6.8999999999999915</v>
      </c>
      <c r="J195" s="593">
        <f t="shared" si="58"/>
        <v>-12</v>
      </c>
      <c r="K195" s="593">
        <f t="shared" si="59"/>
        <v>-3.8999999999999915</v>
      </c>
      <c r="L195" s="1227"/>
      <c r="M195" s="604">
        <f t="shared" si="60"/>
        <v>100.33</v>
      </c>
      <c r="N195" s="604">
        <f t="shared" si="61"/>
        <v>104.63</v>
      </c>
      <c r="O195" s="604">
        <f t="shared" si="62"/>
        <v>98.53</v>
      </c>
      <c r="P195" s="593"/>
      <c r="Q195" s="589">
        <f t="shared" si="45"/>
        <v>-1.7000000000000028</v>
      </c>
      <c r="R195" s="589">
        <f t="shared" si="46"/>
        <v>-7.4399999999999977</v>
      </c>
      <c r="S195" s="589">
        <f t="shared" si="47"/>
        <v>-3.1700000000000017</v>
      </c>
      <c r="T195" s="1227"/>
      <c r="U195" s="594">
        <f t="shared" si="63"/>
        <v>100.93</v>
      </c>
      <c r="V195" s="594">
        <f t="shared" si="64"/>
        <v>113.16</v>
      </c>
      <c r="W195" s="594">
        <f t="shared" si="65"/>
        <v>102.39</v>
      </c>
      <c r="X195" s="592"/>
      <c r="Y195" s="594">
        <f t="shared" si="48"/>
        <v>-1.6299999999999955</v>
      </c>
      <c r="Z195" s="594">
        <f t="shared" si="49"/>
        <v>-4.8700000000000045</v>
      </c>
      <c r="AA195" s="595">
        <f t="shared" si="50"/>
        <v>-1.3499999999999943</v>
      </c>
    </row>
    <row r="196" spans="1:27" s="501" customFormat="1">
      <c r="A196" s="491">
        <v>21</v>
      </c>
      <c r="B196" s="993" t="s">
        <v>669</v>
      </c>
      <c r="C196" s="481">
        <v>1</v>
      </c>
      <c r="D196" s="581">
        <v>92.8</v>
      </c>
      <c r="E196" s="581">
        <v>79.900000000000006</v>
      </c>
      <c r="F196" s="581">
        <v>91.2</v>
      </c>
      <c r="G196" s="582">
        <v>170</v>
      </c>
      <c r="H196" s="582">
        <v>100</v>
      </c>
      <c r="I196" s="583">
        <f t="shared" si="57"/>
        <v>-2.9000000000000057</v>
      </c>
      <c r="J196" s="583">
        <f t="shared" si="58"/>
        <v>-14.399999999999991</v>
      </c>
      <c r="K196" s="583">
        <f t="shared" si="59"/>
        <v>-3.5</v>
      </c>
      <c r="L196" s="1225"/>
      <c r="M196" s="585">
        <f t="shared" si="60"/>
        <v>97.03</v>
      </c>
      <c r="N196" s="585">
        <f t="shared" si="61"/>
        <v>93.5</v>
      </c>
      <c r="O196" s="585">
        <f t="shared" si="62"/>
        <v>94.83</v>
      </c>
      <c r="P196" s="583"/>
      <c r="Q196" s="589">
        <f t="shared" ref="Q196:Q259" si="66">M196-M195</f>
        <v>-3.2999999999999972</v>
      </c>
      <c r="R196" s="589">
        <f t="shared" ref="R196:R259" si="67">N196-N195</f>
        <v>-11.129999999999995</v>
      </c>
      <c r="S196" s="589">
        <f t="shared" ref="S196:S259" si="68">O196-O195</f>
        <v>-3.7000000000000028</v>
      </c>
      <c r="T196" s="1225"/>
      <c r="U196" s="599">
        <f t="shared" si="63"/>
        <v>99.47</v>
      </c>
      <c r="V196" s="599">
        <f t="shared" si="64"/>
        <v>106.87</v>
      </c>
      <c r="W196" s="599">
        <f t="shared" si="65"/>
        <v>100.23</v>
      </c>
      <c r="X196" s="582"/>
      <c r="Y196" s="585">
        <f t="shared" ref="Y196:AA198" si="69">U196-U195</f>
        <v>-1.460000000000008</v>
      </c>
      <c r="Z196" s="585">
        <f t="shared" si="69"/>
        <v>-6.289999999999992</v>
      </c>
      <c r="AA196" s="586">
        <f t="shared" si="69"/>
        <v>-2.1599999999999966</v>
      </c>
    </row>
    <row r="197" spans="1:27" s="501" customFormat="1">
      <c r="A197" s="483"/>
      <c r="B197" s="484"/>
      <c r="C197" s="485">
        <v>2</v>
      </c>
      <c r="D197" s="587">
        <v>86</v>
      </c>
      <c r="E197" s="587">
        <v>70.2</v>
      </c>
      <c r="F197" s="587">
        <v>85.1</v>
      </c>
      <c r="G197" s="588">
        <v>170</v>
      </c>
      <c r="H197" s="588">
        <v>100</v>
      </c>
      <c r="I197" s="584">
        <f t="shared" si="57"/>
        <v>-6.7999999999999972</v>
      </c>
      <c r="J197" s="584">
        <f t="shared" si="58"/>
        <v>-9.7000000000000028</v>
      </c>
      <c r="K197" s="584">
        <f t="shared" si="59"/>
        <v>-6.1000000000000085</v>
      </c>
      <c r="L197" s="1226"/>
      <c r="M197" s="589">
        <f t="shared" si="60"/>
        <v>91.5</v>
      </c>
      <c r="N197" s="589">
        <f t="shared" si="61"/>
        <v>81.47</v>
      </c>
      <c r="O197" s="589">
        <f t="shared" si="62"/>
        <v>90.33</v>
      </c>
      <c r="P197" s="588"/>
      <c r="Q197" s="589">
        <f t="shared" si="66"/>
        <v>-5.5300000000000011</v>
      </c>
      <c r="R197" s="589">
        <f t="shared" si="67"/>
        <v>-12.030000000000001</v>
      </c>
      <c r="S197" s="589">
        <f t="shared" si="68"/>
        <v>-4.5</v>
      </c>
      <c r="T197" s="1226"/>
      <c r="U197" s="589">
        <f t="shared" si="63"/>
        <v>97.16</v>
      </c>
      <c r="V197" s="589">
        <f t="shared" si="64"/>
        <v>99.29</v>
      </c>
      <c r="W197" s="589">
        <f t="shared" si="65"/>
        <v>97.14</v>
      </c>
      <c r="X197" s="588"/>
      <c r="Y197" s="589">
        <f t="shared" si="69"/>
        <v>-2.3100000000000023</v>
      </c>
      <c r="Z197" s="589">
        <f t="shared" si="69"/>
        <v>-7.5799999999999983</v>
      </c>
      <c r="AA197" s="590">
        <f t="shared" si="69"/>
        <v>-3.0900000000000034</v>
      </c>
    </row>
    <row r="198" spans="1:27" s="501" customFormat="1">
      <c r="A198" s="483"/>
      <c r="B198" s="484"/>
      <c r="C198" s="485">
        <v>3</v>
      </c>
      <c r="D198" s="587">
        <v>83.6</v>
      </c>
      <c r="E198" s="587">
        <v>64.7</v>
      </c>
      <c r="F198" s="587">
        <v>82.3</v>
      </c>
      <c r="G198" s="588">
        <v>170</v>
      </c>
      <c r="H198" s="588">
        <v>100</v>
      </c>
      <c r="I198" s="584">
        <f t="shared" si="57"/>
        <v>-2.4000000000000057</v>
      </c>
      <c r="J198" s="584">
        <f t="shared" si="58"/>
        <v>-5.5</v>
      </c>
      <c r="K198" s="584">
        <f t="shared" si="59"/>
        <v>-2.7999999999999972</v>
      </c>
      <c r="L198" s="1226"/>
      <c r="M198" s="589">
        <f t="shared" si="60"/>
        <v>87.47</v>
      </c>
      <c r="N198" s="589">
        <f t="shared" si="61"/>
        <v>71.599999999999994</v>
      </c>
      <c r="O198" s="589">
        <f t="shared" si="62"/>
        <v>86.2</v>
      </c>
      <c r="P198" s="588"/>
      <c r="Q198" s="589">
        <f t="shared" si="66"/>
        <v>-4.0300000000000011</v>
      </c>
      <c r="R198" s="589">
        <f t="shared" si="67"/>
        <v>-9.8700000000000045</v>
      </c>
      <c r="S198" s="589">
        <f t="shared" si="68"/>
        <v>-4.1299999999999955</v>
      </c>
      <c r="T198" s="1226"/>
      <c r="U198" s="589">
        <f t="shared" si="63"/>
        <v>94.89</v>
      </c>
      <c r="V198" s="589">
        <f t="shared" si="64"/>
        <v>92.19</v>
      </c>
      <c r="W198" s="589">
        <f t="shared" si="65"/>
        <v>94.06</v>
      </c>
      <c r="X198" s="588"/>
      <c r="Y198" s="589">
        <f t="shared" si="69"/>
        <v>-2.269999999999996</v>
      </c>
      <c r="Z198" s="589">
        <f t="shared" si="69"/>
        <v>-7.1000000000000085</v>
      </c>
      <c r="AA198" s="590">
        <f t="shared" si="69"/>
        <v>-3.0799999999999983</v>
      </c>
    </row>
    <row r="199" spans="1:27" s="501" customFormat="1">
      <c r="A199" s="483"/>
      <c r="B199" s="484"/>
      <c r="C199" s="485">
        <v>4</v>
      </c>
      <c r="D199" s="588">
        <v>82.3</v>
      </c>
      <c r="E199" s="588">
        <v>67.400000000000006</v>
      </c>
      <c r="F199" s="588">
        <v>80.900000000000006</v>
      </c>
      <c r="G199" s="588"/>
      <c r="H199" s="588">
        <v>100</v>
      </c>
      <c r="I199" s="584">
        <f t="shared" si="57"/>
        <v>-1.2999999999999972</v>
      </c>
      <c r="J199" s="584">
        <f t="shared" si="58"/>
        <v>2.7000000000000028</v>
      </c>
      <c r="K199" s="584">
        <f t="shared" si="59"/>
        <v>-1.3999999999999915</v>
      </c>
      <c r="L199" s="589"/>
      <c r="M199" s="589">
        <f t="shared" si="60"/>
        <v>83.97</v>
      </c>
      <c r="N199" s="589">
        <f t="shared" si="61"/>
        <v>67.430000000000007</v>
      </c>
      <c r="O199" s="589">
        <f t="shared" si="62"/>
        <v>82.77</v>
      </c>
      <c r="P199" s="584"/>
      <c r="Q199" s="589">
        <f t="shared" si="66"/>
        <v>-3.5</v>
      </c>
      <c r="R199" s="589">
        <f t="shared" si="67"/>
        <v>-4.1699999999999875</v>
      </c>
      <c r="S199" s="589">
        <f t="shared" si="68"/>
        <v>-3.4300000000000068</v>
      </c>
      <c r="T199" s="589"/>
      <c r="U199" s="589">
        <f t="shared" si="63"/>
        <v>92.24</v>
      </c>
      <c r="V199" s="589">
        <f t="shared" si="64"/>
        <v>85.16</v>
      </c>
      <c r="W199" s="589">
        <f t="shared" si="65"/>
        <v>90.73</v>
      </c>
      <c r="X199" s="584"/>
      <c r="Y199" s="589">
        <f t="shared" ref="Y199:Y207" si="70">U199-U198</f>
        <v>-2.6500000000000057</v>
      </c>
      <c r="Z199" s="589">
        <f t="shared" ref="Z199:Z207" si="71">V199-V198</f>
        <v>-7.0300000000000011</v>
      </c>
      <c r="AA199" s="590">
        <f t="shared" ref="AA199:AA207" si="72">W199-W198</f>
        <v>-3.3299999999999983</v>
      </c>
    </row>
    <row r="200" spans="1:27" s="501" customFormat="1">
      <c r="A200" s="483"/>
      <c r="B200" s="484"/>
      <c r="C200" s="485">
        <v>5</v>
      </c>
      <c r="D200" s="588">
        <v>82.6</v>
      </c>
      <c r="E200" s="588">
        <v>70.3</v>
      </c>
      <c r="F200" s="588">
        <v>76.400000000000006</v>
      </c>
      <c r="G200" s="588"/>
      <c r="H200" s="588">
        <v>100</v>
      </c>
      <c r="I200" s="584">
        <f t="shared" si="57"/>
        <v>0.29999999999999716</v>
      </c>
      <c r="J200" s="584">
        <f t="shared" si="58"/>
        <v>2.8999999999999915</v>
      </c>
      <c r="K200" s="584">
        <f t="shared" si="59"/>
        <v>-4.5</v>
      </c>
      <c r="L200" s="589"/>
      <c r="M200" s="589">
        <f t="shared" si="60"/>
        <v>82.83</v>
      </c>
      <c r="N200" s="589">
        <f t="shared" si="61"/>
        <v>67.47</v>
      </c>
      <c r="O200" s="589">
        <f t="shared" si="62"/>
        <v>79.87</v>
      </c>
      <c r="P200" s="584"/>
      <c r="Q200" s="589">
        <f t="shared" si="66"/>
        <v>-1.1400000000000006</v>
      </c>
      <c r="R200" s="589">
        <f t="shared" si="67"/>
        <v>3.9999999999992042E-2</v>
      </c>
      <c r="S200" s="589">
        <f t="shared" si="68"/>
        <v>-2.8999999999999915</v>
      </c>
      <c r="T200" s="589"/>
      <c r="U200" s="589">
        <f t="shared" si="63"/>
        <v>89.37</v>
      </c>
      <c r="V200" s="589">
        <f t="shared" si="64"/>
        <v>79.010000000000005</v>
      </c>
      <c r="W200" s="589">
        <f t="shared" si="65"/>
        <v>87.03</v>
      </c>
      <c r="X200" s="584"/>
      <c r="Y200" s="589">
        <f t="shared" si="70"/>
        <v>-2.8699999999999903</v>
      </c>
      <c r="Z200" s="589">
        <f t="shared" si="71"/>
        <v>-6.1499999999999915</v>
      </c>
      <c r="AA200" s="590">
        <f t="shared" si="72"/>
        <v>-3.7000000000000028</v>
      </c>
    </row>
    <row r="201" spans="1:27" s="501" customFormat="1">
      <c r="A201" s="483"/>
      <c r="B201" s="484"/>
      <c r="C201" s="485">
        <v>6</v>
      </c>
      <c r="D201" s="588">
        <v>83.2</v>
      </c>
      <c r="E201" s="588">
        <v>72.5</v>
      </c>
      <c r="F201" s="588">
        <v>75.5</v>
      </c>
      <c r="G201" s="588"/>
      <c r="H201" s="588">
        <v>100</v>
      </c>
      <c r="I201" s="584">
        <f t="shared" si="57"/>
        <v>0.60000000000000853</v>
      </c>
      <c r="J201" s="584">
        <f t="shared" si="58"/>
        <v>2.2000000000000028</v>
      </c>
      <c r="K201" s="584">
        <f t="shared" si="59"/>
        <v>-0.90000000000000568</v>
      </c>
      <c r="L201" s="589"/>
      <c r="M201" s="589">
        <f t="shared" si="60"/>
        <v>82.7</v>
      </c>
      <c r="N201" s="589">
        <f t="shared" si="61"/>
        <v>70.069999999999993</v>
      </c>
      <c r="O201" s="589">
        <f t="shared" si="62"/>
        <v>77.599999999999994</v>
      </c>
      <c r="P201" s="584"/>
      <c r="Q201" s="589">
        <f t="shared" si="66"/>
        <v>-0.12999999999999545</v>
      </c>
      <c r="R201" s="589">
        <f t="shared" si="67"/>
        <v>2.5999999999999943</v>
      </c>
      <c r="S201" s="589">
        <f t="shared" si="68"/>
        <v>-2.2700000000000102</v>
      </c>
      <c r="T201" s="589"/>
      <c r="U201" s="589">
        <f t="shared" si="63"/>
        <v>86.6</v>
      </c>
      <c r="V201" s="589">
        <f t="shared" si="64"/>
        <v>74.19</v>
      </c>
      <c r="W201" s="589">
        <f t="shared" si="65"/>
        <v>83.73</v>
      </c>
      <c r="X201" s="584"/>
      <c r="Y201" s="589">
        <f t="shared" si="70"/>
        <v>-2.7700000000000102</v>
      </c>
      <c r="Z201" s="589">
        <f t="shared" si="71"/>
        <v>-4.8200000000000074</v>
      </c>
      <c r="AA201" s="590">
        <f t="shared" si="72"/>
        <v>-3.2999999999999972</v>
      </c>
    </row>
    <row r="202" spans="1:27" s="501" customFormat="1">
      <c r="A202" s="483"/>
      <c r="B202" s="484"/>
      <c r="C202" s="485">
        <v>7</v>
      </c>
      <c r="D202" s="588">
        <v>88.2</v>
      </c>
      <c r="E202" s="588">
        <v>75.7</v>
      </c>
      <c r="F202" s="588">
        <v>72.099999999999994</v>
      </c>
      <c r="G202" s="588"/>
      <c r="H202" s="588">
        <v>100</v>
      </c>
      <c r="I202" s="584">
        <f t="shared" si="57"/>
        <v>5</v>
      </c>
      <c r="J202" s="584">
        <f t="shared" si="58"/>
        <v>3.2000000000000028</v>
      </c>
      <c r="K202" s="584">
        <f t="shared" si="59"/>
        <v>-3.4000000000000057</v>
      </c>
      <c r="L202" s="589"/>
      <c r="M202" s="589">
        <f t="shared" si="60"/>
        <v>84.67</v>
      </c>
      <c r="N202" s="589">
        <f t="shared" si="61"/>
        <v>72.83</v>
      </c>
      <c r="O202" s="589">
        <f t="shared" si="62"/>
        <v>74.67</v>
      </c>
      <c r="P202" s="584"/>
      <c r="Q202" s="589">
        <f t="shared" si="66"/>
        <v>1.9699999999999989</v>
      </c>
      <c r="R202" s="589">
        <f t="shared" si="67"/>
        <v>2.7600000000000051</v>
      </c>
      <c r="S202" s="589">
        <f t="shared" si="68"/>
        <v>-2.9299999999999926</v>
      </c>
      <c r="T202" s="589"/>
      <c r="U202" s="589">
        <f t="shared" si="63"/>
        <v>85.53</v>
      </c>
      <c r="V202" s="589">
        <f t="shared" si="64"/>
        <v>71.53</v>
      </c>
      <c r="W202" s="589">
        <f t="shared" si="65"/>
        <v>80.5</v>
      </c>
      <c r="X202" s="584"/>
      <c r="Y202" s="589">
        <f t="shared" si="70"/>
        <v>-1.0699999999999932</v>
      </c>
      <c r="Z202" s="589">
        <f t="shared" si="71"/>
        <v>-2.6599999999999966</v>
      </c>
      <c r="AA202" s="590">
        <f t="shared" si="72"/>
        <v>-3.230000000000004</v>
      </c>
    </row>
    <row r="203" spans="1:27" s="501" customFormat="1">
      <c r="A203" s="483"/>
      <c r="B203" s="484"/>
      <c r="C203" s="485">
        <v>8</v>
      </c>
      <c r="D203" s="588">
        <v>99.5</v>
      </c>
      <c r="E203" s="588">
        <v>78.599999999999994</v>
      </c>
      <c r="F203" s="588">
        <v>73.7</v>
      </c>
      <c r="G203" s="588"/>
      <c r="H203" s="588">
        <v>100</v>
      </c>
      <c r="I203" s="584">
        <f t="shared" si="57"/>
        <v>11.299999999999997</v>
      </c>
      <c r="J203" s="584">
        <f t="shared" si="58"/>
        <v>2.8999999999999915</v>
      </c>
      <c r="K203" s="584">
        <f t="shared" si="59"/>
        <v>1.6000000000000085</v>
      </c>
      <c r="L203" s="589"/>
      <c r="M203" s="589">
        <f t="shared" si="60"/>
        <v>90.3</v>
      </c>
      <c r="N203" s="589">
        <f t="shared" si="61"/>
        <v>75.599999999999994</v>
      </c>
      <c r="O203" s="589">
        <f t="shared" si="62"/>
        <v>73.77</v>
      </c>
      <c r="P203" s="584"/>
      <c r="Q203" s="589">
        <f t="shared" si="66"/>
        <v>5.6299999999999955</v>
      </c>
      <c r="R203" s="589">
        <f t="shared" si="67"/>
        <v>2.769999999999996</v>
      </c>
      <c r="S203" s="589">
        <f t="shared" si="68"/>
        <v>-0.90000000000000568</v>
      </c>
      <c r="T203" s="589"/>
      <c r="U203" s="589">
        <f t="shared" si="63"/>
        <v>86.49</v>
      </c>
      <c r="V203" s="589">
        <f t="shared" si="64"/>
        <v>71.34</v>
      </c>
      <c r="W203" s="589">
        <f t="shared" si="65"/>
        <v>78</v>
      </c>
      <c r="X203" s="584"/>
      <c r="Y203" s="589">
        <f t="shared" si="70"/>
        <v>0.95999999999999375</v>
      </c>
      <c r="Z203" s="589">
        <f t="shared" si="71"/>
        <v>-0.18999999999999773</v>
      </c>
      <c r="AA203" s="590">
        <f t="shared" si="72"/>
        <v>-2.5</v>
      </c>
    </row>
    <row r="204" spans="1:27" s="501" customFormat="1">
      <c r="A204" s="483"/>
      <c r="B204" s="484"/>
      <c r="C204" s="485">
        <v>9</v>
      </c>
      <c r="D204" s="588">
        <v>103.8</v>
      </c>
      <c r="E204" s="588">
        <v>82.4</v>
      </c>
      <c r="F204" s="588">
        <v>73</v>
      </c>
      <c r="G204" s="588"/>
      <c r="H204" s="588">
        <v>100</v>
      </c>
      <c r="I204" s="584">
        <f t="shared" si="57"/>
        <v>4.2999999999999972</v>
      </c>
      <c r="J204" s="584">
        <f t="shared" si="58"/>
        <v>3.8000000000000114</v>
      </c>
      <c r="K204" s="584">
        <f t="shared" si="59"/>
        <v>-0.70000000000000284</v>
      </c>
      <c r="L204" s="589"/>
      <c r="M204" s="589">
        <f t="shared" si="60"/>
        <v>97.17</v>
      </c>
      <c r="N204" s="589">
        <f t="shared" si="61"/>
        <v>78.900000000000006</v>
      </c>
      <c r="O204" s="589">
        <f t="shared" si="62"/>
        <v>72.930000000000007</v>
      </c>
      <c r="P204" s="584"/>
      <c r="Q204" s="589">
        <f t="shared" si="66"/>
        <v>6.8700000000000045</v>
      </c>
      <c r="R204" s="589">
        <f t="shared" si="67"/>
        <v>3.3000000000000114</v>
      </c>
      <c r="S204" s="589">
        <f t="shared" si="68"/>
        <v>-0.8399999999999892</v>
      </c>
      <c r="T204" s="589"/>
      <c r="U204" s="589">
        <f t="shared" si="63"/>
        <v>89.03</v>
      </c>
      <c r="V204" s="589">
        <f t="shared" si="64"/>
        <v>73.09</v>
      </c>
      <c r="W204" s="589">
        <f t="shared" si="65"/>
        <v>76.27</v>
      </c>
      <c r="X204" s="584"/>
      <c r="Y204" s="589">
        <f t="shared" si="70"/>
        <v>2.5400000000000063</v>
      </c>
      <c r="Z204" s="589">
        <f t="shared" si="71"/>
        <v>1.75</v>
      </c>
      <c r="AA204" s="590">
        <f t="shared" si="72"/>
        <v>-1.730000000000004</v>
      </c>
    </row>
    <row r="205" spans="1:27" s="501" customFormat="1">
      <c r="A205" s="483"/>
      <c r="B205" s="484"/>
      <c r="C205" s="485">
        <v>10</v>
      </c>
      <c r="D205" s="588">
        <v>103.9</v>
      </c>
      <c r="E205" s="588">
        <v>87</v>
      </c>
      <c r="F205" s="588">
        <v>77</v>
      </c>
      <c r="G205" s="588"/>
      <c r="H205" s="588">
        <v>100</v>
      </c>
      <c r="I205" s="584">
        <f t="shared" si="57"/>
        <v>0.10000000000000853</v>
      </c>
      <c r="J205" s="584">
        <f t="shared" si="58"/>
        <v>4.5999999999999943</v>
      </c>
      <c r="K205" s="584">
        <f t="shared" si="59"/>
        <v>4</v>
      </c>
      <c r="L205" s="589"/>
      <c r="M205" s="589">
        <f t="shared" si="60"/>
        <v>102.4</v>
      </c>
      <c r="N205" s="589">
        <f t="shared" si="61"/>
        <v>82.67</v>
      </c>
      <c r="O205" s="589">
        <f t="shared" si="62"/>
        <v>74.569999999999993</v>
      </c>
      <c r="P205" s="584"/>
      <c r="Q205" s="589">
        <f t="shared" si="66"/>
        <v>5.230000000000004</v>
      </c>
      <c r="R205" s="589">
        <f t="shared" si="67"/>
        <v>3.769999999999996</v>
      </c>
      <c r="S205" s="589">
        <f t="shared" si="68"/>
        <v>1.6399999999999864</v>
      </c>
      <c r="T205" s="589"/>
      <c r="U205" s="589">
        <f t="shared" si="63"/>
        <v>91.93</v>
      </c>
      <c r="V205" s="589">
        <f t="shared" si="64"/>
        <v>76.27</v>
      </c>
      <c r="W205" s="589">
        <f t="shared" si="65"/>
        <v>75.510000000000005</v>
      </c>
      <c r="X205" s="584"/>
      <c r="Y205" s="589">
        <f t="shared" si="70"/>
        <v>2.9000000000000057</v>
      </c>
      <c r="Z205" s="589">
        <f t="shared" si="71"/>
        <v>3.1799999999999926</v>
      </c>
      <c r="AA205" s="590">
        <f t="shared" si="72"/>
        <v>-0.75999999999999091</v>
      </c>
    </row>
    <row r="206" spans="1:27" s="501" customFormat="1">
      <c r="A206" s="483"/>
      <c r="B206" s="484"/>
      <c r="C206" s="485">
        <v>11</v>
      </c>
      <c r="D206" s="588">
        <v>102.6</v>
      </c>
      <c r="E206" s="588">
        <v>87.6</v>
      </c>
      <c r="F206" s="588">
        <v>76.2</v>
      </c>
      <c r="G206" s="588"/>
      <c r="H206" s="588">
        <v>100</v>
      </c>
      <c r="I206" s="584">
        <f t="shared" si="57"/>
        <v>-1.3000000000000114</v>
      </c>
      <c r="J206" s="584">
        <f t="shared" si="58"/>
        <v>0.59999999999999432</v>
      </c>
      <c r="K206" s="584">
        <f t="shared" si="59"/>
        <v>-0.79999999999999716</v>
      </c>
      <c r="L206" s="589"/>
      <c r="M206" s="589">
        <f t="shared" si="60"/>
        <v>103.43</v>
      </c>
      <c r="N206" s="589">
        <f t="shared" si="61"/>
        <v>85.67</v>
      </c>
      <c r="O206" s="589">
        <f t="shared" si="62"/>
        <v>75.400000000000006</v>
      </c>
      <c r="P206" s="584"/>
      <c r="Q206" s="589">
        <f t="shared" si="66"/>
        <v>1.0300000000000011</v>
      </c>
      <c r="R206" s="589">
        <f t="shared" si="67"/>
        <v>3</v>
      </c>
      <c r="S206" s="589">
        <f t="shared" si="68"/>
        <v>0.83000000000001251</v>
      </c>
      <c r="T206" s="589"/>
      <c r="U206" s="589">
        <f t="shared" si="63"/>
        <v>94.83</v>
      </c>
      <c r="V206" s="589">
        <f t="shared" si="64"/>
        <v>79.16</v>
      </c>
      <c r="W206" s="589">
        <f t="shared" si="65"/>
        <v>74.84</v>
      </c>
      <c r="X206" s="584"/>
      <c r="Y206" s="589">
        <f t="shared" si="70"/>
        <v>2.8999999999999915</v>
      </c>
      <c r="Z206" s="589">
        <f t="shared" si="71"/>
        <v>2.8900000000000006</v>
      </c>
      <c r="AA206" s="590">
        <f t="shared" si="72"/>
        <v>-0.67000000000000171</v>
      </c>
    </row>
    <row r="207" spans="1:27" s="501" customFormat="1">
      <c r="A207" s="495"/>
      <c r="B207" s="496"/>
      <c r="C207" s="497">
        <v>12</v>
      </c>
      <c r="D207" s="592">
        <v>101.6</v>
      </c>
      <c r="E207" s="592">
        <v>87.8</v>
      </c>
      <c r="F207" s="592">
        <v>76.900000000000006</v>
      </c>
      <c r="G207" s="592"/>
      <c r="H207" s="592">
        <v>100</v>
      </c>
      <c r="I207" s="593">
        <f t="shared" si="57"/>
        <v>-1</v>
      </c>
      <c r="J207" s="593">
        <f t="shared" si="58"/>
        <v>0.20000000000000284</v>
      </c>
      <c r="K207" s="593">
        <f t="shared" si="59"/>
        <v>0.70000000000000284</v>
      </c>
      <c r="L207" s="594"/>
      <c r="M207" s="589">
        <f t="shared" si="60"/>
        <v>102.7</v>
      </c>
      <c r="N207" s="589">
        <f t="shared" si="61"/>
        <v>87.47</v>
      </c>
      <c r="O207" s="589">
        <f t="shared" si="62"/>
        <v>76.7</v>
      </c>
      <c r="P207" s="593"/>
      <c r="Q207" s="589">
        <f t="shared" si="66"/>
        <v>-0.73000000000000398</v>
      </c>
      <c r="R207" s="589">
        <f t="shared" si="67"/>
        <v>1.7999999999999972</v>
      </c>
      <c r="S207" s="589">
        <f t="shared" si="68"/>
        <v>1.2999999999999972</v>
      </c>
      <c r="T207" s="594"/>
      <c r="U207" s="589">
        <f t="shared" si="63"/>
        <v>97.54</v>
      </c>
      <c r="V207" s="589">
        <f t="shared" si="64"/>
        <v>81.66</v>
      </c>
      <c r="W207" s="589">
        <f t="shared" si="65"/>
        <v>74.91</v>
      </c>
      <c r="X207" s="593"/>
      <c r="Y207" s="594">
        <f t="shared" si="70"/>
        <v>2.710000000000008</v>
      </c>
      <c r="Z207" s="594">
        <f t="shared" si="71"/>
        <v>2.5</v>
      </c>
      <c r="AA207" s="595">
        <f t="shared" si="72"/>
        <v>6.9999999999993179E-2</v>
      </c>
    </row>
    <row r="208" spans="1:27" s="501" customFormat="1">
      <c r="A208" s="479">
        <v>22</v>
      </c>
      <c r="B208" s="992" t="s">
        <v>670</v>
      </c>
      <c r="C208" s="481">
        <v>1</v>
      </c>
      <c r="D208" s="1200">
        <v>105.4</v>
      </c>
      <c r="E208" s="1200">
        <v>95.8</v>
      </c>
      <c r="F208" s="1200">
        <v>78.900000000000006</v>
      </c>
      <c r="G208" s="582"/>
      <c r="H208" s="602">
        <v>100</v>
      </c>
      <c r="I208" s="583">
        <f t="shared" si="57"/>
        <v>3.8000000000000114</v>
      </c>
      <c r="J208" s="583">
        <f t="shared" si="58"/>
        <v>8</v>
      </c>
      <c r="K208" s="583">
        <f t="shared" si="59"/>
        <v>2</v>
      </c>
      <c r="L208" s="585"/>
      <c r="M208" s="585">
        <f t="shared" ref="M208:M239" si="73">AVERAGE(D206:D208)</f>
        <v>103.2</v>
      </c>
      <c r="N208" s="585">
        <f t="shared" ref="N208:N239" si="74">AVERAGE(E206:E208)</f>
        <v>90.399999999999991</v>
      </c>
      <c r="O208" s="585">
        <f t="shared" ref="O208:O239" si="75">AVERAGE(F206:F208)</f>
        <v>77.333333333333343</v>
      </c>
      <c r="P208" s="583"/>
      <c r="Q208" s="589">
        <f t="shared" si="66"/>
        <v>0.5</v>
      </c>
      <c r="R208" s="589">
        <f t="shared" si="67"/>
        <v>2.9299999999999926</v>
      </c>
      <c r="S208" s="589">
        <f t="shared" si="68"/>
        <v>0.63333333333333997</v>
      </c>
      <c r="T208" s="585"/>
      <c r="U208" s="585">
        <f t="shared" ref="U208:U239" si="76">AVERAGE(D202:D208)</f>
        <v>100.71428571428571</v>
      </c>
      <c r="V208" s="585">
        <f t="shared" ref="V208:V239" si="77">AVERAGE(E202:E208)</f>
        <v>84.985714285714295</v>
      </c>
      <c r="W208" s="585">
        <f t="shared" ref="W208:W239" si="78">AVERAGE(F202:F208)</f>
        <v>75.399999999999991</v>
      </c>
      <c r="X208" s="583"/>
      <c r="Y208" s="585">
        <f t="shared" ref="Y208:Y219" si="79">U208-U207</f>
        <v>3.1742857142857019</v>
      </c>
      <c r="Z208" s="585">
        <f t="shared" ref="Z208:Z219" si="80">V208-V207</f>
        <v>3.3257142857142981</v>
      </c>
      <c r="AA208" s="586">
        <f t="shared" ref="AA208:AA219" si="81">W208-W207</f>
        <v>0.48999999999999488</v>
      </c>
    </row>
    <row r="209" spans="1:27" s="501" customFormat="1">
      <c r="A209" s="483"/>
      <c r="B209" s="484"/>
      <c r="C209" s="485">
        <v>2</v>
      </c>
      <c r="D209" s="1201">
        <v>105.1</v>
      </c>
      <c r="E209" s="1201">
        <v>95.5</v>
      </c>
      <c r="F209" s="1201">
        <v>81.2</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93.033333333333346</v>
      </c>
      <c r="O209" s="589">
        <f t="shared" si="75"/>
        <v>79</v>
      </c>
      <c r="P209" s="584"/>
      <c r="Q209" s="589">
        <f t="shared" si="66"/>
        <v>0.83333333333334281</v>
      </c>
      <c r="R209" s="589">
        <f t="shared" si="67"/>
        <v>2.6333333333333542</v>
      </c>
      <c r="S209" s="589">
        <f t="shared" si="68"/>
        <v>1.6666666666666572</v>
      </c>
      <c r="T209" s="589"/>
      <c r="U209" s="589">
        <f t="shared" si="76"/>
        <v>103.12857142857145</v>
      </c>
      <c r="V209" s="589">
        <f t="shared" si="77"/>
        <v>87.814285714285717</v>
      </c>
      <c r="W209" s="589">
        <f t="shared" si="78"/>
        <v>76.7</v>
      </c>
      <c r="X209" s="584"/>
      <c r="Y209" s="589">
        <f t="shared" si="79"/>
        <v>2.4142857142857395</v>
      </c>
      <c r="Z209" s="589">
        <f t="shared" si="80"/>
        <v>2.8285714285714221</v>
      </c>
      <c r="AA209" s="590">
        <f t="shared" si="81"/>
        <v>1.3000000000000114</v>
      </c>
    </row>
    <row r="210" spans="1:27" s="501" customFormat="1">
      <c r="A210" s="483"/>
      <c r="B210" s="484"/>
      <c r="C210" s="485">
        <v>3</v>
      </c>
      <c r="D210" s="1201">
        <v>106.7</v>
      </c>
      <c r="E210" s="1201">
        <v>99.6</v>
      </c>
      <c r="F210" s="1201">
        <v>83</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81.033333333333346</v>
      </c>
      <c r="P210" s="584"/>
      <c r="Q210" s="589">
        <f t="shared" si="66"/>
        <v>1.6999999999999886</v>
      </c>
      <c r="R210" s="589">
        <f t="shared" si="67"/>
        <v>3.9333333333333087</v>
      </c>
      <c r="S210" s="589">
        <f t="shared" si="68"/>
        <v>2.0333333333333456</v>
      </c>
      <c r="T210" s="589"/>
      <c r="U210" s="589">
        <f t="shared" si="76"/>
        <v>104.15714285714286</v>
      </c>
      <c r="V210" s="589">
        <f t="shared" si="77"/>
        <v>90.814285714285717</v>
      </c>
      <c r="W210" s="589">
        <f t="shared" si="78"/>
        <v>78.028571428571439</v>
      </c>
      <c r="X210" s="584"/>
      <c r="Y210" s="589">
        <f t="shared" si="79"/>
        <v>1.0285714285714107</v>
      </c>
      <c r="Z210" s="589">
        <f t="shared" si="80"/>
        <v>3</v>
      </c>
      <c r="AA210" s="590">
        <f t="shared" si="81"/>
        <v>1.3285714285714363</v>
      </c>
    </row>
    <row r="211" spans="1:27" s="501" customFormat="1">
      <c r="A211" s="483"/>
      <c r="B211" s="484"/>
      <c r="C211" s="485">
        <v>4</v>
      </c>
      <c r="D211" s="1201">
        <v>106.5</v>
      </c>
      <c r="E211" s="1201">
        <v>99.2</v>
      </c>
      <c r="F211" s="1201">
        <v>81.400000000000006</v>
      </c>
      <c r="G211" s="588"/>
      <c r="H211" s="588">
        <v>100</v>
      </c>
      <c r="I211" s="584">
        <f t="shared" si="57"/>
        <v>-0.20000000000000284</v>
      </c>
      <c r="J211" s="584">
        <f t="shared" si="58"/>
        <v>-0.39999999999999147</v>
      </c>
      <c r="K211" s="584">
        <f t="shared" si="59"/>
        <v>-1.5999999999999943</v>
      </c>
      <c r="L211" s="589"/>
      <c r="M211" s="589">
        <f t="shared" si="73"/>
        <v>106.10000000000001</v>
      </c>
      <c r="N211" s="589">
        <f t="shared" si="74"/>
        <v>98.100000000000009</v>
      </c>
      <c r="O211" s="589">
        <f t="shared" si="75"/>
        <v>81.86666666666666</v>
      </c>
      <c r="P211" s="584"/>
      <c r="Q211" s="589">
        <f t="shared" si="66"/>
        <v>0.36666666666667425</v>
      </c>
      <c r="R211" s="589">
        <f t="shared" si="67"/>
        <v>1.1333333333333542</v>
      </c>
      <c r="S211" s="589">
        <f t="shared" si="68"/>
        <v>0.83333333333331439</v>
      </c>
      <c r="T211" s="589"/>
      <c r="U211" s="589">
        <f t="shared" si="76"/>
        <v>104.54285714285716</v>
      </c>
      <c r="V211" s="589">
        <f t="shared" si="77"/>
        <v>93.214285714285708</v>
      </c>
      <c r="W211" s="589">
        <f t="shared" si="78"/>
        <v>79.228571428571428</v>
      </c>
      <c r="X211" s="584"/>
      <c r="Y211" s="589">
        <f t="shared" si="79"/>
        <v>0.38571428571430033</v>
      </c>
      <c r="Z211" s="589">
        <f t="shared" si="80"/>
        <v>2.3999999999999915</v>
      </c>
      <c r="AA211" s="590">
        <f t="shared" si="81"/>
        <v>1.1999999999999886</v>
      </c>
    </row>
    <row r="212" spans="1:27" s="501" customFormat="1">
      <c r="A212" s="483"/>
      <c r="B212" s="484"/>
      <c r="C212" s="485">
        <v>5</v>
      </c>
      <c r="D212" s="1201">
        <v>110.4</v>
      </c>
      <c r="E212" s="1202">
        <v>103</v>
      </c>
      <c r="F212" s="1202">
        <v>80.599999999999994</v>
      </c>
      <c r="G212" s="588"/>
      <c r="H212" s="588">
        <v>100</v>
      </c>
      <c r="I212" s="584">
        <f t="shared" si="57"/>
        <v>3.9000000000000057</v>
      </c>
      <c r="J212" s="584">
        <f t="shared" si="58"/>
        <v>3.7999999999999972</v>
      </c>
      <c r="K212" s="584">
        <f t="shared" si="59"/>
        <v>-0.80000000000001137</v>
      </c>
      <c r="L212" s="589"/>
      <c r="M212" s="589">
        <f t="shared" si="73"/>
        <v>107.86666666666667</v>
      </c>
      <c r="N212" s="589">
        <f t="shared" si="74"/>
        <v>100.60000000000001</v>
      </c>
      <c r="O212" s="589">
        <f t="shared" si="75"/>
        <v>81.666666666666671</v>
      </c>
      <c r="P212" s="584"/>
      <c r="Q212" s="589">
        <f t="shared" si="66"/>
        <v>1.7666666666666657</v>
      </c>
      <c r="R212" s="589">
        <f t="shared" si="67"/>
        <v>2.5</v>
      </c>
      <c r="S212" s="589">
        <f t="shared" si="68"/>
        <v>-0.19999999999998863</v>
      </c>
      <c r="T212" s="589"/>
      <c r="U212" s="589">
        <f t="shared" si="76"/>
        <v>105.47142857142858</v>
      </c>
      <c r="V212" s="589">
        <f t="shared" si="77"/>
        <v>95.5</v>
      </c>
      <c r="W212" s="589">
        <f t="shared" si="78"/>
        <v>79.742857142857147</v>
      </c>
      <c r="X212" s="584"/>
      <c r="Y212" s="589">
        <f t="shared" si="79"/>
        <v>0.92857142857141639</v>
      </c>
      <c r="Z212" s="589">
        <f t="shared" si="80"/>
        <v>2.2857142857142918</v>
      </c>
      <c r="AA212" s="590">
        <f t="shared" si="81"/>
        <v>0.51428571428571956</v>
      </c>
    </row>
    <row r="213" spans="1:27" s="501" customFormat="1">
      <c r="A213" s="483"/>
      <c r="B213" s="484"/>
      <c r="C213" s="485">
        <v>6</v>
      </c>
      <c r="D213" s="1202">
        <v>116.2</v>
      </c>
      <c r="E213" s="1202">
        <v>101.7</v>
      </c>
      <c r="F213" s="1202">
        <v>82</v>
      </c>
      <c r="G213" s="588"/>
      <c r="H213" s="588">
        <v>100</v>
      </c>
      <c r="I213" s="584">
        <f t="shared" si="57"/>
        <v>5.7999999999999972</v>
      </c>
      <c r="J213" s="584">
        <f t="shared" si="58"/>
        <v>-1.2999999999999972</v>
      </c>
      <c r="K213" s="584">
        <f t="shared" si="59"/>
        <v>1.4000000000000057</v>
      </c>
      <c r="L213" s="589"/>
      <c r="M213" s="589">
        <f t="shared" si="73"/>
        <v>111.03333333333335</v>
      </c>
      <c r="N213" s="589">
        <f t="shared" si="74"/>
        <v>101.3</v>
      </c>
      <c r="O213" s="589">
        <f t="shared" si="75"/>
        <v>81.333333333333329</v>
      </c>
      <c r="P213" s="584"/>
      <c r="Q213" s="589">
        <f t="shared" si="66"/>
        <v>3.1666666666666714</v>
      </c>
      <c r="R213" s="589">
        <f t="shared" si="67"/>
        <v>0.69999999999998863</v>
      </c>
      <c r="S213" s="589">
        <f t="shared" si="68"/>
        <v>-0.33333333333334281</v>
      </c>
      <c r="T213" s="589"/>
      <c r="U213" s="589">
        <f t="shared" si="76"/>
        <v>107.41428571428571</v>
      </c>
      <c r="V213" s="589">
        <f t="shared" si="77"/>
        <v>97.514285714285734</v>
      </c>
      <c r="W213" s="589">
        <f t="shared" si="78"/>
        <v>80.571428571428569</v>
      </c>
      <c r="X213" s="584"/>
      <c r="Y213" s="589">
        <f t="shared" si="79"/>
        <v>1.942857142857136</v>
      </c>
      <c r="Z213" s="589">
        <f t="shared" si="80"/>
        <v>2.0142857142857338</v>
      </c>
      <c r="AA213" s="590">
        <f t="shared" si="81"/>
        <v>0.82857142857142208</v>
      </c>
    </row>
    <row r="214" spans="1:27" s="501" customFormat="1">
      <c r="A214" s="483"/>
      <c r="B214" s="484"/>
      <c r="C214" s="485">
        <v>7</v>
      </c>
      <c r="D214" s="1202">
        <v>112.3</v>
      </c>
      <c r="E214" s="1202">
        <v>103.6</v>
      </c>
      <c r="F214" s="1202">
        <v>86.6</v>
      </c>
      <c r="G214" s="588"/>
      <c r="H214" s="588">
        <v>100</v>
      </c>
      <c r="I214" s="584">
        <f t="shared" si="57"/>
        <v>-3.9000000000000057</v>
      </c>
      <c r="J214" s="584">
        <f t="shared" si="58"/>
        <v>1.8999999999999915</v>
      </c>
      <c r="K214" s="584">
        <f t="shared" si="59"/>
        <v>4.5999999999999943</v>
      </c>
      <c r="L214" s="589"/>
      <c r="M214" s="589">
        <f t="shared" si="73"/>
        <v>112.96666666666668</v>
      </c>
      <c r="N214" s="589">
        <f t="shared" si="74"/>
        <v>102.76666666666665</v>
      </c>
      <c r="O214" s="589">
        <f t="shared" si="75"/>
        <v>83.066666666666663</v>
      </c>
      <c r="P214" s="584"/>
      <c r="Q214" s="589">
        <f t="shared" si="66"/>
        <v>1.9333333333333371</v>
      </c>
      <c r="R214" s="589">
        <f t="shared" si="67"/>
        <v>1.4666666666666544</v>
      </c>
      <c r="S214" s="589">
        <f t="shared" si="68"/>
        <v>1.7333333333333343</v>
      </c>
      <c r="T214" s="589"/>
      <c r="U214" s="589">
        <f t="shared" si="76"/>
        <v>108.94285714285715</v>
      </c>
      <c r="V214" s="589">
        <f t="shared" si="77"/>
        <v>99.771428571428572</v>
      </c>
      <c r="W214" s="589">
        <f t="shared" si="78"/>
        <v>81.95714285714287</v>
      </c>
      <c r="X214" s="584"/>
      <c r="Y214" s="589">
        <f t="shared" si="79"/>
        <v>1.5285714285714391</v>
      </c>
      <c r="Z214" s="589">
        <f t="shared" si="80"/>
        <v>2.2571428571428385</v>
      </c>
      <c r="AA214" s="590">
        <f t="shared" si="81"/>
        <v>1.3857142857143003</v>
      </c>
    </row>
    <row r="215" spans="1:27" s="501" customFormat="1">
      <c r="A215" s="483"/>
      <c r="B215" s="484"/>
      <c r="C215" s="485">
        <v>8</v>
      </c>
      <c r="D215" s="1202">
        <v>115.6</v>
      </c>
      <c r="E215" s="1202">
        <v>107.3</v>
      </c>
      <c r="F215" s="1202">
        <v>84.2</v>
      </c>
      <c r="G215" s="588"/>
      <c r="H215" s="588">
        <v>100</v>
      </c>
      <c r="I215" s="584">
        <f t="shared" si="57"/>
        <v>3.2999999999999972</v>
      </c>
      <c r="J215" s="584">
        <f t="shared" si="58"/>
        <v>3.7000000000000028</v>
      </c>
      <c r="K215" s="584">
        <f t="shared" si="59"/>
        <v>-2.3999999999999915</v>
      </c>
      <c r="L215" s="589"/>
      <c r="M215" s="589">
        <f t="shared" si="73"/>
        <v>114.7</v>
      </c>
      <c r="N215" s="589">
        <f t="shared" si="74"/>
        <v>104.2</v>
      </c>
      <c r="O215" s="589">
        <f t="shared" si="75"/>
        <v>84.266666666666666</v>
      </c>
      <c r="P215" s="584"/>
      <c r="Q215" s="589">
        <f t="shared" si="66"/>
        <v>1.7333333333333201</v>
      </c>
      <c r="R215" s="589">
        <f t="shared" si="67"/>
        <v>1.4333333333333513</v>
      </c>
      <c r="S215" s="589">
        <f t="shared" si="68"/>
        <v>1.2000000000000028</v>
      </c>
      <c r="T215" s="589"/>
      <c r="U215" s="589">
        <f t="shared" si="76"/>
        <v>110.4</v>
      </c>
      <c r="V215" s="589">
        <f t="shared" si="77"/>
        <v>101.41428571428571</v>
      </c>
      <c r="W215" s="589">
        <f t="shared" si="78"/>
        <v>82.714285714285708</v>
      </c>
      <c r="X215" s="584"/>
      <c r="Y215" s="589">
        <f t="shared" si="79"/>
        <v>1.4571428571428555</v>
      </c>
      <c r="Z215" s="589">
        <f t="shared" si="80"/>
        <v>1.6428571428571388</v>
      </c>
      <c r="AA215" s="590">
        <f t="shared" si="81"/>
        <v>0.75714285714283847</v>
      </c>
    </row>
    <row r="216" spans="1:27" s="501" customFormat="1">
      <c r="A216" s="483"/>
      <c r="B216" s="484"/>
      <c r="C216" s="485">
        <v>9</v>
      </c>
      <c r="D216" s="1202">
        <v>119.1</v>
      </c>
      <c r="E216" s="1202">
        <v>108</v>
      </c>
      <c r="F216" s="1202">
        <v>86.4</v>
      </c>
      <c r="G216" s="588"/>
      <c r="H216" s="588">
        <v>100</v>
      </c>
      <c r="I216" s="584">
        <f t="shared" si="57"/>
        <v>3.5</v>
      </c>
      <c r="J216" s="584">
        <f t="shared" si="58"/>
        <v>0.70000000000000284</v>
      </c>
      <c r="K216" s="584">
        <f t="shared" si="59"/>
        <v>2.2000000000000028</v>
      </c>
      <c r="L216" s="589"/>
      <c r="M216" s="589">
        <f t="shared" si="73"/>
        <v>115.66666666666667</v>
      </c>
      <c r="N216" s="589">
        <f t="shared" si="74"/>
        <v>106.3</v>
      </c>
      <c r="O216" s="589">
        <f t="shared" si="75"/>
        <v>85.733333333333348</v>
      </c>
      <c r="P216" s="584"/>
      <c r="Q216" s="589">
        <f t="shared" si="66"/>
        <v>0.96666666666666856</v>
      </c>
      <c r="R216" s="589">
        <f t="shared" si="67"/>
        <v>2.0999999999999943</v>
      </c>
      <c r="S216" s="589">
        <f t="shared" si="68"/>
        <v>1.4666666666666828</v>
      </c>
      <c r="T216" s="589"/>
      <c r="U216" s="589">
        <f t="shared" si="76"/>
        <v>112.4</v>
      </c>
      <c r="V216" s="589">
        <f t="shared" si="77"/>
        <v>103.2</v>
      </c>
      <c r="W216" s="589">
        <f t="shared" si="78"/>
        <v>83.45714285714287</v>
      </c>
      <c r="X216" s="584"/>
      <c r="Y216" s="589">
        <f t="shared" si="79"/>
        <v>2</v>
      </c>
      <c r="Z216" s="589">
        <f t="shared" si="80"/>
        <v>1.7857142857142918</v>
      </c>
      <c r="AA216" s="590">
        <f t="shared" si="81"/>
        <v>0.74285714285716153</v>
      </c>
    </row>
    <row r="217" spans="1:27" s="501" customFormat="1">
      <c r="A217" s="483"/>
      <c r="B217" s="484"/>
      <c r="C217" s="485">
        <v>10</v>
      </c>
      <c r="D217" s="1202">
        <v>112</v>
      </c>
      <c r="E217" s="1202">
        <v>108.8</v>
      </c>
      <c r="F217" s="1201">
        <v>88.2</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108.03333333333335</v>
      </c>
      <c r="O217" s="589">
        <f t="shared" si="75"/>
        <v>86.266666666666666</v>
      </c>
      <c r="P217" s="584"/>
      <c r="Q217" s="589">
        <f t="shared" si="66"/>
        <v>-0.10000000000000853</v>
      </c>
      <c r="R217" s="589">
        <f t="shared" si="67"/>
        <v>1.7333333333333485</v>
      </c>
      <c r="S217" s="589">
        <f t="shared" si="68"/>
        <v>0.53333333333331723</v>
      </c>
      <c r="T217" s="589"/>
      <c r="U217" s="589">
        <f t="shared" si="76"/>
        <v>113.15714285714286</v>
      </c>
      <c r="V217" s="589">
        <f t="shared" si="77"/>
        <v>104.51428571428571</v>
      </c>
      <c r="W217" s="589">
        <f t="shared" si="78"/>
        <v>84.200000000000017</v>
      </c>
      <c r="X217" s="584"/>
      <c r="Y217" s="589">
        <f t="shared" si="79"/>
        <v>0.75714285714285268</v>
      </c>
      <c r="Z217" s="589">
        <f t="shared" si="80"/>
        <v>1.3142857142857025</v>
      </c>
      <c r="AA217" s="590">
        <f t="shared" si="81"/>
        <v>0.74285714285714732</v>
      </c>
    </row>
    <row r="218" spans="1:27" s="501" customFormat="1">
      <c r="A218" s="483"/>
      <c r="B218" s="484"/>
      <c r="C218" s="485">
        <v>11</v>
      </c>
      <c r="D218" s="1202">
        <v>112.8</v>
      </c>
      <c r="E218" s="1202">
        <v>113.2</v>
      </c>
      <c r="F218" s="1202">
        <v>91.2</v>
      </c>
      <c r="G218" s="588"/>
      <c r="H218" s="588">
        <v>100</v>
      </c>
      <c r="I218" s="584">
        <f t="shared" si="57"/>
        <v>0.79999999999999716</v>
      </c>
      <c r="J218" s="584">
        <f t="shared" si="58"/>
        <v>4.4000000000000057</v>
      </c>
      <c r="K218" s="584">
        <f t="shared" si="59"/>
        <v>3</v>
      </c>
      <c r="L218" s="589"/>
      <c r="M218" s="589">
        <f t="shared" si="73"/>
        <v>114.63333333333333</v>
      </c>
      <c r="N218" s="589">
        <f t="shared" si="74"/>
        <v>110</v>
      </c>
      <c r="O218" s="589">
        <f t="shared" si="75"/>
        <v>88.600000000000009</v>
      </c>
      <c r="P218" s="584"/>
      <c r="Q218" s="589">
        <f t="shared" si="66"/>
        <v>-0.93333333333333712</v>
      </c>
      <c r="R218" s="589">
        <f t="shared" si="67"/>
        <v>1.9666666666666544</v>
      </c>
      <c r="S218" s="589">
        <f t="shared" si="68"/>
        <v>2.3333333333333428</v>
      </c>
      <c r="T218" s="589"/>
      <c r="U218" s="589">
        <f t="shared" si="76"/>
        <v>114.05714285714285</v>
      </c>
      <c r="V218" s="589">
        <f t="shared" si="77"/>
        <v>106.51428571428571</v>
      </c>
      <c r="W218" s="589">
        <f t="shared" si="78"/>
        <v>85.6</v>
      </c>
      <c r="X218" s="584"/>
      <c r="Y218" s="589">
        <f t="shared" si="79"/>
        <v>0.89999999999999147</v>
      </c>
      <c r="Z218" s="589">
        <f t="shared" si="80"/>
        <v>2</v>
      </c>
      <c r="AA218" s="590">
        <f t="shared" si="81"/>
        <v>1.3999999999999773</v>
      </c>
    </row>
    <row r="219" spans="1:27" s="501" customFormat="1" ht="14.25" customHeight="1">
      <c r="A219" s="487"/>
      <c r="B219" s="488"/>
      <c r="C219" s="489">
        <v>12</v>
      </c>
      <c r="D219" s="1203">
        <v>115.9</v>
      </c>
      <c r="E219" s="1203">
        <v>117.3</v>
      </c>
      <c r="F219" s="1203">
        <v>94.3</v>
      </c>
      <c r="G219" s="592"/>
      <c r="H219" s="629">
        <v>100</v>
      </c>
      <c r="I219" s="593">
        <f t="shared" si="57"/>
        <v>3.1000000000000085</v>
      </c>
      <c r="J219" s="593">
        <f t="shared" si="58"/>
        <v>4.0999999999999943</v>
      </c>
      <c r="K219" s="593">
        <f t="shared" si="59"/>
        <v>3.0999999999999943</v>
      </c>
      <c r="L219" s="594"/>
      <c r="M219" s="594">
        <f t="shared" si="73"/>
        <v>113.56666666666668</v>
      </c>
      <c r="N219" s="594">
        <f t="shared" si="74"/>
        <v>113.10000000000001</v>
      </c>
      <c r="O219" s="594">
        <f t="shared" si="75"/>
        <v>91.233333333333334</v>
      </c>
      <c r="P219" s="593"/>
      <c r="Q219" s="589">
        <f t="shared" si="66"/>
        <v>-1.0666666666666487</v>
      </c>
      <c r="R219" s="589">
        <f t="shared" si="67"/>
        <v>3.1000000000000085</v>
      </c>
      <c r="S219" s="589">
        <f t="shared" si="68"/>
        <v>2.6333333333333258</v>
      </c>
      <c r="T219" s="594"/>
      <c r="U219" s="594">
        <f t="shared" si="76"/>
        <v>114.84285714285714</v>
      </c>
      <c r="V219" s="594">
        <f t="shared" si="77"/>
        <v>108.55714285714285</v>
      </c>
      <c r="W219" s="594">
        <f t="shared" si="78"/>
        <v>87.55714285714285</v>
      </c>
      <c r="X219" s="593"/>
      <c r="Y219" s="594">
        <f t="shared" si="79"/>
        <v>0.7857142857142918</v>
      </c>
      <c r="Z219" s="594">
        <f t="shared" si="80"/>
        <v>2.0428571428571445</v>
      </c>
      <c r="AA219" s="595">
        <f t="shared" si="81"/>
        <v>1.9571428571428555</v>
      </c>
    </row>
    <row r="220" spans="1:27" s="501" customFormat="1">
      <c r="A220" s="479">
        <v>23</v>
      </c>
      <c r="B220" s="992" t="s">
        <v>671</v>
      </c>
      <c r="C220" s="481">
        <v>1</v>
      </c>
      <c r="D220" s="1200">
        <v>113.5</v>
      </c>
      <c r="E220" s="1200">
        <v>113.3</v>
      </c>
      <c r="F220" s="1200">
        <v>93.3</v>
      </c>
      <c r="G220" s="582"/>
      <c r="H220" s="602">
        <v>100</v>
      </c>
      <c r="I220" s="583">
        <f t="shared" si="57"/>
        <v>-2.4000000000000057</v>
      </c>
      <c r="J220" s="583">
        <f t="shared" si="58"/>
        <v>-4</v>
      </c>
      <c r="K220" s="583">
        <f t="shared" si="59"/>
        <v>-1</v>
      </c>
      <c r="L220" s="585"/>
      <c r="M220" s="585">
        <f t="shared" si="73"/>
        <v>114.06666666666666</v>
      </c>
      <c r="N220" s="585">
        <f t="shared" si="74"/>
        <v>114.60000000000001</v>
      </c>
      <c r="O220" s="585">
        <f t="shared" si="75"/>
        <v>92.933333333333337</v>
      </c>
      <c r="P220" s="583"/>
      <c r="Q220" s="589">
        <f t="shared" si="66"/>
        <v>0.49999999999998579</v>
      </c>
      <c r="R220" s="589">
        <f t="shared" si="67"/>
        <v>1.5</v>
      </c>
      <c r="S220" s="589">
        <f t="shared" si="68"/>
        <v>1.7000000000000028</v>
      </c>
      <c r="T220" s="585"/>
      <c r="U220" s="585">
        <f t="shared" si="76"/>
        <v>114.45714285714284</v>
      </c>
      <c r="V220" s="585">
        <f t="shared" si="77"/>
        <v>110.21428571428569</v>
      </c>
      <c r="W220" s="585">
        <f t="shared" si="78"/>
        <v>89.171428571428564</v>
      </c>
      <c r="X220" s="583"/>
      <c r="Y220" s="585">
        <f>U220-U219</f>
        <v>-0.38571428571430033</v>
      </c>
      <c r="Z220" s="585">
        <f>V220-V219</f>
        <v>1.6571428571428442</v>
      </c>
      <c r="AA220" s="586">
        <f>W220-W219</f>
        <v>1.6142857142857139</v>
      </c>
    </row>
    <row r="221" spans="1:27" s="501" customFormat="1">
      <c r="A221" s="483"/>
      <c r="B221" s="484"/>
      <c r="C221" s="485">
        <v>2</v>
      </c>
      <c r="D221" s="1201">
        <v>113.6</v>
      </c>
      <c r="E221" s="1201">
        <v>117.3</v>
      </c>
      <c r="F221" s="1201">
        <v>93.2</v>
      </c>
      <c r="G221" s="588"/>
      <c r="H221" s="588">
        <v>100</v>
      </c>
      <c r="I221" s="584">
        <f t="shared" si="57"/>
        <v>9.9999999999994316E-2</v>
      </c>
      <c r="J221" s="584">
        <f t="shared" si="58"/>
        <v>4</v>
      </c>
      <c r="K221" s="584">
        <f t="shared" si="59"/>
        <v>-9.9999999999994316E-2</v>
      </c>
      <c r="L221" s="589"/>
      <c r="M221" s="589">
        <f t="shared" si="73"/>
        <v>114.33333333333333</v>
      </c>
      <c r="N221" s="589">
        <f t="shared" si="74"/>
        <v>115.96666666666665</v>
      </c>
      <c r="O221" s="589">
        <f t="shared" si="75"/>
        <v>93.600000000000009</v>
      </c>
      <c r="P221" s="584"/>
      <c r="Q221" s="589">
        <f t="shared" si="66"/>
        <v>0.26666666666666572</v>
      </c>
      <c r="R221" s="589">
        <f t="shared" si="67"/>
        <v>1.3666666666666458</v>
      </c>
      <c r="S221" s="589">
        <f t="shared" si="68"/>
        <v>0.6666666666666714</v>
      </c>
      <c r="T221" s="589"/>
      <c r="U221" s="589">
        <f t="shared" si="76"/>
        <v>114.64285714285714</v>
      </c>
      <c r="V221" s="589">
        <f t="shared" si="77"/>
        <v>112.17142857142856</v>
      </c>
      <c r="W221" s="589">
        <f t="shared" si="78"/>
        <v>90.114285714285728</v>
      </c>
      <c r="X221" s="584"/>
      <c r="Y221" s="589">
        <f t="shared" ref="Y221:Y231" si="82">U221-U220</f>
        <v>0.18571428571429749</v>
      </c>
      <c r="Z221" s="589">
        <f t="shared" ref="Z221:Z231" si="83">V221-V220</f>
        <v>1.9571428571428697</v>
      </c>
      <c r="AA221" s="590">
        <f t="shared" ref="AA221:AA231" si="84">W221-W220</f>
        <v>0.94285714285716438</v>
      </c>
    </row>
    <row r="222" spans="1:27" s="501" customFormat="1">
      <c r="A222" s="483"/>
      <c r="B222" s="484"/>
      <c r="C222" s="485">
        <v>3</v>
      </c>
      <c r="D222" s="1201">
        <v>83.1</v>
      </c>
      <c r="E222" s="1201">
        <v>71.400000000000006</v>
      </c>
      <c r="F222" s="1201">
        <v>78.2</v>
      </c>
      <c r="G222" s="588"/>
      <c r="H222" s="588">
        <v>100</v>
      </c>
      <c r="I222" s="584">
        <f t="shared" si="57"/>
        <v>-30.5</v>
      </c>
      <c r="J222" s="584">
        <f t="shared" si="58"/>
        <v>-45.899999999999991</v>
      </c>
      <c r="K222" s="584">
        <f t="shared" si="59"/>
        <v>-15</v>
      </c>
      <c r="L222" s="589"/>
      <c r="M222" s="589">
        <f t="shared" si="73"/>
        <v>103.39999999999999</v>
      </c>
      <c r="N222" s="589">
        <f t="shared" si="74"/>
        <v>100.66666666666667</v>
      </c>
      <c r="O222" s="589">
        <f t="shared" si="75"/>
        <v>88.233333333333334</v>
      </c>
      <c r="P222" s="584"/>
      <c r="Q222" s="589">
        <f t="shared" si="66"/>
        <v>-10.933333333333337</v>
      </c>
      <c r="R222" s="589">
        <f t="shared" si="67"/>
        <v>-15.299999999999983</v>
      </c>
      <c r="S222" s="589">
        <f t="shared" si="68"/>
        <v>-5.3666666666666742</v>
      </c>
      <c r="T222" s="589"/>
      <c r="U222" s="589">
        <f t="shared" si="76"/>
        <v>110</v>
      </c>
      <c r="V222" s="589">
        <f t="shared" si="77"/>
        <v>107.04285714285713</v>
      </c>
      <c r="W222" s="589">
        <f t="shared" si="78"/>
        <v>89.257142857142867</v>
      </c>
      <c r="X222" s="584"/>
      <c r="Y222" s="589">
        <f t="shared" si="82"/>
        <v>-4.6428571428571388</v>
      </c>
      <c r="Z222" s="589">
        <f t="shared" si="83"/>
        <v>-5.1285714285714334</v>
      </c>
      <c r="AA222" s="590">
        <f t="shared" si="84"/>
        <v>-0.8571428571428612</v>
      </c>
    </row>
    <row r="223" spans="1:27" s="501" customFormat="1">
      <c r="A223" s="483"/>
      <c r="B223" s="484"/>
      <c r="C223" s="485">
        <v>4</v>
      </c>
      <c r="D223" s="1201">
        <v>88</v>
      </c>
      <c r="E223" s="1201">
        <v>83.1</v>
      </c>
      <c r="F223" s="1201">
        <v>84.5</v>
      </c>
      <c r="G223" s="588"/>
      <c r="H223" s="588">
        <v>100</v>
      </c>
      <c r="I223" s="584">
        <f t="shared" si="57"/>
        <v>4.9000000000000057</v>
      </c>
      <c r="J223" s="584">
        <f t="shared" si="58"/>
        <v>11.699999999999989</v>
      </c>
      <c r="K223" s="584">
        <f t="shared" si="59"/>
        <v>6.2999999999999972</v>
      </c>
      <c r="L223" s="589"/>
      <c r="M223" s="589">
        <f t="shared" si="73"/>
        <v>94.899999999999991</v>
      </c>
      <c r="N223" s="589">
        <f t="shared" si="74"/>
        <v>90.59999999999998</v>
      </c>
      <c r="O223" s="589">
        <f t="shared" si="75"/>
        <v>85.3</v>
      </c>
      <c r="P223" s="584"/>
      <c r="Q223" s="589">
        <f t="shared" si="66"/>
        <v>-8.5</v>
      </c>
      <c r="R223" s="589">
        <f t="shared" si="67"/>
        <v>-10.066666666666691</v>
      </c>
      <c r="S223" s="589">
        <f t="shared" si="68"/>
        <v>-2.9333333333333371</v>
      </c>
      <c r="T223" s="589"/>
      <c r="U223" s="589">
        <f t="shared" si="76"/>
        <v>105.55714285714286</v>
      </c>
      <c r="V223" s="589">
        <f t="shared" si="77"/>
        <v>103.48571428571428</v>
      </c>
      <c r="W223" s="589">
        <f t="shared" si="78"/>
        <v>88.98571428571428</v>
      </c>
      <c r="X223" s="584"/>
      <c r="Y223" s="589">
        <f t="shared" si="82"/>
        <v>-4.442857142857136</v>
      </c>
      <c r="Z223" s="589">
        <f t="shared" si="83"/>
        <v>-3.5571428571428498</v>
      </c>
      <c r="AA223" s="590">
        <f t="shared" si="84"/>
        <v>-0.27142857142858645</v>
      </c>
    </row>
    <row r="224" spans="1:27" s="501" customFormat="1">
      <c r="A224" s="483"/>
      <c r="B224" s="484"/>
      <c r="C224" s="485">
        <v>5</v>
      </c>
      <c r="D224" s="1201">
        <v>95.8</v>
      </c>
      <c r="E224" s="1202">
        <v>96.4</v>
      </c>
      <c r="F224" s="1202">
        <v>89.1</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83.933333333333323</v>
      </c>
      <c r="P224" s="584"/>
      <c r="Q224" s="589">
        <f t="shared" si="66"/>
        <v>-5.9333333333333371</v>
      </c>
      <c r="R224" s="589">
        <f t="shared" si="67"/>
        <v>-6.9666666666666401</v>
      </c>
      <c r="S224" s="589">
        <f t="shared" si="68"/>
        <v>-1.3666666666666742</v>
      </c>
      <c r="T224" s="589"/>
      <c r="U224" s="589">
        <f t="shared" si="76"/>
        <v>103.24285714285713</v>
      </c>
      <c r="V224" s="589">
        <f t="shared" si="77"/>
        <v>101.71428571428571</v>
      </c>
      <c r="W224" s="589">
        <f t="shared" si="78"/>
        <v>89.114285714285728</v>
      </c>
      <c r="X224" s="584"/>
      <c r="Y224" s="589">
        <f t="shared" si="82"/>
        <v>-2.3142857142857309</v>
      </c>
      <c r="Z224" s="589">
        <f t="shared" si="83"/>
        <v>-1.7714285714285722</v>
      </c>
      <c r="AA224" s="590">
        <f t="shared" si="84"/>
        <v>0.12857142857144765</v>
      </c>
    </row>
    <row r="225" spans="1:27" s="501" customFormat="1">
      <c r="A225" s="483"/>
      <c r="B225" s="484"/>
      <c r="C225" s="485">
        <v>6</v>
      </c>
      <c r="D225" s="1202">
        <v>101.4</v>
      </c>
      <c r="E225" s="1201">
        <v>99.9</v>
      </c>
      <c r="F225" s="1202">
        <v>86.9</v>
      </c>
      <c r="G225" s="588"/>
      <c r="H225" s="588">
        <v>100</v>
      </c>
      <c r="I225" s="584">
        <f t="shared" si="57"/>
        <v>5.6000000000000085</v>
      </c>
      <c r="J225" s="584">
        <f t="shared" si="58"/>
        <v>3.5</v>
      </c>
      <c r="K225" s="584">
        <f t="shared" si="59"/>
        <v>-2.1999999999999886</v>
      </c>
      <c r="L225" s="589"/>
      <c r="M225" s="589">
        <f t="shared" si="73"/>
        <v>95.066666666666677</v>
      </c>
      <c r="N225" s="589">
        <f t="shared" si="74"/>
        <v>93.133333333333326</v>
      </c>
      <c r="O225" s="589">
        <f t="shared" si="75"/>
        <v>86.833333333333329</v>
      </c>
      <c r="P225" s="584"/>
      <c r="Q225" s="589">
        <f t="shared" si="66"/>
        <v>6.1000000000000227</v>
      </c>
      <c r="R225" s="589">
        <f t="shared" si="67"/>
        <v>9.4999999999999858</v>
      </c>
      <c r="S225" s="589">
        <f t="shared" si="68"/>
        <v>2.9000000000000057</v>
      </c>
      <c r="T225" s="589"/>
      <c r="U225" s="589">
        <f t="shared" si="76"/>
        <v>101.61428571428571</v>
      </c>
      <c r="V225" s="589">
        <f t="shared" si="77"/>
        <v>99.814285714285703</v>
      </c>
      <c r="W225" s="589">
        <f t="shared" si="78"/>
        <v>88.5</v>
      </c>
      <c r="X225" s="584"/>
      <c r="Y225" s="589">
        <f t="shared" si="82"/>
        <v>-1.6285714285714192</v>
      </c>
      <c r="Z225" s="589">
        <f t="shared" si="83"/>
        <v>-1.9000000000000057</v>
      </c>
      <c r="AA225" s="590">
        <f t="shared" si="84"/>
        <v>-0.61428571428572809</v>
      </c>
    </row>
    <row r="226" spans="1:27" s="501" customFormat="1">
      <c r="A226" s="483"/>
      <c r="B226" s="484"/>
      <c r="C226" s="485">
        <v>7</v>
      </c>
      <c r="D226" s="1202">
        <v>109.6</v>
      </c>
      <c r="E226" s="1204">
        <v>104.7</v>
      </c>
      <c r="F226" s="1202">
        <v>90.9</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88.966666666666654</v>
      </c>
      <c r="P226" s="584"/>
      <c r="Q226" s="589">
        <f t="shared" si="66"/>
        <v>7.1999999999999744</v>
      </c>
      <c r="R226" s="589">
        <f t="shared" si="67"/>
        <v>7.2000000000000028</v>
      </c>
      <c r="S226" s="589">
        <f t="shared" si="68"/>
        <v>2.1333333333333258</v>
      </c>
      <c r="T226" s="589"/>
      <c r="U226" s="589">
        <f t="shared" si="76"/>
        <v>100.71428571428571</v>
      </c>
      <c r="V226" s="589">
        <f t="shared" si="77"/>
        <v>98.01428571428572</v>
      </c>
      <c r="W226" s="589">
        <f t="shared" si="78"/>
        <v>88.014285714285705</v>
      </c>
      <c r="X226" s="584"/>
      <c r="Y226" s="589">
        <f t="shared" si="82"/>
        <v>-0.90000000000000568</v>
      </c>
      <c r="Z226" s="589">
        <f t="shared" si="83"/>
        <v>-1.7999999999999829</v>
      </c>
      <c r="AA226" s="590">
        <f t="shared" si="84"/>
        <v>-0.48571428571429465</v>
      </c>
    </row>
    <row r="227" spans="1:27" s="501" customFormat="1">
      <c r="A227" s="483"/>
      <c r="B227" s="484"/>
      <c r="C227" s="485">
        <v>8</v>
      </c>
      <c r="D227" s="1202">
        <v>119.2</v>
      </c>
      <c r="E227" s="1202">
        <v>112.4</v>
      </c>
      <c r="F227" s="1202">
        <v>95.2</v>
      </c>
      <c r="G227" s="588"/>
      <c r="H227" s="588">
        <v>100</v>
      </c>
      <c r="I227" s="584">
        <f t="shared" si="57"/>
        <v>9.6000000000000085</v>
      </c>
      <c r="J227" s="584">
        <f t="shared" si="58"/>
        <v>7.7000000000000028</v>
      </c>
      <c r="K227" s="584">
        <f t="shared" si="59"/>
        <v>4.2999999999999972</v>
      </c>
      <c r="L227" s="589"/>
      <c r="M227" s="589">
        <f t="shared" si="73"/>
        <v>110.06666666666666</v>
      </c>
      <c r="N227" s="589">
        <f t="shared" si="74"/>
        <v>105.66666666666667</v>
      </c>
      <c r="O227" s="589">
        <f t="shared" si="75"/>
        <v>91</v>
      </c>
      <c r="P227" s="584"/>
      <c r="Q227" s="589">
        <f t="shared" si="66"/>
        <v>7.8000000000000114</v>
      </c>
      <c r="R227" s="589">
        <f t="shared" si="67"/>
        <v>5.3333333333333428</v>
      </c>
      <c r="S227" s="589">
        <f t="shared" si="68"/>
        <v>2.0333333333333456</v>
      </c>
      <c r="T227" s="589"/>
      <c r="U227" s="589">
        <f t="shared" si="76"/>
        <v>101.52857142857144</v>
      </c>
      <c r="V227" s="589">
        <f t="shared" si="77"/>
        <v>97.885714285714272</v>
      </c>
      <c r="W227" s="589">
        <f t="shared" si="78"/>
        <v>88.285714285714292</v>
      </c>
      <c r="X227" s="584"/>
      <c r="Y227" s="589">
        <f t="shared" si="82"/>
        <v>0.81428571428573093</v>
      </c>
      <c r="Z227" s="589">
        <f t="shared" si="83"/>
        <v>-0.12857142857144765</v>
      </c>
      <c r="AA227" s="590">
        <f t="shared" si="84"/>
        <v>0.27142857142858645</v>
      </c>
    </row>
    <row r="228" spans="1:27" s="501" customFormat="1">
      <c r="A228" s="483"/>
      <c r="B228" s="484"/>
      <c r="C228" s="485">
        <v>9</v>
      </c>
      <c r="D228" s="1202">
        <v>119.8</v>
      </c>
      <c r="E228" s="1202">
        <v>119.7</v>
      </c>
      <c r="F228" s="1202">
        <v>93.9</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93.333333333333329</v>
      </c>
      <c r="P228" s="584"/>
      <c r="Q228" s="589">
        <f t="shared" si="66"/>
        <v>6.13333333333334</v>
      </c>
      <c r="R228" s="589">
        <f t="shared" si="67"/>
        <v>6.5999999999999943</v>
      </c>
      <c r="S228" s="589">
        <f t="shared" si="68"/>
        <v>2.3333333333333286</v>
      </c>
      <c r="T228" s="589"/>
      <c r="U228" s="589">
        <f t="shared" si="76"/>
        <v>102.41428571428571</v>
      </c>
      <c r="V228" s="589">
        <f t="shared" si="77"/>
        <v>98.228571428571428</v>
      </c>
      <c r="W228" s="589">
        <f t="shared" si="78"/>
        <v>88.385714285714286</v>
      </c>
      <c r="X228" s="584"/>
      <c r="Y228" s="589">
        <f t="shared" si="82"/>
        <v>0.88571428571427191</v>
      </c>
      <c r="Z228" s="589">
        <f t="shared" si="83"/>
        <v>0.34285714285715585</v>
      </c>
      <c r="AA228" s="590">
        <f t="shared" si="84"/>
        <v>9.9999999999994316E-2</v>
      </c>
    </row>
    <row r="229" spans="1:27" s="501" customFormat="1">
      <c r="A229" s="483"/>
      <c r="B229" s="484"/>
      <c r="C229" s="485">
        <v>10</v>
      </c>
      <c r="D229" s="1202">
        <v>125.1</v>
      </c>
      <c r="E229" s="1202">
        <v>120.6</v>
      </c>
      <c r="F229" s="1201">
        <v>91.7</v>
      </c>
      <c r="G229" s="588"/>
      <c r="H229" s="588">
        <v>100</v>
      </c>
      <c r="I229" s="584">
        <f t="shared" si="57"/>
        <v>5.2999999999999972</v>
      </c>
      <c r="J229" s="584">
        <f t="shared" si="58"/>
        <v>0.89999999999999147</v>
      </c>
      <c r="K229" s="584">
        <f t="shared" si="59"/>
        <v>-2.2000000000000028</v>
      </c>
      <c r="L229" s="589"/>
      <c r="M229" s="589">
        <f t="shared" si="73"/>
        <v>121.36666666666667</v>
      </c>
      <c r="N229" s="589">
        <f t="shared" si="74"/>
        <v>117.56666666666668</v>
      </c>
      <c r="O229" s="589">
        <f t="shared" si="75"/>
        <v>93.600000000000009</v>
      </c>
      <c r="P229" s="584"/>
      <c r="Q229" s="589">
        <f t="shared" si="66"/>
        <v>5.1666666666666714</v>
      </c>
      <c r="R229" s="589">
        <f t="shared" si="67"/>
        <v>5.3000000000000114</v>
      </c>
      <c r="S229" s="589">
        <f t="shared" si="68"/>
        <v>0.26666666666667993</v>
      </c>
      <c r="T229" s="589"/>
      <c r="U229" s="589">
        <f t="shared" si="76"/>
        <v>108.41428571428573</v>
      </c>
      <c r="V229" s="589">
        <f t="shared" si="77"/>
        <v>105.25714285714287</v>
      </c>
      <c r="W229" s="589">
        <f t="shared" si="78"/>
        <v>90.314285714285717</v>
      </c>
      <c r="X229" s="584"/>
      <c r="Y229" s="589">
        <f t="shared" si="82"/>
        <v>6.0000000000000142</v>
      </c>
      <c r="Z229" s="589">
        <f t="shared" si="83"/>
        <v>7.0285714285714391</v>
      </c>
      <c r="AA229" s="590">
        <f t="shared" si="84"/>
        <v>1.9285714285714306</v>
      </c>
    </row>
    <row r="230" spans="1:27" s="501" customFormat="1">
      <c r="A230" s="483"/>
      <c r="B230" s="484"/>
      <c r="C230" s="485">
        <v>11</v>
      </c>
      <c r="D230" s="1202">
        <v>129.6</v>
      </c>
      <c r="E230" s="1202">
        <v>119.8</v>
      </c>
      <c r="F230" s="1202">
        <v>90.3</v>
      </c>
      <c r="G230" s="588"/>
      <c r="H230" s="588">
        <v>100</v>
      </c>
      <c r="I230" s="584">
        <f t="shared" si="57"/>
        <v>4.5</v>
      </c>
      <c r="J230" s="584">
        <f t="shared" si="58"/>
        <v>-0.79999999999999716</v>
      </c>
      <c r="K230" s="584">
        <f t="shared" si="59"/>
        <v>-1.4000000000000057</v>
      </c>
      <c r="L230" s="589"/>
      <c r="M230" s="589">
        <f t="shared" si="73"/>
        <v>124.83333333333333</v>
      </c>
      <c r="N230" s="589">
        <f t="shared" si="74"/>
        <v>120.03333333333335</v>
      </c>
      <c r="O230" s="589">
        <f t="shared" si="75"/>
        <v>91.966666666666683</v>
      </c>
      <c r="P230" s="584"/>
      <c r="Q230" s="589">
        <f t="shared" si="66"/>
        <v>3.4666666666666544</v>
      </c>
      <c r="R230" s="589">
        <f t="shared" si="67"/>
        <v>2.4666666666666686</v>
      </c>
      <c r="S230" s="589">
        <f t="shared" si="68"/>
        <v>-1.6333333333333258</v>
      </c>
      <c r="T230" s="589"/>
      <c r="U230" s="589">
        <f t="shared" si="76"/>
        <v>114.35714285714286</v>
      </c>
      <c r="V230" s="589">
        <f t="shared" si="77"/>
        <v>110.5</v>
      </c>
      <c r="W230" s="589">
        <f t="shared" si="78"/>
        <v>91.142857142857139</v>
      </c>
      <c r="X230" s="584"/>
      <c r="Y230" s="589">
        <f t="shared" si="82"/>
        <v>5.942857142857136</v>
      </c>
      <c r="Z230" s="589">
        <f t="shared" si="83"/>
        <v>5.2428571428571331</v>
      </c>
      <c r="AA230" s="590">
        <f t="shared" si="84"/>
        <v>0.82857142857142208</v>
      </c>
    </row>
    <row r="231" spans="1:27" s="501" customFormat="1">
      <c r="A231" s="487"/>
      <c r="B231" s="488"/>
      <c r="C231" s="489">
        <v>12</v>
      </c>
      <c r="D231" s="1205">
        <v>133.4</v>
      </c>
      <c r="E231" s="1203">
        <v>128</v>
      </c>
      <c r="F231" s="1203">
        <v>93</v>
      </c>
      <c r="G231" s="592"/>
      <c r="H231" s="592">
        <v>100</v>
      </c>
      <c r="I231" s="593">
        <f t="shared" si="57"/>
        <v>3.8000000000000114</v>
      </c>
      <c r="J231" s="593">
        <f t="shared" si="58"/>
        <v>8.2000000000000028</v>
      </c>
      <c r="K231" s="593">
        <f t="shared" si="59"/>
        <v>2.7000000000000028</v>
      </c>
      <c r="L231" s="594"/>
      <c r="M231" s="594">
        <f t="shared" si="73"/>
        <v>129.36666666666667</v>
      </c>
      <c r="N231" s="594">
        <f t="shared" si="74"/>
        <v>122.8</v>
      </c>
      <c r="O231" s="594">
        <f t="shared" si="75"/>
        <v>91.666666666666671</v>
      </c>
      <c r="P231" s="593"/>
      <c r="Q231" s="589">
        <f t="shared" si="66"/>
        <v>4.5333333333333456</v>
      </c>
      <c r="R231" s="589">
        <f t="shared" si="67"/>
        <v>2.7666666666666515</v>
      </c>
      <c r="S231" s="589">
        <f t="shared" si="68"/>
        <v>-0.30000000000001137</v>
      </c>
      <c r="T231" s="594"/>
      <c r="U231" s="594">
        <f t="shared" si="76"/>
        <v>119.72857142857143</v>
      </c>
      <c r="V231" s="594">
        <f t="shared" si="77"/>
        <v>115.01428571428571</v>
      </c>
      <c r="W231" s="594">
        <f t="shared" si="78"/>
        <v>91.7</v>
      </c>
      <c r="X231" s="593"/>
      <c r="Y231" s="594">
        <f t="shared" si="82"/>
        <v>5.3714285714285666</v>
      </c>
      <c r="Z231" s="594">
        <f t="shared" si="83"/>
        <v>4.5142857142857054</v>
      </c>
      <c r="AA231" s="595">
        <f t="shared" si="84"/>
        <v>0.55714285714286405</v>
      </c>
    </row>
    <row r="232" spans="1:27" s="501" customFormat="1">
      <c r="A232" s="491">
        <v>24</v>
      </c>
      <c r="B232" s="492">
        <v>12</v>
      </c>
      <c r="C232" s="493">
        <v>1</v>
      </c>
      <c r="D232" s="1206">
        <v>148</v>
      </c>
      <c r="E232" s="1206">
        <v>138.6</v>
      </c>
      <c r="F232" s="1206">
        <v>94.6</v>
      </c>
      <c r="G232" s="597"/>
      <c r="H232" s="597">
        <v>100</v>
      </c>
      <c r="I232" s="598">
        <f t="shared" si="57"/>
        <v>14.599999999999994</v>
      </c>
      <c r="J232" s="598">
        <f t="shared" si="58"/>
        <v>10.599999999999994</v>
      </c>
      <c r="K232" s="598">
        <f t="shared" si="59"/>
        <v>1.5999999999999943</v>
      </c>
      <c r="L232" s="599"/>
      <c r="M232" s="599">
        <f t="shared" si="73"/>
        <v>137</v>
      </c>
      <c r="N232" s="599">
        <f t="shared" si="74"/>
        <v>128.79999999999998</v>
      </c>
      <c r="O232" s="599">
        <f t="shared" si="75"/>
        <v>92.633333333333326</v>
      </c>
      <c r="P232" s="598"/>
      <c r="Q232" s="589">
        <f t="shared" si="66"/>
        <v>7.6333333333333258</v>
      </c>
      <c r="R232" s="589">
        <f t="shared" si="67"/>
        <v>5.9999999999999858</v>
      </c>
      <c r="S232" s="589">
        <f t="shared" si="68"/>
        <v>0.96666666666665435</v>
      </c>
      <c r="T232" s="599"/>
      <c r="U232" s="599">
        <f t="shared" si="76"/>
        <v>126.38571428571429</v>
      </c>
      <c r="V232" s="599">
        <f t="shared" si="77"/>
        <v>120.54285714285713</v>
      </c>
      <c r="W232" s="599">
        <f t="shared" si="78"/>
        <v>92.8</v>
      </c>
      <c r="X232" s="598"/>
      <c r="Y232" s="599">
        <f t="shared" ref="Y232:AA235" si="85">U232-U231</f>
        <v>6.6571428571428584</v>
      </c>
      <c r="Z232" s="599">
        <f t="shared" si="85"/>
        <v>5.5285714285714249</v>
      </c>
      <c r="AA232" s="600">
        <f t="shared" si="85"/>
        <v>1.0999999999999943</v>
      </c>
    </row>
    <row r="233" spans="1:27" s="501" customFormat="1">
      <c r="A233" s="483"/>
      <c r="B233" s="484"/>
      <c r="C233" s="485">
        <v>2</v>
      </c>
      <c r="D233" s="1202">
        <v>150.5</v>
      </c>
      <c r="E233" s="1202">
        <v>145</v>
      </c>
      <c r="F233" s="1202">
        <v>95.1</v>
      </c>
      <c r="G233" s="588"/>
      <c r="H233" s="588">
        <v>100</v>
      </c>
      <c r="I233" s="584">
        <f t="shared" si="57"/>
        <v>2.5</v>
      </c>
      <c r="J233" s="584">
        <f t="shared" si="58"/>
        <v>6.4000000000000057</v>
      </c>
      <c r="K233" s="584">
        <f t="shared" si="59"/>
        <v>0.5</v>
      </c>
      <c r="L233" s="589"/>
      <c r="M233" s="589">
        <f t="shared" si="73"/>
        <v>143.96666666666667</v>
      </c>
      <c r="N233" s="589">
        <f t="shared" si="74"/>
        <v>137.20000000000002</v>
      </c>
      <c r="O233" s="589">
        <f t="shared" si="75"/>
        <v>94.233333333333334</v>
      </c>
      <c r="P233" s="584"/>
      <c r="Q233" s="589">
        <f t="shared" si="66"/>
        <v>6.9666666666666686</v>
      </c>
      <c r="R233" s="589">
        <f t="shared" si="67"/>
        <v>8.4000000000000341</v>
      </c>
      <c r="S233" s="589">
        <f t="shared" si="68"/>
        <v>1.6000000000000085</v>
      </c>
      <c r="T233" s="589"/>
      <c r="U233" s="589">
        <f t="shared" si="76"/>
        <v>132.22857142857143</v>
      </c>
      <c r="V233" s="589">
        <f t="shared" si="77"/>
        <v>126.3</v>
      </c>
      <c r="W233" s="589">
        <f t="shared" si="78"/>
        <v>93.4</v>
      </c>
      <c r="X233" s="584"/>
      <c r="Y233" s="589">
        <f t="shared" si="85"/>
        <v>5.8428571428571416</v>
      </c>
      <c r="Z233" s="589">
        <f t="shared" si="85"/>
        <v>5.7571428571428669</v>
      </c>
      <c r="AA233" s="590">
        <f t="shared" si="85"/>
        <v>0.60000000000000853</v>
      </c>
    </row>
    <row r="234" spans="1:27" ht="17.25" customHeight="1">
      <c r="A234" s="777"/>
      <c r="B234" s="778"/>
      <c r="C234" s="779">
        <v>3</v>
      </c>
      <c r="D234" s="1204">
        <v>143.1</v>
      </c>
      <c r="E234" s="1204">
        <v>154.19999999999999</v>
      </c>
      <c r="F234" s="1204">
        <v>97.4</v>
      </c>
      <c r="G234" s="789">
        <v>170</v>
      </c>
      <c r="H234" s="789">
        <v>100</v>
      </c>
      <c r="I234" s="584">
        <f t="shared" si="57"/>
        <v>-7.4000000000000057</v>
      </c>
      <c r="J234" s="584">
        <f t="shared" si="58"/>
        <v>9.1999999999999886</v>
      </c>
      <c r="K234" s="584">
        <f t="shared" si="59"/>
        <v>2.3000000000000114</v>
      </c>
      <c r="L234" s="589"/>
      <c r="M234" s="589">
        <f t="shared" si="73"/>
        <v>147.20000000000002</v>
      </c>
      <c r="N234" s="589">
        <f t="shared" si="74"/>
        <v>145.93333333333334</v>
      </c>
      <c r="O234" s="589">
        <f t="shared" si="75"/>
        <v>95.7</v>
      </c>
      <c r="P234" s="584"/>
      <c r="Q234" s="589">
        <f t="shared" si="66"/>
        <v>3.2333333333333485</v>
      </c>
      <c r="R234" s="589">
        <f t="shared" si="67"/>
        <v>8.7333333333333201</v>
      </c>
      <c r="S234" s="589">
        <f t="shared" si="68"/>
        <v>1.4666666666666686</v>
      </c>
      <c r="T234" s="589"/>
      <c r="U234" s="589">
        <f t="shared" si="76"/>
        <v>135.64285714285714</v>
      </c>
      <c r="V234" s="589">
        <f t="shared" si="77"/>
        <v>132.27142857142857</v>
      </c>
      <c r="W234" s="589">
        <f t="shared" si="78"/>
        <v>93.714285714285708</v>
      </c>
      <c r="X234" s="584"/>
      <c r="Y234" s="589">
        <f t="shared" si="85"/>
        <v>3.414285714285711</v>
      </c>
      <c r="Z234" s="589">
        <f t="shared" si="85"/>
        <v>5.9714285714285751</v>
      </c>
      <c r="AA234" s="590">
        <f t="shared" si="85"/>
        <v>0.31428571428570251</v>
      </c>
    </row>
    <row r="235" spans="1:27" ht="17.25" customHeight="1">
      <c r="A235" s="777"/>
      <c r="B235" s="778"/>
      <c r="C235" s="779">
        <v>4</v>
      </c>
      <c r="D235" s="1204">
        <v>159</v>
      </c>
      <c r="E235" s="1204">
        <v>151.80000000000001</v>
      </c>
      <c r="F235" s="1204">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150.33333333333334</v>
      </c>
      <c r="O235" s="589">
        <f t="shared" si="75"/>
        <v>96.8</v>
      </c>
      <c r="P235" s="584"/>
      <c r="Q235" s="589">
        <f t="shared" si="66"/>
        <v>3.6666666666666572</v>
      </c>
      <c r="R235" s="589">
        <f t="shared" si="67"/>
        <v>4.4000000000000057</v>
      </c>
      <c r="S235" s="589">
        <f t="shared" si="68"/>
        <v>1.0999999999999943</v>
      </c>
      <c r="T235" s="589"/>
      <c r="U235" s="589">
        <f t="shared" si="76"/>
        <v>141.24285714285716</v>
      </c>
      <c r="V235" s="589">
        <f t="shared" si="77"/>
        <v>136.85714285714286</v>
      </c>
      <c r="W235" s="589">
        <f t="shared" si="78"/>
        <v>94.285714285714292</v>
      </c>
      <c r="X235" s="584"/>
      <c r="Y235" s="589">
        <f t="shared" si="85"/>
        <v>5.6000000000000227</v>
      </c>
      <c r="Z235" s="589">
        <f t="shared" si="85"/>
        <v>4.585714285714289</v>
      </c>
      <c r="AA235" s="590">
        <f t="shared" si="85"/>
        <v>0.57142857142858361</v>
      </c>
    </row>
    <row r="236" spans="1:27" ht="17.25" customHeight="1">
      <c r="A236" s="777"/>
      <c r="B236" s="778"/>
      <c r="C236" s="779">
        <v>5</v>
      </c>
      <c r="D236" s="1204">
        <v>157.1</v>
      </c>
      <c r="E236" s="1204">
        <v>156.5</v>
      </c>
      <c r="F236" s="1204">
        <v>100.9</v>
      </c>
      <c r="G236" s="789">
        <v>170</v>
      </c>
      <c r="H236" s="789">
        <v>100</v>
      </c>
      <c r="I236" s="584">
        <f t="shared" si="57"/>
        <v>-1.9000000000000057</v>
      </c>
      <c r="J236" s="584">
        <f t="shared" si="58"/>
        <v>4.6999999999999886</v>
      </c>
      <c r="K236" s="584">
        <f t="shared" si="59"/>
        <v>3</v>
      </c>
      <c r="L236" s="599"/>
      <c r="M236" s="589">
        <f t="shared" si="73"/>
        <v>153.06666666666669</v>
      </c>
      <c r="N236" s="589">
        <f t="shared" si="74"/>
        <v>154.16666666666666</v>
      </c>
      <c r="O236" s="589">
        <f t="shared" si="75"/>
        <v>98.733333333333348</v>
      </c>
      <c r="P236" s="584"/>
      <c r="Q236" s="589">
        <f t="shared" si="66"/>
        <v>2.2000000000000171</v>
      </c>
      <c r="R236" s="589">
        <f t="shared" si="67"/>
        <v>3.8333333333333144</v>
      </c>
      <c r="S236" s="589">
        <f t="shared" si="68"/>
        <v>1.9333333333333513</v>
      </c>
      <c r="T236" s="589"/>
      <c r="U236" s="589">
        <f t="shared" si="76"/>
        <v>145.81428571428572</v>
      </c>
      <c r="V236" s="589">
        <f t="shared" si="77"/>
        <v>141.98571428571427</v>
      </c>
      <c r="W236" s="589">
        <f t="shared" si="78"/>
        <v>95.6</v>
      </c>
      <c r="X236" s="584"/>
      <c r="Y236" s="589">
        <f t="shared" ref="Y236:AA237" si="86">U236-U235</f>
        <v>4.5714285714285552</v>
      </c>
      <c r="Z236" s="589">
        <f t="shared" si="86"/>
        <v>5.128571428571405</v>
      </c>
      <c r="AA236" s="590">
        <f t="shared" si="86"/>
        <v>1.3142857142857025</v>
      </c>
    </row>
    <row r="237" spans="1:27" ht="17.25" customHeight="1">
      <c r="A237" s="777"/>
      <c r="B237" s="778"/>
      <c r="C237" s="779">
        <v>6</v>
      </c>
      <c r="D237" s="1204">
        <v>157</v>
      </c>
      <c r="E237" s="1204">
        <v>157.1</v>
      </c>
      <c r="F237" s="1204">
        <v>100.6</v>
      </c>
      <c r="G237" s="789">
        <v>170</v>
      </c>
      <c r="H237" s="789">
        <v>100</v>
      </c>
      <c r="I237" s="584">
        <f t="shared" si="57"/>
        <v>-9.9999999999994316E-2</v>
      </c>
      <c r="J237" s="584">
        <f t="shared" si="58"/>
        <v>0.59999999999999432</v>
      </c>
      <c r="K237" s="584">
        <f t="shared" si="59"/>
        <v>-0.30000000000001137</v>
      </c>
      <c r="L237" s="599"/>
      <c r="M237" s="589">
        <f t="shared" si="73"/>
        <v>157.70000000000002</v>
      </c>
      <c r="N237" s="589">
        <f t="shared" si="74"/>
        <v>155.13333333333333</v>
      </c>
      <c r="O237" s="589">
        <f t="shared" si="75"/>
        <v>99.8</v>
      </c>
      <c r="P237" s="584"/>
      <c r="Q237" s="589">
        <f t="shared" si="66"/>
        <v>4.6333333333333258</v>
      </c>
      <c r="R237" s="589">
        <f t="shared" si="67"/>
        <v>0.96666666666666856</v>
      </c>
      <c r="S237" s="589">
        <f t="shared" si="68"/>
        <v>1.0666666666666487</v>
      </c>
      <c r="T237" s="589"/>
      <c r="U237" s="589">
        <f t="shared" si="76"/>
        <v>149.72857142857143</v>
      </c>
      <c r="V237" s="589">
        <f t="shared" si="77"/>
        <v>147.31428571428569</v>
      </c>
      <c r="W237" s="589">
        <f t="shared" si="78"/>
        <v>97.071428571428569</v>
      </c>
      <c r="X237" s="584"/>
      <c r="Y237" s="589">
        <f t="shared" si="86"/>
        <v>3.914285714285711</v>
      </c>
      <c r="Z237" s="589">
        <f t="shared" si="86"/>
        <v>5.3285714285714221</v>
      </c>
      <c r="AA237" s="590">
        <f t="shared" si="86"/>
        <v>1.4714285714285751</v>
      </c>
    </row>
    <row r="238" spans="1:27" ht="17.25" customHeight="1">
      <c r="A238" s="777"/>
      <c r="B238" s="778"/>
      <c r="C238" s="779">
        <v>7</v>
      </c>
      <c r="D238" s="1204">
        <v>155.6</v>
      </c>
      <c r="E238" s="1204">
        <v>160</v>
      </c>
      <c r="F238" s="1204">
        <v>98.8</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157.86666666666667</v>
      </c>
      <c r="O238" s="589">
        <f t="shared" si="75"/>
        <v>100.10000000000001</v>
      </c>
      <c r="P238" s="584"/>
      <c r="Q238" s="589">
        <f t="shared" si="66"/>
        <v>-1.1333333333333258</v>
      </c>
      <c r="R238" s="589">
        <f t="shared" si="67"/>
        <v>2.7333333333333485</v>
      </c>
      <c r="S238" s="589">
        <f t="shared" si="68"/>
        <v>0.30000000000001137</v>
      </c>
      <c r="T238" s="589"/>
      <c r="U238" s="589">
        <f t="shared" si="76"/>
        <v>152.9</v>
      </c>
      <c r="V238" s="589">
        <f t="shared" si="77"/>
        <v>151.8857142857143</v>
      </c>
      <c r="W238" s="589">
        <f t="shared" si="78"/>
        <v>97.899999999999991</v>
      </c>
      <c r="X238" s="584"/>
      <c r="Y238" s="589">
        <f t="shared" ref="Y238:AA239" si="87">U238-U237</f>
        <v>3.1714285714285779</v>
      </c>
      <c r="Z238" s="589">
        <f t="shared" si="87"/>
        <v>4.571428571428612</v>
      </c>
      <c r="AA238" s="590">
        <f t="shared" si="87"/>
        <v>0.82857142857142208</v>
      </c>
    </row>
    <row r="239" spans="1:27" ht="17.25" customHeight="1">
      <c r="A239" s="778"/>
      <c r="B239" s="778"/>
      <c r="C239" s="779">
        <v>8</v>
      </c>
      <c r="D239" s="1201">
        <v>154.19999999999999</v>
      </c>
      <c r="E239" s="1201">
        <v>152.19999999999999</v>
      </c>
      <c r="F239" s="1201">
        <v>98.2</v>
      </c>
      <c r="G239" s="789">
        <v>170</v>
      </c>
      <c r="H239" s="588">
        <v>100</v>
      </c>
      <c r="I239" s="584">
        <f t="shared" si="57"/>
        <v>-1.4000000000000057</v>
      </c>
      <c r="J239" s="584">
        <f t="shared" si="58"/>
        <v>-7.8000000000000114</v>
      </c>
      <c r="K239" s="584">
        <f t="shared" si="59"/>
        <v>-0.59999999999999432</v>
      </c>
      <c r="L239" s="589"/>
      <c r="M239" s="589">
        <f t="shared" si="73"/>
        <v>155.6</v>
      </c>
      <c r="N239" s="589">
        <f t="shared" si="74"/>
        <v>156.43333333333334</v>
      </c>
      <c r="O239" s="589">
        <f t="shared" si="75"/>
        <v>99.199999999999989</v>
      </c>
      <c r="P239" s="584"/>
      <c r="Q239" s="589">
        <f t="shared" si="66"/>
        <v>-0.96666666666669698</v>
      </c>
      <c r="R239" s="589">
        <f t="shared" si="67"/>
        <v>-1.4333333333333371</v>
      </c>
      <c r="S239" s="589">
        <f t="shared" si="68"/>
        <v>-0.9000000000000199</v>
      </c>
      <c r="T239" s="589"/>
      <c r="U239" s="589">
        <f t="shared" si="76"/>
        <v>153.78571428571428</v>
      </c>
      <c r="V239" s="589">
        <f t="shared" si="77"/>
        <v>153.82857142857142</v>
      </c>
      <c r="W239" s="589">
        <f t="shared" si="78"/>
        <v>98.414285714285711</v>
      </c>
      <c r="X239" s="584"/>
      <c r="Y239" s="589">
        <f t="shared" si="87"/>
        <v>0.88571428571427191</v>
      </c>
      <c r="Z239" s="589">
        <f t="shared" si="87"/>
        <v>1.9428571428571217</v>
      </c>
      <c r="AA239" s="590">
        <f t="shared" si="87"/>
        <v>0.51428571428571956</v>
      </c>
    </row>
    <row r="240" spans="1:27" ht="17.25" customHeight="1">
      <c r="A240" s="778"/>
      <c r="B240" s="778"/>
      <c r="C240" s="779">
        <v>9</v>
      </c>
      <c r="D240" s="1201">
        <v>147.1</v>
      </c>
      <c r="E240" s="1201">
        <v>150.80000000000001</v>
      </c>
      <c r="F240" s="1201">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154.33333333333334</v>
      </c>
      <c r="O240" s="589">
        <f t="shared" ref="O240:O271" si="90">AVERAGE(F238:F240)</f>
        <v>98.933333333333337</v>
      </c>
      <c r="P240" s="584"/>
      <c r="Q240" s="589">
        <f t="shared" si="66"/>
        <v>-3.3000000000000114</v>
      </c>
      <c r="R240" s="589">
        <f t="shared" si="67"/>
        <v>-2.0999999999999943</v>
      </c>
      <c r="S240" s="589">
        <f t="shared" si="68"/>
        <v>-0.26666666666665151</v>
      </c>
      <c r="T240" s="589"/>
      <c r="U240" s="589">
        <f t="shared" ref="U240:U271" si="91">AVERAGE(D234:D240)</f>
        <v>153.29999999999998</v>
      </c>
      <c r="V240" s="589">
        <f t="shared" ref="V240:V271" si="92">AVERAGE(E234:E240)</f>
        <v>154.65714285714284</v>
      </c>
      <c r="W240" s="589">
        <f t="shared" ref="W240:W271" si="93">AVERAGE(F234:F240)</f>
        <v>99.085714285714289</v>
      </c>
      <c r="X240" s="584"/>
      <c r="Y240" s="589">
        <f t="shared" ref="Y240:AA241" si="94">U240-U239</f>
        <v>-0.48571428571429465</v>
      </c>
      <c r="Z240" s="589">
        <f t="shared" si="94"/>
        <v>0.82857142857142208</v>
      </c>
      <c r="AA240" s="590">
        <f t="shared" si="94"/>
        <v>0.67142857142857792</v>
      </c>
    </row>
    <row r="241" spans="1:27" ht="17.25" customHeight="1">
      <c r="A241" s="778"/>
      <c r="B241" s="778"/>
      <c r="C241" s="779">
        <v>10</v>
      </c>
      <c r="D241" s="1201">
        <v>145.69999999999999</v>
      </c>
      <c r="E241" s="1201">
        <v>146.1</v>
      </c>
      <c r="F241" s="1201">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-4.6333333333333258</v>
      </c>
      <c r="S241" s="589">
        <f t="shared" si="68"/>
        <v>-0.20000000000000284</v>
      </c>
      <c r="T241" s="589"/>
      <c r="U241" s="589">
        <f t="shared" si="91"/>
        <v>153.67142857142858</v>
      </c>
      <c r="V241" s="589">
        <f t="shared" si="92"/>
        <v>153.49999999999997</v>
      </c>
      <c r="W241" s="589">
        <f t="shared" si="93"/>
        <v>99.2</v>
      </c>
      <c r="X241" s="584"/>
      <c r="Y241" s="589">
        <f t="shared" si="94"/>
        <v>0.37142857142859498</v>
      </c>
      <c r="Z241" s="589">
        <f t="shared" si="94"/>
        <v>-1.1571428571428726</v>
      </c>
      <c r="AA241" s="590">
        <f t="shared" si="94"/>
        <v>0.11428571428571388</v>
      </c>
    </row>
    <row r="242" spans="1:27" ht="17.25" customHeight="1">
      <c r="A242" s="778"/>
      <c r="B242" s="778"/>
      <c r="C242" s="779">
        <v>11</v>
      </c>
      <c r="D242" s="1201">
        <v>144.9</v>
      </c>
      <c r="E242" s="1201">
        <v>145</v>
      </c>
      <c r="F242" s="1201">
        <v>98</v>
      </c>
      <c r="G242" s="789">
        <v>170</v>
      </c>
      <c r="H242" s="588">
        <v>100</v>
      </c>
      <c r="I242" s="584">
        <f t="shared" si="57"/>
        <v>-0.79999999999998295</v>
      </c>
      <c r="J242" s="584">
        <f t="shared" si="58"/>
        <v>-1.0999999999999943</v>
      </c>
      <c r="K242" s="584">
        <f t="shared" si="59"/>
        <v>-0.20000000000000284</v>
      </c>
      <c r="L242" s="589"/>
      <c r="M242" s="589">
        <f t="shared" si="88"/>
        <v>145.89999999999998</v>
      </c>
      <c r="N242" s="589">
        <f t="shared" si="89"/>
        <v>147.29999999999998</v>
      </c>
      <c r="O242" s="589">
        <f t="shared" si="90"/>
        <v>98.666666666666671</v>
      </c>
      <c r="P242" s="584"/>
      <c r="Q242" s="589">
        <f t="shared" si="66"/>
        <v>-3.0999999999999943</v>
      </c>
      <c r="R242" s="589">
        <f t="shared" si="67"/>
        <v>-2.4000000000000341</v>
      </c>
      <c r="S242" s="589">
        <f t="shared" si="68"/>
        <v>-6.6666666666662877E-2</v>
      </c>
      <c r="T242" s="589"/>
      <c r="U242" s="589">
        <f t="shared" si="91"/>
        <v>151.65714285714287</v>
      </c>
      <c r="V242" s="589">
        <f t="shared" si="92"/>
        <v>152.52857142857141</v>
      </c>
      <c r="W242" s="589">
        <f t="shared" si="93"/>
        <v>99.214285714285708</v>
      </c>
      <c r="X242" s="584"/>
      <c r="Y242" s="589">
        <f t="shared" ref="Y242:AA247" si="95">U242-U241</f>
        <v>-2.0142857142857054</v>
      </c>
      <c r="Z242" s="589">
        <f t="shared" si="95"/>
        <v>-0.97142857142856087</v>
      </c>
      <c r="AA242" s="590">
        <f t="shared" si="95"/>
        <v>1.4285714285705353E-2</v>
      </c>
    </row>
    <row r="243" spans="1:27" ht="17.25" customHeight="1">
      <c r="A243" s="870"/>
      <c r="B243" s="870"/>
      <c r="C243" s="871">
        <v>12</v>
      </c>
      <c r="D243" s="1205">
        <v>138.6</v>
      </c>
      <c r="E243" s="1205">
        <v>146.30000000000001</v>
      </c>
      <c r="F243" s="1205">
        <v>97.9</v>
      </c>
      <c r="G243" s="592"/>
      <c r="H243" s="592">
        <v>100</v>
      </c>
      <c r="I243" s="593">
        <f t="shared" si="57"/>
        <v>-6.3000000000000114</v>
      </c>
      <c r="J243" s="593">
        <f t="shared" si="58"/>
        <v>1.3000000000000114</v>
      </c>
      <c r="K243" s="593">
        <f t="shared" si="59"/>
        <v>-9.9999999999994316E-2</v>
      </c>
      <c r="L243" s="594"/>
      <c r="M243" s="594">
        <f t="shared" si="88"/>
        <v>143.06666666666669</v>
      </c>
      <c r="N243" s="594">
        <f t="shared" si="89"/>
        <v>145.80000000000001</v>
      </c>
      <c r="O243" s="594">
        <f t="shared" si="90"/>
        <v>98.033333333333346</v>
      </c>
      <c r="P243" s="593"/>
      <c r="Q243" s="589">
        <f t="shared" si="66"/>
        <v>-2.833333333333286</v>
      </c>
      <c r="R243" s="589">
        <f t="shared" si="67"/>
        <v>-1.4999999999999716</v>
      </c>
      <c r="S243" s="589">
        <f t="shared" si="68"/>
        <v>-0.63333333333332575</v>
      </c>
      <c r="T243" s="594"/>
      <c r="U243" s="594">
        <f t="shared" si="91"/>
        <v>149.01428571428571</v>
      </c>
      <c r="V243" s="594">
        <f t="shared" si="92"/>
        <v>151.07142857142858</v>
      </c>
      <c r="W243" s="594">
        <f t="shared" si="93"/>
        <v>98.785714285714263</v>
      </c>
      <c r="X243" s="593"/>
      <c r="Y243" s="594">
        <f t="shared" si="95"/>
        <v>-2.6428571428571672</v>
      </c>
      <c r="Z243" s="594">
        <f t="shared" si="95"/>
        <v>-1.4571428571428271</v>
      </c>
      <c r="AA243" s="595">
        <f t="shared" si="95"/>
        <v>-0.42857142857144481</v>
      </c>
    </row>
    <row r="244" spans="1:27" ht="17.25" customHeight="1">
      <c r="A244" s="491">
        <v>25</v>
      </c>
      <c r="B244" s="869">
        <v>13</v>
      </c>
      <c r="C244" s="872">
        <v>1</v>
      </c>
      <c r="D244" s="1200">
        <v>140.5</v>
      </c>
      <c r="E244" s="1200">
        <v>150.80000000000001</v>
      </c>
      <c r="F244" s="1200">
        <v>96.2</v>
      </c>
      <c r="G244" s="582"/>
      <c r="H244" s="582">
        <v>100</v>
      </c>
      <c r="I244" s="598">
        <f t="shared" si="57"/>
        <v>1.9000000000000057</v>
      </c>
      <c r="J244" s="598">
        <f t="shared" si="58"/>
        <v>4.5</v>
      </c>
      <c r="K244" s="598">
        <f t="shared" si="59"/>
        <v>-1.7000000000000028</v>
      </c>
      <c r="L244" s="585"/>
      <c r="M244" s="599">
        <f t="shared" si="88"/>
        <v>141.33333333333334</v>
      </c>
      <c r="N244" s="599">
        <f t="shared" si="89"/>
        <v>147.36666666666667</v>
      </c>
      <c r="O244" s="599">
        <f t="shared" si="90"/>
        <v>97.366666666666674</v>
      </c>
      <c r="P244" s="583"/>
      <c r="Q244" s="589">
        <f t="shared" si="66"/>
        <v>-1.7333333333333485</v>
      </c>
      <c r="R244" s="589">
        <f t="shared" si="67"/>
        <v>1.5666666666666629</v>
      </c>
      <c r="S244" s="589">
        <f t="shared" si="68"/>
        <v>-0.6666666666666714</v>
      </c>
      <c r="T244" s="585"/>
      <c r="U244" s="599">
        <f t="shared" si="91"/>
        <v>146.65714285714284</v>
      </c>
      <c r="V244" s="599">
        <f t="shared" si="92"/>
        <v>150.17142857142858</v>
      </c>
      <c r="W244" s="599">
        <f t="shared" si="93"/>
        <v>98.157142857142858</v>
      </c>
      <c r="X244" s="583"/>
      <c r="Y244" s="599">
        <f t="shared" si="95"/>
        <v>-2.3571428571428612</v>
      </c>
      <c r="Z244" s="599">
        <f t="shared" si="95"/>
        <v>-0.90000000000000568</v>
      </c>
      <c r="AA244" s="600">
        <f t="shared" si="95"/>
        <v>-0.62857142857140502</v>
      </c>
    </row>
    <row r="245" spans="1:27" ht="17.25" customHeight="1">
      <c r="A245" s="778"/>
      <c r="B245" s="778"/>
      <c r="C245" s="779">
        <v>2</v>
      </c>
      <c r="D245" s="1207">
        <v>145.69999999999999</v>
      </c>
      <c r="E245" s="1207">
        <v>149.4</v>
      </c>
      <c r="F245" s="1207">
        <v>98.8</v>
      </c>
      <c r="G245" s="597"/>
      <c r="H245" s="597">
        <v>100</v>
      </c>
      <c r="I245" s="584">
        <f t="shared" si="57"/>
        <v>5.1999999999999886</v>
      </c>
      <c r="J245" s="584">
        <f t="shared" si="58"/>
        <v>-1.4000000000000057</v>
      </c>
      <c r="K245" s="584">
        <f t="shared" si="59"/>
        <v>2.5999999999999943</v>
      </c>
      <c r="L245" s="589"/>
      <c r="M245" s="589">
        <f t="shared" si="88"/>
        <v>141.6</v>
      </c>
      <c r="N245" s="589">
        <f t="shared" si="89"/>
        <v>148.83333333333334</v>
      </c>
      <c r="O245" s="589">
        <f t="shared" si="90"/>
        <v>97.63333333333334</v>
      </c>
      <c r="P245" s="584"/>
      <c r="Q245" s="589">
        <f t="shared" si="66"/>
        <v>0.26666666666665151</v>
      </c>
      <c r="R245" s="589">
        <f t="shared" si="67"/>
        <v>1.4666666666666686</v>
      </c>
      <c r="S245" s="589">
        <f t="shared" si="68"/>
        <v>0.26666666666666572</v>
      </c>
      <c r="T245" s="589"/>
      <c r="U245" s="589">
        <f t="shared" si="91"/>
        <v>145.24285714285716</v>
      </c>
      <c r="V245" s="589">
        <f t="shared" si="92"/>
        <v>148.65714285714287</v>
      </c>
      <c r="W245" s="589">
        <f t="shared" si="93"/>
        <v>98.157142857142858</v>
      </c>
      <c r="X245" s="584"/>
      <c r="Y245" s="589">
        <f t="shared" si="95"/>
        <v>-1.4142857142856826</v>
      </c>
      <c r="Z245" s="589">
        <f t="shared" si="95"/>
        <v>-1.5142857142857054</v>
      </c>
      <c r="AA245" s="590">
        <f t="shared" si="95"/>
        <v>0</v>
      </c>
    </row>
    <row r="246" spans="1:27" ht="17.25" customHeight="1">
      <c r="A246" s="778"/>
      <c r="B246" s="778"/>
      <c r="C246" s="779">
        <v>3</v>
      </c>
      <c r="D246" s="1201">
        <v>140</v>
      </c>
      <c r="E246" s="1201">
        <v>153.1</v>
      </c>
      <c r="F246" s="1201">
        <v>103</v>
      </c>
      <c r="G246" s="588"/>
      <c r="H246" s="588">
        <v>100</v>
      </c>
      <c r="I246" s="584">
        <f t="shared" si="57"/>
        <v>-5.6999999999999886</v>
      </c>
      <c r="J246" s="584">
        <f t="shared" si="58"/>
        <v>3.6999999999999886</v>
      </c>
      <c r="K246" s="584">
        <f t="shared" si="59"/>
        <v>4.2000000000000028</v>
      </c>
      <c r="L246" s="589"/>
      <c r="M246" s="589">
        <f t="shared" si="88"/>
        <v>142.06666666666666</v>
      </c>
      <c r="N246" s="589">
        <f t="shared" si="89"/>
        <v>151.10000000000002</v>
      </c>
      <c r="O246" s="589">
        <f t="shared" si="90"/>
        <v>99.333333333333329</v>
      </c>
      <c r="P246" s="584"/>
      <c r="Q246" s="589">
        <f t="shared" si="66"/>
        <v>0.46666666666666856</v>
      </c>
      <c r="R246" s="589">
        <f t="shared" si="67"/>
        <v>2.2666666666666799</v>
      </c>
      <c r="S246" s="589">
        <f t="shared" si="68"/>
        <v>1.6999999999999886</v>
      </c>
      <c r="T246" s="589"/>
      <c r="U246" s="589">
        <f t="shared" si="91"/>
        <v>143.21428571428572</v>
      </c>
      <c r="V246" s="589">
        <f t="shared" si="92"/>
        <v>148.78571428571428</v>
      </c>
      <c r="W246" s="589">
        <f t="shared" si="93"/>
        <v>98.842857142857142</v>
      </c>
      <c r="X246" s="584"/>
      <c r="Y246" s="589">
        <f t="shared" si="95"/>
        <v>-2.0285714285714391</v>
      </c>
      <c r="Z246" s="589">
        <f t="shared" si="95"/>
        <v>0.12857142857140502</v>
      </c>
      <c r="AA246" s="590">
        <f t="shared" si="95"/>
        <v>0.68571428571428328</v>
      </c>
    </row>
    <row r="247" spans="1:27" ht="17.25" customHeight="1">
      <c r="A247" s="778"/>
      <c r="B247" s="778"/>
      <c r="C247" s="779">
        <v>4</v>
      </c>
      <c r="D247" s="1201">
        <v>138.19999999999999</v>
      </c>
      <c r="E247" s="1201">
        <v>145.69999999999999</v>
      </c>
      <c r="F247" s="1201">
        <v>99.3</v>
      </c>
      <c r="G247" s="588"/>
      <c r="H247" s="588">
        <v>100</v>
      </c>
      <c r="I247" s="584">
        <f t="shared" si="57"/>
        <v>-1.8000000000000114</v>
      </c>
      <c r="J247" s="584">
        <f t="shared" si="58"/>
        <v>-7.4000000000000057</v>
      </c>
      <c r="K247" s="584">
        <f t="shared" si="59"/>
        <v>-3.7000000000000028</v>
      </c>
      <c r="L247" s="589"/>
      <c r="M247" s="589">
        <f t="shared" si="88"/>
        <v>141.29999999999998</v>
      </c>
      <c r="N247" s="589">
        <f t="shared" si="89"/>
        <v>149.4</v>
      </c>
      <c r="O247" s="589">
        <f t="shared" si="90"/>
        <v>100.36666666666667</v>
      </c>
      <c r="P247" s="584"/>
      <c r="Q247" s="589">
        <f t="shared" si="66"/>
        <v>-0.76666666666667993</v>
      </c>
      <c r="R247" s="589">
        <f t="shared" si="67"/>
        <v>-1.7000000000000171</v>
      </c>
      <c r="S247" s="589">
        <f t="shared" si="68"/>
        <v>1.0333333333333456</v>
      </c>
      <c r="T247" s="589"/>
      <c r="U247" s="589">
        <f t="shared" si="91"/>
        <v>141.94285714285715</v>
      </c>
      <c r="V247" s="589">
        <f t="shared" si="92"/>
        <v>148.05714285714288</v>
      </c>
      <c r="W247" s="589">
        <f t="shared" si="93"/>
        <v>98.771428571428572</v>
      </c>
      <c r="X247" s="589"/>
      <c r="Y247" s="589">
        <f t="shared" si="95"/>
        <v>-1.2714285714285722</v>
      </c>
      <c r="Z247" s="589">
        <f t="shared" si="95"/>
        <v>-0.72857142857139934</v>
      </c>
      <c r="AA247" s="590">
        <f t="shared" si="95"/>
        <v>-7.1428571428569398E-2</v>
      </c>
    </row>
    <row r="248" spans="1:27" ht="17.25" customHeight="1">
      <c r="A248" s="778"/>
      <c r="B248" s="778"/>
      <c r="C248" s="779">
        <v>5</v>
      </c>
      <c r="D248" s="1201">
        <v>138.4</v>
      </c>
      <c r="E248" s="1201">
        <v>148</v>
      </c>
      <c r="F248" s="1201">
        <v>102.2</v>
      </c>
      <c r="G248" s="588"/>
      <c r="H248" s="588">
        <v>100</v>
      </c>
      <c r="I248" s="584">
        <f t="shared" si="57"/>
        <v>0.20000000000001705</v>
      </c>
      <c r="J248" s="584">
        <f t="shared" si="58"/>
        <v>2.3000000000000114</v>
      </c>
      <c r="K248" s="584">
        <f t="shared" si="59"/>
        <v>2.9000000000000057</v>
      </c>
      <c r="L248" s="589"/>
      <c r="M248" s="589">
        <f t="shared" si="88"/>
        <v>138.86666666666667</v>
      </c>
      <c r="N248" s="589">
        <f t="shared" si="89"/>
        <v>148.93333333333331</v>
      </c>
      <c r="O248" s="589">
        <f t="shared" si="90"/>
        <v>101.5</v>
      </c>
      <c r="P248" s="584"/>
      <c r="Q248" s="589">
        <f t="shared" si="66"/>
        <v>-2.4333333333333087</v>
      </c>
      <c r="R248" s="589">
        <f t="shared" si="67"/>
        <v>-0.46666666666669698</v>
      </c>
      <c r="S248" s="589">
        <f t="shared" si="68"/>
        <v>1.1333333333333258</v>
      </c>
      <c r="T248" s="589"/>
      <c r="U248" s="589">
        <f t="shared" si="91"/>
        <v>140.9</v>
      </c>
      <c r="V248" s="589">
        <f t="shared" si="92"/>
        <v>148.32857142857142</v>
      </c>
      <c r="W248" s="589">
        <f t="shared" si="93"/>
        <v>99.342857142857156</v>
      </c>
      <c r="X248" s="589"/>
      <c r="Y248" s="589">
        <f t="shared" ref="Y248:AA249" si="96">U248-U247</f>
        <v>-1.0428571428571445</v>
      </c>
      <c r="Z248" s="589">
        <f t="shared" si="96"/>
        <v>0.27142857142854382</v>
      </c>
      <c r="AA248" s="590">
        <f t="shared" si="96"/>
        <v>0.57142857142858361</v>
      </c>
    </row>
    <row r="249" spans="1:27" ht="17.25" customHeight="1">
      <c r="A249" s="778"/>
      <c r="B249" s="778"/>
      <c r="C249" s="779">
        <v>6</v>
      </c>
      <c r="D249" s="1201">
        <v>136.80000000000001</v>
      </c>
      <c r="E249" s="1201">
        <v>152.5</v>
      </c>
      <c r="F249" s="1201">
        <v>105.7</v>
      </c>
      <c r="G249" s="588"/>
      <c r="H249" s="588">
        <v>100</v>
      </c>
      <c r="I249" s="584">
        <f t="shared" si="57"/>
        <v>-1.5999999999999943</v>
      </c>
      <c r="J249" s="584">
        <f t="shared" si="58"/>
        <v>4.5</v>
      </c>
      <c r="K249" s="584">
        <f t="shared" si="59"/>
        <v>3.5</v>
      </c>
      <c r="L249" s="589"/>
      <c r="M249" s="589">
        <f t="shared" si="88"/>
        <v>137.80000000000001</v>
      </c>
      <c r="N249" s="589">
        <f t="shared" si="89"/>
        <v>148.73333333333332</v>
      </c>
      <c r="O249" s="589">
        <f t="shared" si="90"/>
        <v>102.39999999999999</v>
      </c>
      <c r="P249" s="584"/>
      <c r="Q249" s="589">
        <f t="shared" si="66"/>
        <v>-1.0666666666666629</v>
      </c>
      <c r="R249" s="589">
        <f t="shared" si="67"/>
        <v>-0.19999999999998863</v>
      </c>
      <c r="S249" s="589">
        <f t="shared" si="68"/>
        <v>0.89999999999999147</v>
      </c>
      <c r="T249" s="589"/>
      <c r="U249" s="589">
        <f t="shared" si="91"/>
        <v>139.74285714285716</v>
      </c>
      <c r="V249" s="589">
        <f t="shared" si="92"/>
        <v>149.4</v>
      </c>
      <c r="W249" s="589">
        <f t="shared" si="93"/>
        <v>100.44285714285716</v>
      </c>
      <c r="X249" s="589"/>
      <c r="Y249" s="589">
        <f t="shared" si="96"/>
        <v>-1.1571428571428442</v>
      </c>
      <c r="Z249" s="589">
        <f t="shared" si="96"/>
        <v>1.0714285714285836</v>
      </c>
      <c r="AA249" s="590">
        <f t="shared" si="96"/>
        <v>1.1000000000000085</v>
      </c>
    </row>
    <row r="250" spans="1:27" ht="17.25" customHeight="1">
      <c r="A250" s="778"/>
      <c r="B250" s="778"/>
      <c r="C250" s="779">
        <v>7</v>
      </c>
      <c r="D250" s="1201">
        <v>136.69999999999999</v>
      </c>
      <c r="E250" s="1201">
        <v>152.9</v>
      </c>
      <c r="F250" s="1201">
        <v>105.6</v>
      </c>
      <c r="G250" s="588"/>
      <c r="H250" s="588">
        <v>100</v>
      </c>
      <c r="I250" s="584">
        <f t="shared" si="57"/>
        <v>-0.10000000000002274</v>
      </c>
      <c r="J250" s="584">
        <f t="shared" si="58"/>
        <v>0.40000000000000568</v>
      </c>
      <c r="K250" s="584">
        <f t="shared" si="59"/>
        <v>-0.10000000000000853</v>
      </c>
      <c r="L250" s="589"/>
      <c r="M250" s="589">
        <f t="shared" si="88"/>
        <v>137.30000000000001</v>
      </c>
      <c r="N250" s="589">
        <f t="shared" si="89"/>
        <v>151.13333333333333</v>
      </c>
      <c r="O250" s="589">
        <f t="shared" si="90"/>
        <v>104.5</v>
      </c>
      <c r="P250" s="584"/>
      <c r="Q250" s="589">
        <f t="shared" si="66"/>
        <v>-0.5</v>
      </c>
      <c r="R250" s="589">
        <f t="shared" si="67"/>
        <v>2.4000000000000057</v>
      </c>
      <c r="S250" s="589">
        <f t="shared" si="68"/>
        <v>2.1000000000000085</v>
      </c>
      <c r="T250" s="589"/>
      <c r="U250" s="589">
        <f t="shared" si="91"/>
        <v>139.47142857142856</v>
      </c>
      <c r="V250" s="589">
        <f t="shared" si="92"/>
        <v>150.34285714285716</v>
      </c>
      <c r="W250" s="589">
        <f t="shared" si="93"/>
        <v>101.54285714285716</v>
      </c>
      <c r="X250" s="589"/>
      <c r="Y250" s="589">
        <f t="shared" ref="Y250:AA251" si="97">U250-U249</f>
        <v>-0.27142857142860066</v>
      </c>
      <c r="Z250" s="589">
        <f t="shared" si="97"/>
        <v>0.94285714285715017</v>
      </c>
      <c r="AA250" s="590">
        <f t="shared" si="97"/>
        <v>1.0999999999999943</v>
      </c>
    </row>
    <row r="251" spans="1:27" ht="17.25" customHeight="1">
      <c r="A251" s="778"/>
      <c r="B251" s="778"/>
      <c r="C251" s="779">
        <v>8</v>
      </c>
      <c r="D251" s="1201">
        <v>141.5</v>
      </c>
      <c r="E251" s="1201">
        <v>158</v>
      </c>
      <c r="F251" s="1201">
        <v>106.4</v>
      </c>
      <c r="G251" s="588"/>
      <c r="H251" s="588">
        <v>100</v>
      </c>
      <c r="I251" s="584">
        <f t="shared" si="57"/>
        <v>4.8000000000000114</v>
      </c>
      <c r="J251" s="584">
        <f t="shared" si="58"/>
        <v>5.0999999999999943</v>
      </c>
      <c r="K251" s="584">
        <f t="shared" si="59"/>
        <v>0.80000000000001137</v>
      </c>
      <c r="L251" s="589"/>
      <c r="M251" s="589">
        <f t="shared" si="88"/>
        <v>138.33333333333334</v>
      </c>
      <c r="N251" s="589">
        <f t="shared" si="89"/>
        <v>154.46666666666667</v>
      </c>
      <c r="O251" s="589">
        <f t="shared" si="90"/>
        <v>105.90000000000002</v>
      </c>
      <c r="P251" s="584"/>
      <c r="Q251" s="589">
        <f t="shared" si="66"/>
        <v>1.0333333333333314</v>
      </c>
      <c r="R251" s="589">
        <f t="shared" si="67"/>
        <v>3.3333333333333428</v>
      </c>
      <c r="S251" s="589">
        <f t="shared" si="68"/>
        <v>1.4000000000000199</v>
      </c>
      <c r="T251" s="589"/>
      <c r="U251" s="589">
        <f t="shared" si="91"/>
        <v>139.6142857142857</v>
      </c>
      <c r="V251" s="589">
        <f t="shared" si="92"/>
        <v>151.37142857142857</v>
      </c>
      <c r="W251" s="589">
        <f t="shared" si="93"/>
        <v>103</v>
      </c>
      <c r="X251" s="589"/>
      <c r="Y251" s="589">
        <f t="shared" si="97"/>
        <v>0.1428571428571388</v>
      </c>
      <c r="Z251" s="589">
        <f t="shared" si="97"/>
        <v>1.0285714285714107</v>
      </c>
      <c r="AA251" s="590">
        <f t="shared" si="97"/>
        <v>1.4571428571428413</v>
      </c>
    </row>
    <row r="252" spans="1:27" ht="17.25" customHeight="1">
      <c r="A252" s="778"/>
      <c r="B252" s="778"/>
      <c r="C252" s="779">
        <v>9</v>
      </c>
      <c r="D252" s="1201">
        <v>141.9</v>
      </c>
      <c r="E252" s="1201">
        <v>156.1</v>
      </c>
      <c r="F252" s="1201">
        <v>107.3</v>
      </c>
      <c r="G252" s="588"/>
      <c r="H252" s="588">
        <v>100</v>
      </c>
      <c r="I252" s="584">
        <f t="shared" si="57"/>
        <v>0.40000000000000568</v>
      </c>
      <c r="J252" s="584">
        <f t="shared" si="58"/>
        <v>-1.9000000000000057</v>
      </c>
      <c r="K252" s="584">
        <f t="shared" si="59"/>
        <v>0.89999999999999147</v>
      </c>
      <c r="L252" s="589"/>
      <c r="M252" s="589">
        <f t="shared" si="88"/>
        <v>140.03333333333333</v>
      </c>
      <c r="N252" s="589">
        <f t="shared" si="89"/>
        <v>155.66666666666666</v>
      </c>
      <c r="O252" s="589">
        <f t="shared" si="90"/>
        <v>106.43333333333334</v>
      </c>
      <c r="P252" s="584"/>
      <c r="Q252" s="589">
        <f t="shared" si="66"/>
        <v>1.6999999999999886</v>
      </c>
      <c r="R252" s="589">
        <f t="shared" si="67"/>
        <v>1.1999999999999886</v>
      </c>
      <c r="S252" s="589">
        <f t="shared" si="68"/>
        <v>0.53333333333331723</v>
      </c>
      <c r="T252" s="589"/>
      <c r="U252" s="589">
        <f t="shared" si="91"/>
        <v>139.07142857142858</v>
      </c>
      <c r="V252" s="589">
        <f t="shared" si="92"/>
        <v>152.32857142857142</v>
      </c>
      <c r="W252" s="589">
        <f t="shared" si="93"/>
        <v>104.21428571428569</v>
      </c>
      <c r="X252" s="589"/>
      <c r="Y252" s="589">
        <f t="shared" ref="Y252:AA253" si="98">U252-U251</f>
        <v>-0.54285714285711606</v>
      </c>
      <c r="Z252" s="589">
        <f t="shared" si="98"/>
        <v>0.95714285714285552</v>
      </c>
      <c r="AA252" s="590">
        <f t="shared" si="98"/>
        <v>1.214285714285694</v>
      </c>
    </row>
    <row r="253" spans="1:27" ht="17.25" customHeight="1">
      <c r="A253" s="778"/>
      <c r="B253" s="778"/>
      <c r="C253" s="779">
        <v>10</v>
      </c>
      <c r="D253" s="1201">
        <v>140.5</v>
      </c>
      <c r="E253" s="1201">
        <v>153.1</v>
      </c>
      <c r="F253" s="1201">
        <v>106.9</v>
      </c>
      <c r="G253" s="588"/>
      <c r="H253" s="588">
        <v>100</v>
      </c>
      <c r="I253" s="584">
        <f t="shared" si="57"/>
        <v>-1.4000000000000057</v>
      </c>
      <c r="J253" s="584">
        <f t="shared" si="58"/>
        <v>-3</v>
      </c>
      <c r="K253" s="584">
        <f t="shared" si="59"/>
        <v>-0.39999999999999147</v>
      </c>
      <c r="L253" s="589"/>
      <c r="M253" s="589">
        <f t="shared" si="88"/>
        <v>141.29999999999998</v>
      </c>
      <c r="N253" s="589">
        <f t="shared" si="89"/>
        <v>155.73333333333335</v>
      </c>
      <c r="O253" s="589">
        <f t="shared" si="90"/>
        <v>106.86666666666667</v>
      </c>
      <c r="P253" s="584"/>
      <c r="Q253" s="589">
        <f t="shared" si="66"/>
        <v>1.2666666666666515</v>
      </c>
      <c r="R253" s="589">
        <f t="shared" si="67"/>
        <v>6.6666666666691299E-2</v>
      </c>
      <c r="S253" s="589">
        <f t="shared" si="68"/>
        <v>0.43333333333333712</v>
      </c>
      <c r="T253" s="589"/>
      <c r="U253" s="589">
        <f t="shared" si="91"/>
        <v>139.14285714285714</v>
      </c>
      <c r="V253" s="589">
        <f t="shared" si="92"/>
        <v>152.32857142857142</v>
      </c>
      <c r="W253" s="589">
        <f t="shared" si="93"/>
        <v>104.77142857142856</v>
      </c>
      <c r="X253" s="589"/>
      <c r="Y253" s="589">
        <f t="shared" si="98"/>
        <v>7.1428571428555188E-2</v>
      </c>
      <c r="Z253" s="589">
        <f t="shared" si="98"/>
        <v>0</v>
      </c>
      <c r="AA253" s="590">
        <f t="shared" si="98"/>
        <v>0.55714285714286405</v>
      </c>
    </row>
    <row r="254" spans="1:27" ht="17.25" customHeight="1">
      <c r="A254" s="778"/>
      <c r="B254" s="778"/>
      <c r="C254" s="779">
        <v>11</v>
      </c>
      <c r="D254" s="1201">
        <v>139.1</v>
      </c>
      <c r="E254" s="1201">
        <v>157.5</v>
      </c>
      <c r="F254" s="1201">
        <v>110.1</v>
      </c>
      <c r="G254" s="588"/>
      <c r="H254" s="588">
        <v>100</v>
      </c>
      <c r="I254" s="584">
        <f t="shared" si="57"/>
        <v>-1.4000000000000057</v>
      </c>
      <c r="J254" s="584">
        <f t="shared" si="58"/>
        <v>4.4000000000000057</v>
      </c>
      <c r="K254" s="584">
        <f t="shared" si="59"/>
        <v>3.1999999999999886</v>
      </c>
      <c r="L254" s="589"/>
      <c r="M254" s="589">
        <f t="shared" si="88"/>
        <v>140.5</v>
      </c>
      <c r="N254" s="589">
        <f t="shared" si="89"/>
        <v>155.56666666666666</v>
      </c>
      <c r="O254" s="589">
        <f t="shared" si="90"/>
        <v>108.09999999999998</v>
      </c>
      <c r="P254" s="584"/>
      <c r="Q254" s="589">
        <f t="shared" si="66"/>
        <v>-0.79999999999998295</v>
      </c>
      <c r="R254" s="589">
        <f t="shared" si="67"/>
        <v>-0.16666666666668561</v>
      </c>
      <c r="S254" s="589">
        <f t="shared" si="68"/>
        <v>1.2333333333333059</v>
      </c>
      <c r="T254" s="589"/>
      <c r="U254" s="589">
        <f t="shared" si="91"/>
        <v>139.27142857142857</v>
      </c>
      <c r="V254" s="589">
        <f t="shared" si="92"/>
        <v>154.01428571428571</v>
      </c>
      <c r="W254" s="589">
        <f t="shared" si="93"/>
        <v>106.3142857142857</v>
      </c>
      <c r="X254" s="589"/>
      <c r="Y254" s="589">
        <f t="shared" ref="Y254:AA255" si="99">U254-U253</f>
        <v>0.12857142857143344</v>
      </c>
      <c r="Z254" s="589">
        <f t="shared" si="99"/>
        <v>1.6857142857142833</v>
      </c>
      <c r="AA254" s="590">
        <f t="shared" si="99"/>
        <v>1.5428571428571445</v>
      </c>
    </row>
    <row r="255" spans="1:27" ht="17.25" customHeight="1">
      <c r="A255" s="870"/>
      <c r="B255" s="870"/>
      <c r="C255" s="874">
        <v>12</v>
      </c>
      <c r="D255" s="1205">
        <v>139.5</v>
      </c>
      <c r="E255" s="1205">
        <v>154</v>
      </c>
      <c r="F255" s="1205">
        <v>111</v>
      </c>
      <c r="G255" s="592"/>
      <c r="H255" s="592">
        <v>100</v>
      </c>
      <c r="I255" s="593">
        <f t="shared" si="57"/>
        <v>0.40000000000000568</v>
      </c>
      <c r="J255" s="593">
        <f t="shared" si="58"/>
        <v>-3.5</v>
      </c>
      <c r="K255" s="593">
        <f t="shared" si="59"/>
        <v>0.90000000000000568</v>
      </c>
      <c r="L255" s="594"/>
      <c r="M255" s="594">
        <f t="shared" si="88"/>
        <v>139.70000000000002</v>
      </c>
      <c r="N255" s="594">
        <f t="shared" si="89"/>
        <v>154.86666666666667</v>
      </c>
      <c r="O255" s="594">
        <f t="shared" si="90"/>
        <v>109.33333333333333</v>
      </c>
      <c r="P255" s="593"/>
      <c r="Q255" s="594">
        <f t="shared" si="66"/>
        <v>-0.79999999999998295</v>
      </c>
      <c r="R255" s="594">
        <f t="shared" si="67"/>
        <v>-0.69999999999998863</v>
      </c>
      <c r="S255" s="594">
        <f t="shared" si="68"/>
        <v>1.2333333333333485</v>
      </c>
      <c r="T255" s="594"/>
      <c r="U255" s="594">
        <f t="shared" si="91"/>
        <v>139.42857142857142</v>
      </c>
      <c r="V255" s="594">
        <f t="shared" si="92"/>
        <v>154.87142857142857</v>
      </c>
      <c r="W255" s="594">
        <f t="shared" si="93"/>
        <v>107.57142857142858</v>
      </c>
      <c r="X255" s="594"/>
      <c r="Y255" s="594">
        <f t="shared" si="99"/>
        <v>0.15714285714284415</v>
      </c>
      <c r="Z255" s="594">
        <f t="shared" si="99"/>
        <v>0.8571428571428612</v>
      </c>
      <c r="AA255" s="595">
        <f t="shared" si="99"/>
        <v>1.2571428571428811</v>
      </c>
    </row>
    <row r="256" spans="1:27" ht="17.25" customHeight="1">
      <c r="A256" s="491">
        <v>26</v>
      </c>
      <c r="B256" s="869">
        <v>14</v>
      </c>
      <c r="C256" s="872">
        <v>1</v>
      </c>
      <c r="D256" s="1207">
        <v>139.80000000000001</v>
      </c>
      <c r="E256" s="1207">
        <v>156.69999999999999</v>
      </c>
      <c r="F256" s="1207">
        <v>111.9</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156.06666666666666</v>
      </c>
      <c r="O256" s="589">
        <f t="shared" si="90"/>
        <v>111</v>
      </c>
      <c r="P256" s="584"/>
      <c r="Q256" s="599">
        <f t="shared" si="66"/>
        <v>-0.23333333333334849</v>
      </c>
      <c r="R256" s="599">
        <f t="shared" si="67"/>
        <v>1.1999999999999886</v>
      </c>
      <c r="S256" s="599">
        <f t="shared" si="68"/>
        <v>1.6666666666666714</v>
      </c>
      <c r="T256" s="589"/>
      <c r="U256" s="589">
        <f t="shared" si="91"/>
        <v>139.85714285714286</v>
      </c>
      <c r="V256" s="589">
        <f t="shared" si="92"/>
        <v>155.47142857142856</v>
      </c>
      <c r="W256" s="589">
        <f t="shared" si="93"/>
        <v>108.45714285714287</v>
      </c>
      <c r="X256" s="589"/>
      <c r="Y256" s="589">
        <f>U256-U255</f>
        <v>0.42857142857144481</v>
      </c>
      <c r="Z256" s="589">
        <f>V256-V255</f>
        <v>0.59999999999999432</v>
      </c>
      <c r="AA256" s="590">
        <f>W256-W255</f>
        <v>0.88571428571428612</v>
      </c>
    </row>
    <row r="257" spans="1:27" ht="17.25" customHeight="1">
      <c r="A257" s="778"/>
      <c r="B257" s="778"/>
      <c r="C257" s="779">
        <v>2</v>
      </c>
      <c r="D257" s="1207">
        <v>139.1</v>
      </c>
      <c r="E257" s="1207">
        <v>156</v>
      </c>
      <c r="F257" s="1207">
        <v>112.3</v>
      </c>
      <c r="G257" s="597"/>
      <c r="H257" s="588">
        <v>100</v>
      </c>
      <c r="I257" s="584">
        <f t="shared" si="100"/>
        <v>-0.70000000000001705</v>
      </c>
      <c r="J257" s="584">
        <f t="shared" si="101"/>
        <v>-0.69999999999998863</v>
      </c>
      <c r="K257" s="584">
        <f t="shared" si="102"/>
        <v>0.39999999999999147</v>
      </c>
      <c r="L257" s="589"/>
      <c r="M257" s="589">
        <f t="shared" si="88"/>
        <v>139.46666666666667</v>
      </c>
      <c r="N257" s="589">
        <f t="shared" si="89"/>
        <v>155.56666666666666</v>
      </c>
      <c r="O257" s="589">
        <f t="shared" si="90"/>
        <v>111.73333333333333</v>
      </c>
      <c r="P257" s="584"/>
      <c r="Q257" s="589">
        <f t="shared" si="66"/>
        <v>0</v>
      </c>
      <c r="R257" s="589">
        <f t="shared" si="67"/>
        <v>-0.5</v>
      </c>
      <c r="S257" s="589">
        <f t="shared" si="68"/>
        <v>0.73333333333333428</v>
      </c>
      <c r="T257" s="589"/>
      <c r="U257" s="589">
        <f t="shared" si="91"/>
        <v>140.19999999999999</v>
      </c>
      <c r="V257" s="589">
        <f t="shared" si="92"/>
        <v>155.91428571428574</v>
      </c>
      <c r="W257" s="589">
        <f t="shared" si="93"/>
        <v>109.41428571428571</v>
      </c>
      <c r="X257" s="589"/>
      <c r="Y257" s="589">
        <f t="shared" ref="Y257:Y296" si="103">U257-U256</f>
        <v>0.34285714285712743</v>
      </c>
      <c r="Z257" s="589">
        <f t="shared" ref="Z257:Z296" si="104">V257-V256</f>
        <v>0.44285714285717859</v>
      </c>
      <c r="AA257" s="590">
        <f t="shared" ref="AA257:AA296" si="105">W257-W256</f>
        <v>0.95714285714284131</v>
      </c>
    </row>
    <row r="258" spans="1:27" ht="17.25" customHeight="1">
      <c r="A258" s="778"/>
      <c r="B258" s="778"/>
      <c r="C258" s="779">
        <v>3</v>
      </c>
      <c r="D258" s="1201">
        <v>135.9</v>
      </c>
      <c r="E258" s="1201">
        <v>145.6</v>
      </c>
      <c r="F258" s="1201">
        <v>106.5</v>
      </c>
      <c r="G258" s="588"/>
      <c r="H258" s="588">
        <v>100</v>
      </c>
      <c r="I258" s="584">
        <f t="shared" si="100"/>
        <v>-3.1999999999999886</v>
      </c>
      <c r="J258" s="584">
        <f t="shared" si="101"/>
        <v>-10.400000000000006</v>
      </c>
      <c r="K258" s="584">
        <f t="shared" si="102"/>
        <v>-5.7999999999999972</v>
      </c>
      <c r="L258" s="589"/>
      <c r="M258" s="589">
        <f t="shared" si="88"/>
        <v>138.26666666666665</v>
      </c>
      <c r="N258" s="589">
        <f t="shared" si="89"/>
        <v>152.76666666666665</v>
      </c>
      <c r="O258" s="589">
        <f t="shared" si="90"/>
        <v>110.23333333333333</v>
      </c>
      <c r="P258" s="584"/>
      <c r="Q258" s="589">
        <f t="shared" si="66"/>
        <v>-1.2000000000000171</v>
      </c>
      <c r="R258" s="589">
        <f t="shared" si="67"/>
        <v>-2.8000000000000114</v>
      </c>
      <c r="S258" s="589">
        <f t="shared" si="68"/>
        <v>-1.5</v>
      </c>
      <c r="T258" s="589"/>
      <c r="U258" s="589">
        <f t="shared" si="91"/>
        <v>139.4</v>
      </c>
      <c r="V258" s="589">
        <f t="shared" si="92"/>
        <v>154.14285714285714</v>
      </c>
      <c r="W258" s="589">
        <f t="shared" si="93"/>
        <v>109.42857142857142</v>
      </c>
      <c r="X258" s="589"/>
      <c r="Y258" s="589">
        <f t="shared" si="103"/>
        <v>-0.79999999999998295</v>
      </c>
      <c r="Z258" s="589">
        <f t="shared" si="104"/>
        <v>-1.7714285714286007</v>
      </c>
      <c r="AA258" s="590">
        <f t="shared" si="105"/>
        <v>1.4285714285705353E-2</v>
      </c>
    </row>
    <row r="259" spans="1:27" ht="17.25" customHeight="1">
      <c r="A259" s="778"/>
      <c r="B259" s="778"/>
      <c r="C259" s="779">
        <v>4</v>
      </c>
      <c r="D259" s="1201">
        <v>130</v>
      </c>
      <c r="E259" s="1201">
        <v>142.30000000000001</v>
      </c>
      <c r="F259" s="1201">
        <v>108.6</v>
      </c>
      <c r="G259" s="588"/>
      <c r="H259" s="588">
        <v>100</v>
      </c>
      <c r="I259" s="584">
        <f t="shared" si="100"/>
        <v>-5.9000000000000057</v>
      </c>
      <c r="J259" s="584">
        <f t="shared" si="101"/>
        <v>-3.2999999999999829</v>
      </c>
      <c r="K259" s="584">
        <f t="shared" si="102"/>
        <v>2.0999999999999943</v>
      </c>
      <c r="L259" s="589"/>
      <c r="M259" s="589">
        <f t="shared" si="88"/>
        <v>135</v>
      </c>
      <c r="N259" s="589">
        <f t="shared" si="89"/>
        <v>147.96666666666667</v>
      </c>
      <c r="O259" s="589">
        <f t="shared" si="90"/>
        <v>109.13333333333333</v>
      </c>
      <c r="P259" s="584"/>
      <c r="Q259" s="589">
        <f t="shared" si="66"/>
        <v>-3.2666666666666515</v>
      </c>
      <c r="R259" s="589">
        <f t="shared" si="67"/>
        <v>-4.7999999999999829</v>
      </c>
      <c r="S259" s="589">
        <f t="shared" si="68"/>
        <v>-1.1000000000000085</v>
      </c>
      <c r="T259" s="589"/>
      <c r="U259" s="589">
        <f t="shared" si="91"/>
        <v>137.70000000000002</v>
      </c>
      <c r="V259" s="589">
        <f t="shared" si="92"/>
        <v>152.17142857142858</v>
      </c>
      <c r="W259" s="589">
        <f t="shared" si="93"/>
        <v>109.61428571428571</v>
      </c>
      <c r="X259" s="589"/>
      <c r="Y259" s="589">
        <f t="shared" si="103"/>
        <v>-1.6999999999999886</v>
      </c>
      <c r="Z259" s="589">
        <f t="shared" si="104"/>
        <v>-1.9714285714285609</v>
      </c>
      <c r="AA259" s="590">
        <f t="shared" si="105"/>
        <v>0.18571428571429749</v>
      </c>
    </row>
    <row r="260" spans="1:27" ht="17.25" customHeight="1">
      <c r="A260" s="778"/>
      <c r="B260" s="778"/>
      <c r="C260" s="779">
        <v>5</v>
      </c>
      <c r="D260" s="1201">
        <v>129.9</v>
      </c>
      <c r="E260" s="1201">
        <v>145.30000000000001</v>
      </c>
      <c r="F260" s="1201">
        <v>114.1</v>
      </c>
      <c r="G260" s="588"/>
      <c r="H260" s="588">
        <v>100</v>
      </c>
      <c r="I260" s="584">
        <f t="shared" si="100"/>
        <v>-9.9999999999994316E-2</v>
      </c>
      <c r="J260" s="584">
        <f t="shared" si="101"/>
        <v>3</v>
      </c>
      <c r="K260" s="584">
        <f t="shared" si="102"/>
        <v>5.5</v>
      </c>
      <c r="L260" s="589"/>
      <c r="M260" s="589">
        <f t="shared" si="88"/>
        <v>131.93333333333331</v>
      </c>
      <c r="N260" s="589">
        <f t="shared" si="89"/>
        <v>144.4</v>
      </c>
      <c r="O260" s="589">
        <f t="shared" si="90"/>
        <v>109.73333333333333</v>
      </c>
      <c r="P260" s="584"/>
      <c r="Q260" s="589">
        <f t="shared" ref="Q260:Q296" si="106">M260-M259</f>
        <v>-3.0666666666666913</v>
      </c>
      <c r="R260" s="589">
        <f t="shared" ref="R260:R296" si="107">N260-N259</f>
        <v>-3.5666666666666629</v>
      </c>
      <c r="S260" s="589">
        <f t="shared" ref="S260:S296" si="108">O260-O259</f>
        <v>0.60000000000000853</v>
      </c>
      <c r="T260" s="589"/>
      <c r="U260" s="589">
        <f t="shared" si="91"/>
        <v>136.18571428571428</v>
      </c>
      <c r="V260" s="589">
        <f t="shared" si="92"/>
        <v>151.05714285714288</v>
      </c>
      <c r="W260" s="589">
        <f t="shared" si="93"/>
        <v>110.64285714285714</v>
      </c>
      <c r="X260" s="589"/>
      <c r="Y260" s="589">
        <f t="shared" si="103"/>
        <v>-1.5142857142857338</v>
      </c>
      <c r="Z260" s="589">
        <f t="shared" si="104"/>
        <v>-1.1142857142856997</v>
      </c>
      <c r="AA260" s="590">
        <f t="shared" si="105"/>
        <v>1.0285714285714249</v>
      </c>
    </row>
    <row r="261" spans="1:27" ht="17.25" customHeight="1">
      <c r="A261" s="778"/>
      <c r="B261" s="778"/>
      <c r="C261" s="779">
        <v>6</v>
      </c>
      <c r="D261" s="1201">
        <v>128.4</v>
      </c>
      <c r="E261" s="1201">
        <v>146.6</v>
      </c>
      <c r="F261" s="1201">
        <v>114.7</v>
      </c>
      <c r="G261" s="588"/>
      <c r="H261" s="588">
        <v>100</v>
      </c>
      <c r="I261" s="584">
        <f t="shared" si="100"/>
        <v>-1.5</v>
      </c>
      <c r="J261" s="584">
        <f t="shared" si="101"/>
        <v>1.2999999999999829</v>
      </c>
      <c r="K261" s="584">
        <f t="shared" si="102"/>
        <v>0.60000000000000853</v>
      </c>
      <c r="L261" s="589"/>
      <c r="M261" s="589">
        <f t="shared" si="88"/>
        <v>129.43333333333331</v>
      </c>
      <c r="N261" s="589">
        <f t="shared" si="89"/>
        <v>144.73333333333335</v>
      </c>
      <c r="O261" s="589">
        <f t="shared" si="90"/>
        <v>112.46666666666665</v>
      </c>
      <c r="P261" s="584"/>
      <c r="Q261" s="589">
        <f t="shared" si="106"/>
        <v>-2.5</v>
      </c>
      <c r="R261" s="589">
        <f t="shared" si="107"/>
        <v>0.33333333333334281</v>
      </c>
      <c r="S261" s="589">
        <f t="shared" si="108"/>
        <v>2.7333333333333201</v>
      </c>
      <c r="T261" s="589"/>
      <c r="U261" s="589">
        <f t="shared" si="91"/>
        <v>134.65714285714284</v>
      </c>
      <c r="V261" s="589">
        <f t="shared" si="92"/>
        <v>149.49999999999997</v>
      </c>
      <c r="W261" s="589">
        <f t="shared" si="93"/>
        <v>111.3</v>
      </c>
      <c r="X261" s="589"/>
      <c r="Y261" s="589">
        <f t="shared" si="103"/>
        <v>-1.5285714285714391</v>
      </c>
      <c r="Z261" s="589">
        <f t="shared" si="104"/>
        <v>-1.5571428571429067</v>
      </c>
      <c r="AA261" s="590">
        <f t="shared" si="105"/>
        <v>0.65714285714285836</v>
      </c>
    </row>
    <row r="262" spans="1:27" ht="17.25" customHeight="1">
      <c r="A262" s="778"/>
      <c r="B262" s="778"/>
      <c r="C262" s="779">
        <v>7</v>
      </c>
      <c r="D262" s="1201">
        <v>125.3</v>
      </c>
      <c r="E262" s="1201">
        <v>143.6</v>
      </c>
      <c r="F262" s="1201">
        <v>114.7</v>
      </c>
      <c r="G262" s="588"/>
      <c r="H262" s="588">
        <v>100</v>
      </c>
      <c r="I262" s="584">
        <f t="shared" si="100"/>
        <v>-3.1000000000000085</v>
      </c>
      <c r="J262" s="584">
        <f t="shared" si="101"/>
        <v>-3</v>
      </c>
      <c r="K262" s="584">
        <f t="shared" si="102"/>
        <v>0</v>
      </c>
      <c r="L262" s="589"/>
      <c r="M262" s="589">
        <f t="shared" si="88"/>
        <v>127.86666666666667</v>
      </c>
      <c r="N262" s="589">
        <f t="shared" si="89"/>
        <v>145.16666666666666</v>
      </c>
      <c r="O262" s="589">
        <f t="shared" si="90"/>
        <v>114.5</v>
      </c>
      <c r="P262" s="584"/>
      <c r="Q262" s="589">
        <f t="shared" si="106"/>
        <v>-1.5666666666666345</v>
      </c>
      <c r="R262" s="589">
        <f t="shared" si="107"/>
        <v>0.4333333333333087</v>
      </c>
      <c r="S262" s="589">
        <f t="shared" si="108"/>
        <v>2.0333333333333456</v>
      </c>
      <c r="T262" s="589"/>
      <c r="U262" s="589">
        <f t="shared" si="91"/>
        <v>132.62857142857141</v>
      </c>
      <c r="V262" s="589">
        <f t="shared" si="92"/>
        <v>148.01428571428571</v>
      </c>
      <c r="W262" s="589">
        <f t="shared" si="93"/>
        <v>111.82857142857144</v>
      </c>
      <c r="X262" s="589"/>
      <c r="Y262" s="589">
        <f t="shared" si="103"/>
        <v>-2.0285714285714391</v>
      </c>
      <c r="Z262" s="589">
        <f t="shared" si="104"/>
        <v>-1.4857142857142662</v>
      </c>
      <c r="AA262" s="590">
        <f t="shared" si="105"/>
        <v>0.52857142857143913</v>
      </c>
    </row>
    <row r="263" spans="1:27" ht="17.25" customHeight="1">
      <c r="A263" s="778"/>
      <c r="B263" s="778"/>
      <c r="C263" s="779">
        <v>8</v>
      </c>
      <c r="D263" s="1201">
        <v>124.2</v>
      </c>
      <c r="E263" s="1201">
        <v>135.69999999999999</v>
      </c>
      <c r="F263" s="1201">
        <v>114.4</v>
      </c>
      <c r="G263" s="588"/>
      <c r="H263" s="588">
        <v>100</v>
      </c>
      <c r="I263" s="584">
        <f t="shared" si="100"/>
        <v>-1.0999999999999943</v>
      </c>
      <c r="J263" s="584">
        <f t="shared" si="101"/>
        <v>-7.9000000000000057</v>
      </c>
      <c r="K263" s="584">
        <f t="shared" si="102"/>
        <v>-0.29999999999999716</v>
      </c>
      <c r="L263" s="589"/>
      <c r="M263" s="589">
        <f t="shared" si="88"/>
        <v>125.96666666666665</v>
      </c>
      <c r="N263" s="589">
        <f t="shared" si="89"/>
        <v>141.96666666666667</v>
      </c>
      <c r="O263" s="589">
        <f t="shared" si="90"/>
        <v>114.60000000000001</v>
      </c>
      <c r="P263" s="584"/>
      <c r="Q263" s="589">
        <f t="shared" si="106"/>
        <v>-1.9000000000000199</v>
      </c>
      <c r="R263" s="589">
        <f t="shared" si="107"/>
        <v>-3.1999999999999886</v>
      </c>
      <c r="S263" s="589">
        <f t="shared" si="108"/>
        <v>0.10000000000000853</v>
      </c>
      <c r="T263" s="589"/>
      <c r="U263" s="589">
        <f t="shared" si="91"/>
        <v>130.4</v>
      </c>
      <c r="V263" s="589">
        <f t="shared" si="92"/>
        <v>145.01428571428573</v>
      </c>
      <c r="W263" s="589">
        <f t="shared" si="93"/>
        <v>112.1857142857143</v>
      </c>
      <c r="X263" s="589"/>
      <c r="Y263" s="589">
        <f t="shared" si="103"/>
        <v>-2.2285714285713993</v>
      </c>
      <c r="Z263" s="589">
        <f t="shared" si="104"/>
        <v>-2.9999999999999716</v>
      </c>
      <c r="AA263" s="590">
        <f t="shared" si="105"/>
        <v>0.3571428571428612</v>
      </c>
    </row>
    <row r="264" spans="1:27" ht="17.25" customHeight="1">
      <c r="A264" s="778"/>
      <c r="B264" s="778"/>
      <c r="C264" s="779">
        <v>9</v>
      </c>
      <c r="D264" s="1201">
        <v>128.6</v>
      </c>
      <c r="E264" s="1201">
        <v>141.30000000000001</v>
      </c>
      <c r="F264" s="1201">
        <v>115.2</v>
      </c>
      <c r="G264" s="588"/>
      <c r="H264" s="588">
        <v>100</v>
      </c>
      <c r="I264" s="584">
        <f t="shared" si="100"/>
        <v>4.3999999999999915</v>
      </c>
      <c r="J264" s="584">
        <f t="shared" si="101"/>
        <v>5.6000000000000227</v>
      </c>
      <c r="K264" s="584">
        <f t="shared" si="102"/>
        <v>0.79999999999999716</v>
      </c>
      <c r="L264" s="589"/>
      <c r="M264" s="589">
        <f t="shared" si="88"/>
        <v>126.03333333333335</v>
      </c>
      <c r="N264" s="589">
        <f t="shared" si="89"/>
        <v>140.19999999999999</v>
      </c>
      <c r="O264" s="589">
        <f t="shared" si="90"/>
        <v>114.76666666666667</v>
      </c>
      <c r="P264" s="584"/>
      <c r="Q264" s="589">
        <f t="shared" si="106"/>
        <v>6.6666666666691299E-2</v>
      </c>
      <c r="R264" s="589">
        <f t="shared" si="107"/>
        <v>-1.7666666666666799</v>
      </c>
      <c r="S264" s="589">
        <f t="shared" si="108"/>
        <v>0.16666666666665719</v>
      </c>
      <c r="T264" s="589"/>
      <c r="U264" s="589">
        <f t="shared" si="91"/>
        <v>128.9</v>
      </c>
      <c r="V264" s="589">
        <f t="shared" si="92"/>
        <v>142.91428571428568</v>
      </c>
      <c r="W264" s="589">
        <f t="shared" si="93"/>
        <v>112.60000000000001</v>
      </c>
      <c r="X264" s="589"/>
      <c r="Y264" s="589">
        <f t="shared" si="103"/>
        <v>-1.5</v>
      </c>
      <c r="Z264" s="589">
        <f t="shared" si="104"/>
        <v>-2.1000000000000512</v>
      </c>
      <c r="AA264" s="590">
        <f t="shared" si="105"/>
        <v>0.41428571428571104</v>
      </c>
    </row>
    <row r="265" spans="1:27" ht="17.25" customHeight="1">
      <c r="A265" s="778"/>
      <c r="B265" s="778"/>
      <c r="C265" s="779">
        <v>10</v>
      </c>
      <c r="D265" s="1201">
        <v>129.1</v>
      </c>
      <c r="E265" s="1201">
        <v>143.19999999999999</v>
      </c>
      <c r="F265" s="1201">
        <v>115.2</v>
      </c>
      <c r="G265" s="588"/>
      <c r="H265" s="588">
        <v>100</v>
      </c>
      <c r="I265" s="584">
        <f t="shared" si="100"/>
        <v>0.5</v>
      </c>
      <c r="J265" s="584">
        <f t="shared" si="101"/>
        <v>1.8999999999999773</v>
      </c>
      <c r="K265" s="584">
        <f t="shared" si="102"/>
        <v>0</v>
      </c>
      <c r="L265" s="589"/>
      <c r="M265" s="589">
        <f t="shared" si="88"/>
        <v>127.3</v>
      </c>
      <c r="N265" s="589">
        <f t="shared" si="89"/>
        <v>140.06666666666666</v>
      </c>
      <c r="O265" s="589">
        <f t="shared" si="90"/>
        <v>114.93333333333334</v>
      </c>
      <c r="P265" s="584"/>
      <c r="Q265" s="589">
        <f t="shared" si="106"/>
        <v>1.2666666666666515</v>
      </c>
      <c r="R265" s="589">
        <f t="shared" si="107"/>
        <v>-0.13333333333332575</v>
      </c>
      <c r="S265" s="589">
        <f t="shared" si="108"/>
        <v>0.1666666666666714</v>
      </c>
      <c r="T265" s="589"/>
      <c r="U265" s="589">
        <f t="shared" si="91"/>
        <v>127.92857142857143</v>
      </c>
      <c r="V265" s="589">
        <f t="shared" si="92"/>
        <v>142.57142857142858</v>
      </c>
      <c r="W265" s="589">
        <f t="shared" si="93"/>
        <v>113.84285714285716</v>
      </c>
      <c r="X265" s="589"/>
      <c r="Y265" s="589">
        <f t="shared" si="103"/>
        <v>-0.97142857142857508</v>
      </c>
      <c r="Z265" s="589">
        <f t="shared" si="104"/>
        <v>-0.34285714285709901</v>
      </c>
      <c r="AA265" s="590">
        <f t="shared" si="105"/>
        <v>1.2428571428571473</v>
      </c>
    </row>
    <row r="266" spans="1:27" ht="17.25" customHeight="1">
      <c r="A266" s="778"/>
      <c r="B266" s="778"/>
      <c r="C266" s="779">
        <v>11</v>
      </c>
      <c r="D266" s="1201">
        <v>127.9</v>
      </c>
      <c r="E266" s="1201">
        <v>149.80000000000001</v>
      </c>
      <c r="F266" s="1201">
        <v>113.5</v>
      </c>
      <c r="G266" s="588"/>
      <c r="H266" s="588">
        <v>100</v>
      </c>
      <c r="I266" s="584">
        <f t="shared" si="100"/>
        <v>-1.1999999999999886</v>
      </c>
      <c r="J266" s="584">
        <f t="shared" si="101"/>
        <v>6.6000000000000227</v>
      </c>
      <c r="K266" s="584">
        <f t="shared" si="102"/>
        <v>-1.7000000000000028</v>
      </c>
      <c r="L266" s="589"/>
      <c r="M266" s="589">
        <f t="shared" si="88"/>
        <v>128.53333333333333</v>
      </c>
      <c r="N266" s="589">
        <f t="shared" si="89"/>
        <v>144.76666666666668</v>
      </c>
      <c r="O266" s="589">
        <f t="shared" si="90"/>
        <v>114.63333333333333</v>
      </c>
      <c r="P266" s="584"/>
      <c r="Q266" s="589">
        <f t="shared" si="106"/>
        <v>1.2333333333333343</v>
      </c>
      <c r="R266" s="589">
        <f t="shared" si="107"/>
        <v>4.7000000000000171</v>
      </c>
      <c r="S266" s="589">
        <f t="shared" si="108"/>
        <v>-0.30000000000001137</v>
      </c>
      <c r="T266" s="589"/>
      <c r="U266" s="589">
        <f t="shared" si="91"/>
        <v>127.62857142857142</v>
      </c>
      <c r="V266" s="589">
        <f t="shared" si="92"/>
        <v>143.64285714285714</v>
      </c>
      <c r="W266" s="589">
        <f t="shared" si="93"/>
        <v>114.54285714285716</v>
      </c>
      <c r="X266" s="589"/>
      <c r="Y266" s="589">
        <f t="shared" si="103"/>
        <v>-0.30000000000001137</v>
      </c>
      <c r="Z266" s="589">
        <f t="shared" si="104"/>
        <v>1.0714285714285552</v>
      </c>
      <c r="AA266" s="590">
        <f t="shared" si="105"/>
        <v>0.70000000000000284</v>
      </c>
    </row>
    <row r="267" spans="1:27" ht="17.25" customHeight="1">
      <c r="A267" s="877"/>
      <c r="B267" s="877"/>
      <c r="C267" s="878">
        <v>12</v>
      </c>
      <c r="D267" s="1205">
        <v>135.30000000000001</v>
      </c>
      <c r="E267" s="1205">
        <v>141.69999999999999</v>
      </c>
      <c r="F267" s="1205">
        <v>109.8</v>
      </c>
      <c r="G267" s="592"/>
      <c r="H267" s="592">
        <v>100</v>
      </c>
      <c r="I267" s="593">
        <f t="shared" si="100"/>
        <v>7.4000000000000057</v>
      </c>
      <c r="J267" s="593">
        <f t="shared" si="101"/>
        <v>-8.1000000000000227</v>
      </c>
      <c r="K267" s="593">
        <f t="shared" si="102"/>
        <v>-3.7000000000000028</v>
      </c>
      <c r="L267" s="594"/>
      <c r="M267" s="594">
        <f t="shared" si="88"/>
        <v>130.76666666666668</v>
      </c>
      <c r="N267" s="594">
        <f t="shared" si="89"/>
        <v>144.9</v>
      </c>
      <c r="O267" s="594">
        <f t="shared" si="90"/>
        <v>112.83333333333333</v>
      </c>
      <c r="P267" s="593"/>
      <c r="Q267" s="594">
        <f t="shared" si="106"/>
        <v>2.2333333333333485</v>
      </c>
      <c r="R267" s="594">
        <f t="shared" si="107"/>
        <v>0.13333333333332575</v>
      </c>
      <c r="S267" s="594">
        <f t="shared" si="108"/>
        <v>-1.7999999999999972</v>
      </c>
      <c r="T267" s="594"/>
      <c r="U267" s="594">
        <f t="shared" si="91"/>
        <v>128.4</v>
      </c>
      <c r="V267" s="594">
        <f t="shared" si="92"/>
        <v>143.12857142857143</v>
      </c>
      <c r="W267" s="594">
        <f t="shared" si="93"/>
        <v>113.92857142857143</v>
      </c>
      <c r="X267" s="594"/>
      <c r="Y267" s="594">
        <f t="shared" si="103"/>
        <v>0.77142857142858645</v>
      </c>
      <c r="Z267" s="594">
        <f t="shared" si="104"/>
        <v>-0.51428571428570535</v>
      </c>
      <c r="AA267" s="595">
        <f t="shared" si="105"/>
        <v>-0.61428571428572809</v>
      </c>
    </row>
    <row r="268" spans="1:27" ht="17.25" customHeight="1">
      <c r="A268" s="479">
        <v>27</v>
      </c>
      <c r="B268" s="760">
        <v>15</v>
      </c>
      <c r="C268" s="957">
        <v>1</v>
      </c>
      <c r="D268" s="1207">
        <v>128.69999999999999</v>
      </c>
      <c r="E268" s="1207">
        <v>150.30000000000001</v>
      </c>
      <c r="F268" s="1207">
        <v>102.3</v>
      </c>
      <c r="G268" s="597"/>
      <c r="H268" s="602">
        <v>100</v>
      </c>
      <c r="I268" s="593">
        <f t="shared" si="100"/>
        <v>-6.6000000000000227</v>
      </c>
      <c r="J268" s="593">
        <f t="shared" si="101"/>
        <v>8.6000000000000227</v>
      </c>
      <c r="K268" s="593">
        <f t="shared" si="102"/>
        <v>-7.5</v>
      </c>
      <c r="L268" s="594"/>
      <c r="M268" s="594">
        <f t="shared" si="88"/>
        <v>130.63333333333335</v>
      </c>
      <c r="N268" s="594">
        <f t="shared" si="89"/>
        <v>147.26666666666668</v>
      </c>
      <c r="O268" s="594">
        <f t="shared" si="90"/>
        <v>108.53333333333335</v>
      </c>
      <c r="P268" s="593"/>
      <c r="Q268" s="599">
        <f t="shared" si="106"/>
        <v>-0.13333333333332575</v>
      </c>
      <c r="R268" s="599">
        <f t="shared" si="107"/>
        <v>2.3666666666666742</v>
      </c>
      <c r="S268" s="599">
        <f t="shared" si="108"/>
        <v>-4.2999999999999829</v>
      </c>
      <c r="T268" s="594"/>
      <c r="U268" s="594">
        <f t="shared" si="91"/>
        <v>128.44285714285715</v>
      </c>
      <c r="V268" s="594">
        <f t="shared" si="92"/>
        <v>143.65714285714284</v>
      </c>
      <c r="W268" s="594">
        <f t="shared" si="93"/>
        <v>112.15714285714284</v>
      </c>
      <c r="X268" s="594"/>
      <c r="Y268" s="594">
        <f t="shared" si="103"/>
        <v>4.2857142857144481E-2</v>
      </c>
      <c r="Z268" s="594">
        <f t="shared" si="104"/>
        <v>0.52857142857141071</v>
      </c>
      <c r="AA268" s="595">
        <f t="shared" si="105"/>
        <v>-1.7714285714285865</v>
      </c>
    </row>
    <row r="269" spans="1:27" ht="17.25" customHeight="1">
      <c r="A269" s="778"/>
      <c r="B269" s="778"/>
      <c r="C269" s="779">
        <v>2</v>
      </c>
      <c r="D269" s="1207">
        <v>124.1</v>
      </c>
      <c r="E269" s="1207">
        <v>144.9</v>
      </c>
      <c r="F269" s="1207">
        <v>106.5</v>
      </c>
      <c r="G269" s="597"/>
      <c r="H269" s="588">
        <v>100</v>
      </c>
      <c r="I269" s="593">
        <f t="shared" si="100"/>
        <v>-4.5999999999999943</v>
      </c>
      <c r="J269" s="593">
        <f t="shared" si="101"/>
        <v>-5.4000000000000057</v>
      </c>
      <c r="K269" s="593">
        <f t="shared" si="102"/>
        <v>4.2000000000000028</v>
      </c>
      <c r="L269" s="594"/>
      <c r="M269" s="594">
        <f t="shared" si="88"/>
        <v>129.36666666666667</v>
      </c>
      <c r="N269" s="594">
        <f t="shared" si="89"/>
        <v>145.63333333333333</v>
      </c>
      <c r="O269" s="594">
        <f t="shared" si="90"/>
        <v>106.2</v>
      </c>
      <c r="P269" s="593"/>
      <c r="Q269" s="589">
        <f t="shared" si="106"/>
        <v>-1.2666666666666799</v>
      </c>
      <c r="R269" s="589">
        <f t="shared" si="107"/>
        <v>-1.6333333333333542</v>
      </c>
      <c r="S269" s="589">
        <f t="shared" si="108"/>
        <v>-2.3333333333333428</v>
      </c>
      <c r="T269" s="594"/>
      <c r="U269" s="594">
        <f t="shared" si="91"/>
        <v>128.27142857142857</v>
      </c>
      <c r="V269" s="594">
        <f t="shared" si="92"/>
        <v>143.84285714285713</v>
      </c>
      <c r="W269" s="594">
        <f t="shared" si="93"/>
        <v>110.98571428571428</v>
      </c>
      <c r="X269" s="594"/>
      <c r="Y269" s="594">
        <f t="shared" si="103"/>
        <v>-0.17142857142857792</v>
      </c>
      <c r="Z269" s="594">
        <f t="shared" si="104"/>
        <v>0.18571428571428328</v>
      </c>
      <c r="AA269" s="595">
        <f t="shared" si="105"/>
        <v>-1.1714285714285637</v>
      </c>
    </row>
    <row r="270" spans="1:27" ht="17.25" customHeight="1">
      <c r="A270" s="778"/>
      <c r="B270" s="778"/>
      <c r="C270" s="779">
        <v>3</v>
      </c>
      <c r="D270" s="1201">
        <v>122.9</v>
      </c>
      <c r="E270" s="1201">
        <v>146</v>
      </c>
      <c r="F270" s="1201">
        <v>105.8</v>
      </c>
      <c r="G270" s="588"/>
      <c r="H270" s="588">
        <v>100</v>
      </c>
      <c r="I270" s="593">
        <f t="shared" si="100"/>
        <v>-1.1999999999999886</v>
      </c>
      <c r="J270" s="593">
        <f t="shared" si="101"/>
        <v>1.0999999999999943</v>
      </c>
      <c r="K270" s="593">
        <f t="shared" si="102"/>
        <v>-0.70000000000000284</v>
      </c>
      <c r="L270" s="594"/>
      <c r="M270" s="594">
        <f t="shared" si="88"/>
        <v>125.23333333333333</v>
      </c>
      <c r="N270" s="594">
        <f t="shared" si="89"/>
        <v>147.06666666666669</v>
      </c>
      <c r="O270" s="594">
        <f t="shared" si="90"/>
        <v>104.86666666666667</v>
      </c>
      <c r="P270" s="593"/>
      <c r="Q270" s="589">
        <f t="shared" si="106"/>
        <v>-4.13333333333334</v>
      </c>
      <c r="R270" s="589">
        <f t="shared" si="107"/>
        <v>1.4333333333333655</v>
      </c>
      <c r="S270" s="589">
        <f t="shared" si="108"/>
        <v>-1.3333333333333286</v>
      </c>
      <c r="T270" s="594"/>
      <c r="U270" s="594">
        <f t="shared" si="91"/>
        <v>128.08571428571432</v>
      </c>
      <c r="V270" s="594">
        <f t="shared" si="92"/>
        <v>145.31428571428572</v>
      </c>
      <c r="W270" s="594">
        <f t="shared" si="93"/>
        <v>109.75714285714285</v>
      </c>
      <c r="X270" s="594"/>
      <c r="Y270" s="594">
        <f t="shared" si="103"/>
        <v>-0.18571428571425486</v>
      </c>
      <c r="Z270" s="594">
        <f t="shared" si="104"/>
        <v>1.4714285714285893</v>
      </c>
      <c r="AA270" s="595">
        <f t="shared" si="105"/>
        <v>-1.2285714285714278</v>
      </c>
    </row>
    <row r="271" spans="1:27" ht="17.25" customHeight="1">
      <c r="A271" s="778"/>
      <c r="B271" s="778"/>
      <c r="C271" s="779">
        <v>4</v>
      </c>
      <c r="D271" s="1201">
        <v>119.1</v>
      </c>
      <c r="E271" s="1201">
        <v>149.4</v>
      </c>
      <c r="F271" s="1201">
        <v>105.5</v>
      </c>
      <c r="G271" s="588"/>
      <c r="H271" s="588">
        <v>100</v>
      </c>
      <c r="I271" s="593">
        <f t="shared" si="100"/>
        <v>-3.8000000000000114</v>
      </c>
      <c r="J271" s="593">
        <f t="shared" si="101"/>
        <v>3.4000000000000057</v>
      </c>
      <c r="K271" s="593">
        <f t="shared" si="102"/>
        <v>-0.29999999999999716</v>
      </c>
      <c r="L271" s="594"/>
      <c r="M271" s="594">
        <f t="shared" si="88"/>
        <v>122.03333333333335</v>
      </c>
      <c r="N271" s="594">
        <f t="shared" si="89"/>
        <v>146.76666666666665</v>
      </c>
      <c r="O271" s="594">
        <f t="shared" si="90"/>
        <v>105.93333333333334</v>
      </c>
      <c r="P271" s="593"/>
      <c r="Q271" s="589">
        <f t="shared" si="106"/>
        <v>-3.1999999999999886</v>
      </c>
      <c r="R271" s="589">
        <f t="shared" si="107"/>
        <v>-0.30000000000003979</v>
      </c>
      <c r="S271" s="589">
        <f t="shared" si="108"/>
        <v>1.0666666666666629</v>
      </c>
      <c r="T271" s="594"/>
      <c r="U271" s="594">
        <f t="shared" si="91"/>
        <v>126.72857142857143</v>
      </c>
      <c r="V271" s="594">
        <f t="shared" si="92"/>
        <v>146.47142857142856</v>
      </c>
      <c r="W271" s="594">
        <f t="shared" si="93"/>
        <v>108.37142857142855</v>
      </c>
      <c r="X271" s="594"/>
      <c r="Y271" s="594">
        <f t="shared" si="103"/>
        <v>-1.3571428571428896</v>
      </c>
      <c r="Z271" s="594">
        <f t="shared" si="104"/>
        <v>1.1571428571428442</v>
      </c>
      <c r="AA271" s="595">
        <f t="shared" si="105"/>
        <v>-1.3857142857143003</v>
      </c>
    </row>
    <row r="272" spans="1:27" ht="17.25" customHeight="1">
      <c r="A272" s="778"/>
      <c r="B272" s="778"/>
      <c r="C272" s="779">
        <v>5</v>
      </c>
      <c r="D272" s="1201">
        <v>122.2</v>
      </c>
      <c r="E272" s="1201">
        <v>144</v>
      </c>
      <c r="F272" s="1201">
        <v>104.8</v>
      </c>
      <c r="G272" s="588"/>
      <c r="H272" s="588">
        <v>100</v>
      </c>
      <c r="I272" s="593">
        <f t="shared" si="100"/>
        <v>3.1000000000000085</v>
      </c>
      <c r="J272" s="593">
        <f t="shared" si="101"/>
        <v>-5.4000000000000057</v>
      </c>
      <c r="K272" s="593">
        <f t="shared" si="102"/>
        <v>-0.70000000000000284</v>
      </c>
      <c r="L272" s="594"/>
      <c r="M272" s="594">
        <f t="shared" ref="M272:M303" si="109">AVERAGE(D270:D272)</f>
        <v>121.39999999999999</v>
      </c>
      <c r="N272" s="594">
        <f t="shared" ref="N272:N303" si="110">AVERAGE(E270:E272)</f>
        <v>146.46666666666667</v>
      </c>
      <c r="O272" s="594">
        <f t="shared" ref="O272:O303" si="111">AVERAGE(F270:F272)</f>
        <v>105.36666666666667</v>
      </c>
      <c r="P272" s="593"/>
      <c r="Q272" s="589">
        <f t="shared" si="106"/>
        <v>-0.63333333333335418</v>
      </c>
      <c r="R272" s="589">
        <f t="shared" si="107"/>
        <v>-0.29999999999998295</v>
      </c>
      <c r="S272" s="589">
        <f t="shared" si="108"/>
        <v>-0.56666666666666288</v>
      </c>
      <c r="T272" s="594"/>
      <c r="U272" s="594">
        <f t="shared" ref="U272:U303" si="112">AVERAGE(D266:D272)</f>
        <v>125.74285714285715</v>
      </c>
      <c r="V272" s="594">
        <f t="shared" ref="V272:V303" si="113">AVERAGE(E266:E272)</f>
        <v>146.58571428571426</v>
      </c>
      <c r="W272" s="594">
        <f t="shared" ref="W272:W303" si="114">AVERAGE(F266:F272)</f>
        <v>106.88571428571427</v>
      </c>
      <c r="X272" s="594"/>
      <c r="Y272" s="594">
        <f t="shared" si="103"/>
        <v>-0.98571428571428044</v>
      </c>
      <c r="Z272" s="594">
        <f t="shared" si="104"/>
        <v>0.11428571428569967</v>
      </c>
      <c r="AA272" s="595">
        <f t="shared" si="105"/>
        <v>-1.4857142857142804</v>
      </c>
    </row>
    <row r="273" spans="1:27" ht="17.25" customHeight="1">
      <c r="A273" s="778"/>
      <c r="B273" s="778"/>
      <c r="C273" s="779">
        <v>6</v>
      </c>
      <c r="D273" s="1201">
        <v>121</v>
      </c>
      <c r="E273" s="1201">
        <v>140.30000000000001</v>
      </c>
      <c r="F273" s="1201">
        <v>102.5</v>
      </c>
      <c r="G273" s="588"/>
      <c r="H273" s="588">
        <v>100</v>
      </c>
      <c r="I273" s="593">
        <f t="shared" si="100"/>
        <v>-1.2000000000000028</v>
      </c>
      <c r="J273" s="593">
        <f t="shared" si="101"/>
        <v>-3.6999999999999886</v>
      </c>
      <c r="K273" s="593">
        <f t="shared" si="102"/>
        <v>-2.2999999999999972</v>
      </c>
      <c r="L273" s="594"/>
      <c r="M273" s="594">
        <f t="shared" si="109"/>
        <v>120.76666666666667</v>
      </c>
      <c r="N273" s="594">
        <f t="shared" si="110"/>
        <v>144.56666666666666</v>
      </c>
      <c r="O273" s="594">
        <f t="shared" si="111"/>
        <v>104.26666666666667</v>
      </c>
      <c r="P273" s="593"/>
      <c r="Q273" s="589">
        <f t="shared" si="106"/>
        <v>-0.63333333333332575</v>
      </c>
      <c r="R273" s="589">
        <f t="shared" si="107"/>
        <v>-1.9000000000000057</v>
      </c>
      <c r="S273" s="589">
        <f t="shared" si="108"/>
        <v>-1.1000000000000085</v>
      </c>
      <c r="T273" s="594"/>
      <c r="U273" s="594">
        <f t="shared" si="112"/>
        <v>124.75714285714287</v>
      </c>
      <c r="V273" s="594">
        <f t="shared" si="113"/>
        <v>145.22857142857143</v>
      </c>
      <c r="W273" s="594">
        <f t="shared" si="114"/>
        <v>105.31428571428572</v>
      </c>
      <c r="X273" s="594"/>
      <c r="Y273" s="594">
        <f t="shared" si="103"/>
        <v>-0.98571428571428044</v>
      </c>
      <c r="Z273" s="594">
        <f t="shared" si="104"/>
        <v>-1.3571428571428328</v>
      </c>
      <c r="AA273" s="595">
        <f t="shared" si="105"/>
        <v>-1.5714285714285552</v>
      </c>
    </row>
    <row r="274" spans="1:27" ht="17.25" customHeight="1">
      <c r="A274" s="778"/>
      <c r="B274" s="778"/>
      <c r="C274" s="779">
        <v>7</v>
      </c>
      <c r="D274" s="1201">
        <v>120.9</v>
      </c>
      <c r="E274" s="1201">
        <v>142.4</v>
      </c>
      <c r="F274" s="1201">
        <v>100.3</v>
      </c>
      <c r="G274" s="588"/>
      <c r="H274" s="588">
        <v>100</v>
      </c>
      <c r="I274" s="593">
        <f t="shared" si="100"/>
        <v>-9.9999999999994316E-2</v>
      </c>
      <c r="J274" s="593">
        <f t="shared" si="101"/>
        <v>2.0999999999999943</v>
      </c>
      <c r="K274" s="593">
        <f t="shared" si="102"/>
        <v>-2.2000000000000028</v>
      </c>
      <c r="L274" s="594"/>
      <c r="M274" s="594">
        <f t="shared" si="109"/>
        <v>121.36666666666667</v>
      </c>
      <c r="N274" s="594">
        <f t="shared" si="110"/>
        <v>142.23333333333335</v>
      </c>
      <c r="O274" s="594">
        <f t="shared" si="111"/>
        <v>102.53333333333335</v>
      </c>
      <c r="P274" s="593"/>
      <c r="Q274" s="589">
        <f t="shared" si="106"/>
        <v>0.60000000000000853</v>
      </c>
      <c r="R274" s="589">
        <f t="shared" si="107"/>
        <v>-2.3333333333333144</v>
      </c>
      <c r="S274" s="589">
        <f t="shared" si="108"/>
        <v>-1.7333333333333201</v>
      </c>
      <c r="T274" s="594"/>
      <c r="U274" s="594">
        <f t="shared" si="112"/>
        <v>122.7</v>
      </c>
      <c r="V274" s="594">
        <f t="shared" si="113"/>
        <v>145.32857142857145</v>
      </c>
      <c r="W274" s="594">
        <f t="shared" si="114"/>
        <v>103.95714285714284</v>
      </c>
      <c r="X274" s="594"/>
      <c r="Y274" s="594">
        <f t="shared" si="103"/>
        <v>-2.057142857142864</v>
      </c>
      <c r="Z274" s="594">
        <f t="shared" si="104"/>
        <v>0.10000000000002274</v>
      </c>
      <c r="AA274" s="595">
        <f t="shared" si="105"/>
        <v>-1.3571428571428754</v>
      </c>
    </row>
    <row r="275" spans="1:27" ht="17.25" customHeight="1">
      <c r="A275" s="778"/>
      <c r="B275" s="778"/>
      <c r="C275" s="779">
        <v>8</v>
      </c>
      <c r="D275" s="1201">
        <v>121.5</v>
      </c>
      <c r="E275" s="1201">
        <v>142.30000000000001</v>
      </c>
      <c r="F275" s="1201">
        <v>100.8</v>
      </c>
      <c r="G275" s="588"/>
      <c r="H275" s="588">
        <v>100</v>
      </c>
      <c r="I275" s="593">
        <f t="shared" si="100"/>
        <v>0.59999999999999432</v>
      </c>
      <c r="J275" s="593">
        <f t="shared" si="101"/>
        <v>-9.9999999999994316E-2</v>
      </c>
      <c r="K275" s="593">
        <f t="shared" si="102"/>
        <v>0.5</v>
      </c>
      <c r="L275" s="594"/>
      <c r="M275" s="594">
        <f t="shared" si="109"/>
        <v>121.13333333333333</v>
      </c>
      <c r="N275" s="594">
        <f t="shared" si="110"/>
        <v>141.66666666666669</v>
      </c>
      <c r="O275" s="594">
        <f t="shared" si="111"/>
        <v>101.2</v>
      </c>
      <c r="P275" s="593"/>
      <c r="Q275" s="589">
        <f t="shared" si="106"/>
        <v>-0.23333333333334849</v>
      </c>
      <c r="R275" s="589">
        <f t="shared" si="107"/>
        <v>-0.56666666666666288</v>
      </c>
      <c r="S275" s="589">
        <f t="shared" si="108"/>
        <v>-1.3333333333333428</v>
      </c>
      <c r="T275" s="594"/>
      <c r="U275" s="594">
        <f t="shared" si="112"/>
        <v>121.67142857142856</v>
      </c>
      <c r="V275" s="594">
        <f t="shared" si="113"/>
        <v>144.18571428571428</v>
      </c>
      <c r="W275" s="594">
        <f t="shared" si="114"/>
        <v>103.74285714285713</v>
      </c>
      <c r="X275" s="594"/>
      <c r="Y275" s="594">
        <f t="shared" si="103"/>
        <v>-1.0285714285714391</v>
      </c>
      <c r="Z275" s="594">
        <f t="shared" si="104"/>
        <v>-1.1428571428571672</v>
      </c>
      <c r="AA275" s="595">
        <f t="shared" si="105"/>
        <v>-0.2142857142857082</v>
      </c>
    </row>
    <row r="276" spans="1:27" ht="17.25" customHeight="1">
      <c r="A276" s="778"/>
      <c r="B276" s="778"/>
      <c r="C276" s="779">
        <v>9</v>
      </c>
      <c r="D276" s="1201">
        <v>118.7</v>
      </c>
      <c r="E276" s="1201">
        <v>137.5</v>
      </c>
      <c r="F276" s="1201">
        <v>97</v>
      </c>
      <c r="G276" s="588"/>
      <c r="H276" s="588">
        <v>100</v>
      </c>
      <c r="I276" s="593">
        <f t="shared" si="100"/>
        <v>-2.7999999999999972</v>
      </c>
      <c r="J276" s="593">
        <f t="shared" si="101"/>
        <v>-4.8000000000000114</v>
      </c>
      <c r="K276" s="593">
        <f t="shared" si="102"/>
        <v>-3.7999999999999972</v>
      </c>
      <c r="L276" s="594"/>
      <c r="M276" s="594">
        <f t="shared" si="109"/>
        <v>120.36666666666667</v>
      </c>
      <c r="N276" s="594">
        <f t="shared" si="110"/>
        <v>140.73333333333335</v>
      </c>
      <c r="O276" s="594">
        <f t="shared" si="111"/>
        <v>99.366666666666674</v>
      </c>
      <c r="P276" s="593"/>
      <c r="Q276" s="589">
        <f t="shared" si="106"/>
        <v>-0.76666666666665151</v>
      </c>
      <c r="R276" s="589">
        <f t="shared" si="107"/>
        <v>-0.93333333333333712</v>
      </c>
      <c r="S276" s="589">
        <f t="shared" si="108"/>
        <v>-1.8333333333333286</v>
      </c>
      <c r="T276" s="594"/>
      <c r="U276" s="594">
        <f t="shared" si="112"/>
        <v>120.9</v>
      </c>
      <c r="V276" s="594">
        <f t="shared" si="113"/>
        <v>143.12857142857143</v>
      </c>
      <c r="W276" s="594">
        <f t="shared" si="114"/>
        <v>102.38571428571427</v>
      </c>
      <c r="X276" s="594"/>
      <c r="Y276" s="594">
        <f t="shared" si="103"/>
        <v>-0.77142857142855803</v>
      </c>
      <c r="Z276" s="594">
        <f t="shared" si="104"/>
        <v>-1.0571428571428498</v>
      </c>
      <c r="AA276" s="595">
        <f t="shared" si="105"/>
        <v>-1.3571428571428612</v>
      </c>
    </row>
    <row r="277" spans="1:27" ht="17.25" customHeight="1">
      <c r="A277" s="778"/>
      <c r="B277" s="778"/>
      <c r="C277" s="779">
        <v>10</v>
      </c>
      <c r="D277" s="1201">
        <v>116.2</v>
      </c>
      <c r="E277" s="1201">
        <v>136.9</v>
      </c>
      <c r="F277" s="1201">
        <v>101.3</v>
      </c>
      <c r="G277" s="588"/>
      <c r="H277" s="588">
        <v>100</v>
      </c>
      <c r="I277" s="593">
        <f t="shared" si="100"/>
        <v>-2.5</v>
      </c>
      <c r="J277" s="593">
        <f t="shared" si="101"/>
        <v>-0.59999999999999432</v>
      </c>
      <c r="K277" s="593">
        <f t="shared" si="102"/>
        <v>4.2999999999999972</v>
      </c>
      <c r="L277" s="594"/>
      <c r="M277" s="594">
        <f t="shared" si="109"/>
        <v>118.8</v>
      </c>
      <c r="N277" s="594">
        <f t="shared" si="110"/>
        <v>138.9</v>
      </c>
      <c r="O277" s="594">
        <f t="shared" si="111"/>
        <v>99.7</v>
      </c>
      <c r="P277" s="593"/>
      <c r="Q277" s="589">
        <f t="shared" si="106"/>
        <v>-1.5666666666666771</v>
      </c>
      <c r="R277" s="589">
        <f t="shared" si="107"/>
        <v>-1.8333333333333428</v>
      </c>
      <c r="S277" s="589">
        <f t="shared" si="108"/>
        <v>0.3333333333333286</v>
      </c>
      <c r="T277" s="594"/>
      <c r="U277" s="594">
        <f t="shared" si="112"/>
        <v>119.94285714285716</v>
      </c>
      <c r="V277" s="594">
        <f t="shared" si="113"/>
        <v>141.82857142857145</v>
      </c>
      <c r="W277" s="594">
        <f t="shared" si="114"/>
        <v>101.74285714285713</v>
      </c>
      <c r="X277" s="594"/>
      <c r="Y277" s="594">
        <f t="shared" si="103"/>
        <v>-0.95714285714284131</v>
      </c>
      <c r="Z277" s="594">
        <f t="shared" si="104"/>
        <v>-1.2999999999999829</v>
      </c>
      <c r="AA277" s="595">
        <f t="shared" si="105"/>
        <v>-0.6428571428571388</v>
      </c>
    </row>
    <row r="278" spans="1:27" ht="17.25" customHeight="1">
      <c r="A278" s="778"/>
      <c r="B278" s="778"/>
      <c r="C278" s="779">
        <v>11</v>
      </c>
      <c r="D278" s="1201">
        <v>113.6</v>
      </c>
      <c r="E278" s="1201">
        <v>130.1</v>
      </c>
      <c r="F278" s="1201">
        <v>97.5</v>
      </c>
      <c r="G278" s="588"/>
      <c r="H278" s="588">
        <v>100</v>
      </c>
      <c r="I278" s="593">
        <f t="shared" si="100"/>
        <v>-2.6000000000000085</v>
      </c>
      <c r="J278" s="593">
        <f t="shared" si="101"/>
        <v>-6.8000000000000114</v>
      </c>
      <c r="K278" s="593">
        <f t="shared" si="102"/>
        <v>-3.7999999999999972</v>
      </c>
      <c r="L278" s="594"/>
      <c r="M278" s="594">
        <f t="shared" si="109"/>
        <v>116.16666666666667</v>
      </c>
      <c r="N278" s="594">
        <f t="shared" si="110"/>
        <v>134.83333333333334</v>
      </c>
      <c r="O278" s="594">
        <f t="shared" si="111"/>
        <v>98.600000000000009</v>
      </c>
      <c r="P278" s="593"/>
      <c r="Q278" s="589">
        <f t="shared" si="106"/>
        <v>-2.6333333333333258</v>
      </c>
      <c r="R278" s="589">
        <f t="shared" si="107"/>
        <v>-4.0666666666666629</v>
      </c>
      <c r="S278" s="589">
        <f t="shared" si="108"/>
        <v>-1.0999999999999943</v>
      </c>
      <c r="T278" s="594"/>
      <c r="U278" s="594">
        <f t="shared" si="112"/>
        <v>119.15714285714287</v>
      </c>
      <c r="V278" s="594">
        <f t="shared" si="113"/>
        <v>139.07142857142858</v>
      </c>
      <c r="W278" s="594">
        <f t="shared" si="114"/>
        <v>100.60000000000001</v>
      </c>
      <c r="X278" s="594"/>
      <c r="Y278" s="594">
        <f t="shared" si="103"/>
        <v>-0.7857142857142918</v>
      </c>
      <c r="Z278" s="594">
        <f t="shared" si="104"/>
        <v>-2.7571428571428669</v>
      </c>
      <c r="AA278" s="595">
        <f t="shared" si="105"/>
        <v>-1.1428571428571246</v>
      </c>
    </row>
    <row r="279" spans="1:27" ht="17.25" customHeight="1">
      <c r="A279" s="778"/>
      <c r="B279" s="778"/>
      <c r="C279" s="779">
        <v>12</v>
      </c>
      <c r="D279" s="1205">
        <v>114.7</v>
      </c>
      <c r="E279" s="1205">
        <v>132.6</v>
      </c>
      <c r="F279" s="1205">
        <v>100.2</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99.666666666666671</v>
      </c>
      <c r="P279" s="593"/>
      <c r="Q279" s="589">
        <f t="shared" si="106"/>
        <v>-1.3333333333333428</v>
      </c>
      <c r="R279" s="589">
        <f t="shared" si="107"/>
        <v>-1.6333333333333258</v>
      </c>
      <c r="S279" s="589">
        <f t="shared" si="108"/>
        <v>1.0666666666666629</v>
      </c>
      <c r="T279" s="594"/>
      <c r="U279" s="594">
        <f t="shared" si="112"/>
        <v>118.08571428571429</v>
      </c>
      <c r="V279" s="594">
        <f t="shared" si="113"/>
        <v>137.44285714285715</v>
      </c>
      <c r="W279" s="594">
        <f t="shared" si="114"/>
        <v>99.942857142857164</v>
      </c>
      <c r="X279" s="594"/>
      <c r="Y279" s="594">
        <f t="shared" si="103"/>
        <v>-1.0714285714285836</v>
      </c>
      <c r="Z279" s="594">
        <f t="shared" si="104"/>
        <v>-1.6285714285714334</v>
      </c>
      <c r="AA279" s="595">
        <f t="shared" si="105"/>
        <v>-0.65714285714284415</v>
      </c>
    </row>
    <row r="280" spans="1:27" ht="17.25" customHeight="1">
      <c r="A280" s="479">
        <v>28</v>
      </c>
      <c r="B280" s="760">
        <v>16</v>
      </c>
      <c r="C280" s="957">
        <v>1</v>
      </c>
      <c r="D280" s="1207">
        <v>114.2</v>
      </c>
      <c r="E280" s="1207">
        <v>130.5</v>
      </c>
      <c r="F280" s="1207">
        <v>101.5</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99.733333333333334</v>
      </c>
      <c r="P280" s="593"/>
      <c r="Q280" s="589">
        <f t="shared" si="106"/>
        <v>-0.66666666666665719</v>
      </c>
      <c r="R280" s="589">
        <f t="shared" si="107"/>
        <v>-2.1333333333333542</v>
      </c>
      <c r="S280" s="589">
        <f t="shared" si="108"/>
        <v>6.6666666666662877E-2</v>
      </c>
      <c r="T280" s="594"/>
      <c r="U280" s="594">
        <f t="shared" si="112"/>
        <v>117.11428571428573</v>
      </c>
      <c r="V280" s="594">
        <f t="shared" si="113"/>
        <v>136.04285714285714</v>
      </c>
      <c r="W280" s="594">
        <f t="shared" si="114"/>
        <v>99.8</v>
      </c>
      <c r="X280" s="594"/>
      <c r="Y280" s="594">
        <f t="shared" si="103"/>
        <v>-0.97142857142856087</v>
      </c>
      <c r="Z280" s="594">
        <f t="shared" si="104"/>
        <v>-1.4000000000000057</v>
      </c>
      <c r="AA280" s="595">
        <f t="shared" si="105"/>
        <v>-0.14285714285716722</v>
      </c>
    </row>
    <row r="281" spans="1:27" ht="17.25" customHeight="1">
      <c r="A281" s="778"/>
      <c r="B281" s="778"/>
      <c r="C281" s="779">
        <v>2</v>
      </c>
      <c r="D281" s="1207">
        <v>112</v>
      </c>
      <c r="E281" s="1207">
        <v>130.4</v>
      </c>
      <c r="F281" s="1207">
        <v>101.4</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101.03333333333335</v>
      </c>
      <c r="P281" s="593"/>
      <c r="Q281" s="589">
        <f t="shared" si="106"/>
        <v>-0.53333333333334565</v>
      </c>
      <c r="R281" s="589">
        <f t="shared" si="107"/>
        <v>9.9999999999994316E-2</v>
      </c>
      <c r="S281" s="589">
        <f t="shared" si="108"/>
        <v>1.3000000000000114</v>
      </c>
      <c r="T281" s="594"/>
      <c r="U281" s="594">
        <f t="shared" si="112"/>
        <v>115.84285714285716</v>
      </c>
      <c r="V281" s="594">
        <f t="shared" si="113"/>
        <v>134.32857142857145</v>
      </c>
      <c r="W281" s="594">
        <f t="shared" si="114"/>
        <v>99.957142857142841</v>
      </c>
      <c r="X281" s="594"/>
      <c r="Y281" s="594">
        <f t="shared" si="103"/>
        <v>-1.2714285714285722</v>
      </c>
      <c r="Z281" s="594">
        <f t="shared" si="104"/>
        <v>-1.714285714285694</v>
      </c>
      <c r="AA281" s="595">
        <f t="shared" si="105"/>
        <v>0.15714285714284415</v>
      </c>
    </row>
    <row r="282" spans="1:27" ht="17.25" customHeight="1">
      <c r="A282" s="778"/>
      <c r="B282" s="778"/>
      <c r="C282" s="779">
        <v>3</v>
      </c>
      <c r="D282" s="1201">
        <v>109.5</v>
      </c>
      <c r="E282" s="1201">
        <v>129.4</v>
      </c>
      <c r="F282" s="1201">
        <v>101.1</v>
      </c>
      <c r="G282" s="588"/>
      <c r="H282" s="588">
        <v>100</v>
      </c>
      <c r="I282" s="593">
        <f t="shared" si="100"/>
        <v>-2.5</v>
      </c>
      <c r="J282" s="593">
        <f t="shared" si="101"/>
        <v>-1</v>
      </c>
      <c r="K282" s="593">
        <f t="shared" si="102"/>
        <v>-0.30000000000001137</v>
      </c>
      <c r="L282" s="594"/>
      <c r="M282" s="594">
        <f t="shared" si="109"/>
        <v>111.89999999999999</v>
      </c>
      <c r="N282" s="594">
        <f t="shared" si="110"/>
        <v>130.1</v>
      </c>
      <c r="O282" s="594">
        <f t="shared" si="111"/>
        <v>101.33333333333333</v>
      </c>
      <c r="P282" s="593"/>
      <c r="Q282" s="589">
        <f t="shared" si="106"/>
        <v>-1.7333333333333343</v>
      </c>
      <c r="R282" s="589">
        <f t="shared" si="107"/>
        <v>-1.0666666666666629</v>
      </c>
      <c r="S282" s="589">
        <f t="shared" si="108"/>
        <v>0.29999999999998295</v>
      </c>
      <c r="T282" s="594"/>
      <c r="U282" s="594">
        <f t="shared" si="112"/>
        <v>114.12857142857142</v>
      </c>
      <c r="V282" s="594">
        <f t="shared" si="113"/>
        <v>132.48571428571429</v>
      </c>
      <c r="W282" s="594">
        <f t="shared" si="114"/>
        <v>100</v>
      </c>
      <c r="X282" s="594"/>
      <c r="Y282" s="594">
        <f t="shared" si="103"/>
        <v>-1.7142857142857366</v>
      </c>
      <c r="Z282" s="594">
        <f t="shared" si="104"/>
        <v>-1.8428571428571558</v>
      </c>
      <c r="AA282" s="595">
        <f t="shared" si="105"/>
        <v>4.2857142857158692E-2</v>
      </c>
    </row>
    <row r="283" spans="1:27" ht="17.25" customHeight="1">
      <c r="A283" s="778"/>
      <c r="B283" s="778"/>
      <c r="C283" s="779">
        <v>4</v>
      </c>
      <c r="D283" s="1201">
        <v>110.9</v>
      </c>
      <c r="E283" s="1201">
        <v>130.69999999999999</v>
      </c>
      <c r="F283" s="1201">
        <v>99.7</v>
      </c>
      <c r="G283" s="588"/>
      <c r="H283" s="588">
        <v>100</v>
      </c>
      <c r="I283" s="593">
        <f t="shared" si="100"/>
        <v>1.4000000000000057</v>
      </c>
      <c r="J283" s="593">
        <f t="shared" si="101"/>
        <v>1.2999999999999829</v>
      </c>
      <c r="K283" s="593">
        <f t="shared" si="102"/>
        <v>-1.3999999999999915</v>
      </c>
      <c r="L283" s="594"/>
      <c r="M283" s="594">
        <f t="shared" si="109"/>
        <v>110.8</v>
      </c>
      <c r="N283" s="594">
        <f t="shared" si="110"/>
        <v>130.16666666666666</v>
      </c>
      <c r="O283" s="594">
        <f t="shared" si="111"/>
        <v>100.73333333333333</v>
      </c>
      <c r="P283" s="593"/>
      <c r="Q283" s="589">
        <f t="shared" si="106"/>
        <v>-1.0999999999999943</v>
      </c>
      <c r="R283" s="589">
        <f t="shared" si="107"/>
        <v>6.6666666666662877E-2</v>
      </c>
      <c r="S283" s="589">
        <f t="shared" si="108"/>
        <v>-0.59999999999999432</v>
      </c>
      <c r="T283" s="594"/>
      <c r="U283" s="594">
        <f t="shared" si="112"/>
        <v>113.01428571428572</v>
      </c>
      <c r="V283" s="594">
        <f t="shared" si="113"/>
        <v>131.51428571428571</v>
      </c>
      <c r="W283" s="594">
        <f t="shared" si="114"/>
        <v>100.38571428571429</v>
      </c>
      <c r="X283" s="594"/>
      <c r="Y283" s="594">
        <f t="shared" si="103"/>
        <v>-1.1142857142856997</v>
      </c>
      <c r="Z283" s="594">
        <f t="shared" si="104"/>
        <v>-0.97142857142858929</v>
      </c>
      <c r="AA283" s="595">
        <f t="shared" si="105"/>
        <v>0.38571428571428612</v>
      </c>
    </row>
    <row r="284" spans="1:27" ht="17.25" customHeight="1" thickBot="1">
      <c r="A284" s="778"/>
      <c r="B284" s="778"/>
      <c r="C284" s="779">
        <v>5</v>
      </c>
      <c r="D284" s="1208">
        <v>110.3</v>
      </c>
      <c r="E284" s="1208">
        <v>128.4</v>
      </c>
      <c r="F284" s="1208">
        <v>98.9</v>
      </c>
      <c r="G284" s="588"/>
      <c r="H284" s="588">
        <v>100</v>
      </c>
      <c r="I284" s="593">
        <f t="shared" si="100"/>
        <v>-0.60000000000000853</v>
      </c>
      <c r="J284" s="593">
        <f t="shared" si="101"/>
        <v>-2.2999999999999829</v>
      </c>
      <c r="K284" s="593">
        <f t="shared" si="102"/>
        <v>-0.79999999999999716</v>
      </c>
      <c r="L284" s="594"/>
      <c r="M284" s="594">
        <f t="shared" si="109"/>
        <v>110.23333333333333</v>
      </c>
      <c r="N284" s="594">
        <f t="shared" si="110"/>
        <v>129.5</v>
      </c>
      <c r="O284" s="594">
        <f t="shared" si="111"/>
        <v>99.90000000000002</v>
      </c>
      <c r="P284" s="593"/>
      <c r="Q284" s="589">
        <f t="shared" si="106"/>
        <v>-0.56666666666666288</v>
      </c>
      <c r="R284" s="589">
        <f t="shared" si="107"/>
        <v>-0.66666666666665719</v>
      </c>
      <c r="S284" s="589">
        <f t="shared" si="108"/>
        <v>-0.83333333333331439</v>
      </c>
      <c r="T284" s="594"/>
      <c r="U284" s="594">
        <f t="shared" si="112"/>
        <v>112.17142857142856</v>
      </c>
      <c r="V284" s="594">
        <f t="shared" si="113"/>
        <v>130.30000000000001</v>
      </c>
      <c r="W284" s="594">
        <f t="shared" si="114"/>
        <v>100.04285714285716</v>
      </c>
      <c r="X284" s="594"/>
      <c r="Y284" s="594">
        <f t="shared" si="103"/>
        <v>-0.84285714285715585</v>
      </c>
      <c r="Z284" s="594">
        <f t="shared" si="104"/>
        <v>-1.214285714285694</v>
      </c>
      <c r="AA284" s="595">
        <f t="shared" si="105"/>
        <v>-0.34285714285712743</v>
      </c>
    </row>
    <row r="285" spans="1:27" ht="17.25" customHeight="1" thickTop="1">
      <c r="A285" s="778"/>
      <c r="B285" s="778"/>
      <c r="C285" s="779">
        <v>6</v>
      </c>
      <c r="D285" s="1207">
        <v>106.1</v>
      </c>
      <c r="E285" s="1207">
        <v>126.2</v>
      </c>
      <c r="F285" s="1207">
        <v>97.3</v>
      </c>
      <c r="G285" s="588"/>
      <c r="H285" s="588">
        <v>100</v>
      </c>
      <c r="I285" s="593">
        <f t="shared" si="100"/>
        <v>-4.2000000000000028</v>
      </c>
      <c r="J285" s="593">
        <f t="shared" si="101"/>
        <v>-2.2000000000000028</v>
      </c>
      <c r="K285" s="593">
        <f t="shared" si="102"/>
        <v>-1.6000000000000085</v>
      </c>
      <c r="L285" s="594"/>
      <c r="M285" s="594">
        <f t="shared" si="109"/>
        <v>109.09999999999998</v>
      </c>
      <c r="N285" s="594">
        <f t="shared" si="110"/>
        <v>128.43333333333334</v>
      </c>
      <c r="O285" s="594">
        <f t="shared" si="111"/>
        <v>98.63333333333334</v>
      </c>
      <c r="P285" s="593"/>
      <c r="Q285" s="589">
        <f t="shared" si="106"/>
        <v>-1.1333333333333542</v>
      </c>
      <c r="R285" s="589">
        <f t="shared" si="107"/>
        <v>-1.0666666666666629</v>
      </c>
      <c r="S285" s="589">
        <f t="shared" si="108"/>
        <v>-1.2666666666666799</v>
      </c>
      <c r="T285" s="594"/>
      <c r="U285" s="594">
        <f t="shared" si="112"/>
        <v>111.1</v>
      </c>
      <c r="V285" s="594">
        <f t="shared" si="113"/>
        <v>129.74285714285713</v>
      </c>
      <c r="W285" s="594">
        <f t="shared" si="114"/>
        <v>100.01428571428572</v>
      </c>
      <c r="X285" s="594"/>
      <c r="Y285" s="594">
        <f t="shared" si="103"/>
        <v>-1.0714285714285694</v>
      </c>
      <c r="Z285" s="594">
        <f t="shared" si="104"/>
        <v>-0.55714285714287826</v>
      </c>
      <c r="AA285" s="595">
        <f t="shared" si="105"/>
        <v>-2.8571428571439128E-2</v>
      </c>
    </row>
    <row r="286" spans="1:27" ht="17.25" customHeight="1">
      <c r="A286" s="778"/>
      <c r="B286" s="778"/>
      <c r="C286" s="779">
        <v>7</v>
      </c>
      <c r="D286" s="1201">
        <v>107.8</v>
      </c>
      <c r="E286" s="1201">
        <v>125.4</v>
      </c>
      <c r="F286" s="1201">
        <v>99.7</v>
      </c>
      <c r="G286" s="588"/>
      <c r="H286" s="588">
        <v>100</v>
      </c>
      <c r="I286" s="593">
        <f t="shared" si="100"/>
        <v>1.7000000000000028</v>
      </c>
      <c r="J286" s="593">
        <f t="shared" si="101"/>
        <v>-0.79999999999999716</v>
      </c>
      <c r="K286" s="593">
        <f t="shared" si="102"/>
        <v>2.4000000000000057</v>
      </c>
      <c r="L286" s="594"/>
      <c r="M286" s="594">
        <f t="shared" si="109"/>
        <v>108.06666666666666</v>
      </c>
      <c r="N286" s="594">
        <f t="shared" si="110"/>
        <v>126.66666666666667</v>
      </c>
      <c r="O286" s="594">
        <f t="shared" si="111"/>
        <v>98.633333333333326</v>
      </c>
      <c r="P286" s="593"/>
      <c r="Q286" s="589">
        <f t="shared" si="106"/>
        <v>-1.0333333333333172</v>
      </c>
      <c r="R286" s="589">
        <f t="shared" si="107"/>
        <v>-1.7666666666666657</v>
      </c>
      <c r="S286" s="589">
        <f t="shared" si="108"/>
        <v>0</v>
      </c>
      <c r="T286" s="594"/>
      <c r="U286" s="594">
        <f t="shared" si="112"/>
        <v>110.11428571428571</v>
      </c>
      <c r="V286" s="594">
        <f t="shared" si="113"/>
        <v>128.71428571428572</v>
      </c>
      <c r="W286" s="594">
        <f t="shared" si="114"/>
        <v>99.94285714285715</v>
      </c>
      <c r="X286" s="594"/>
      <c r="Y286" s="594">
        <f t="shared" si="103"/>
        <v>-0.98571428571428044</v>
      </c>
      <c r="Z286" s="594">
        <f t="shared" si="104"/>
        <v>-1.0285714285714107</v>
      </c>
      <c r="AA286" s="595">
        <f t="shared" si="105"/>
        <v>-7.1428571428569398E-2</v>
      </c>
    </row>
    <row r="287" spans="1:27" ht="17.25" customHeight="1">
      <c r="A287" s="778"/>
      <c r="B287" s="778"/>
      <c r="C287" s="779">
        <v>8</v>
      </c>
      <c r="D287" s="1201">
        <v>105.6</v>
      </c>
      <c r="E287" s="1201">
        <v>125</v>
      </c>
      <c r="F287" s="1201">
        <v>97.7</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98.233333333333334</v>
      </c>
      <c r="P287" s="593"/>
      <c r="Q287" s="589">
        <f t="shared" si="106"/>
        <v>-1.5666666666666629</v>
      </c>
      <c r="R287" s="589">
        <f t="shared" si="107"/>
        <v>-1.1333333333333258</v>
      </c>
      <c r="S287" s="589">
        <f t="shared" si="108"/>
        <v>-0.39999999999999147</v>
      </c>
      <c r="T287" s="594"/>
      <c r="U287" s="594">
        <f t="shared" si="112"/>
        <v>108.88571428571427</v>
      </c>
      <c r="V287" s="594">
        <f t="shared" si="113"/>
        <v>127.92857142857143</v>
      </c>
      <c r="W287" s="594">
        <f t="shared" si="114"/>
        <v>99.4</v>
      </c>
      <c r="X287" s="594"/>
      <c r="Y287" s="594">
        <f t="shared" si="103"/>
        <v>-1.228571428571442</v>
      </c>
      <c r="Z287" s="594">
        <f t="shared" si="104"/>
        <v>-0.7857142857142918</v>
      </c>
      <c r="AA287" s="595">
        <f t="shared" si="105"/>
        <v>-0.54285714285714448</v>
      </c>
    </row>
    <row r="288" spans="1:27" ht="17.25" customHeight="1">
      <c r="A288" s="778"/>
      <c r="B288" s="778"/>
      <c r="C288" s="779">
        <v>9</v>
      </c>
      <c r="D288" s="1201">
        <v>108.4</v>
      </c>
      <c r="E288" s="1201">
        <v>131.9</v>
      </c>
      <c r="F288" s="1201">
        <v>98</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98.466666666666654</v>
      </c>
      <c r="P288" s="593"/>
      <c r="Q288" s="589">
        <f t="shared" si="106"/>
        <v>0.76666666666665151</v>
      </c>
      <c r="R288" s="589">
        <f t="shared" si="107"/>
        <v>1.8999999999999915</v>
      </c>
      <c r="S288" s="589">
        <f t="shared" si="108"/>
        <v>0.23333333333332007</v>
      </c>
      <c r="T288" s="594"/>
      <c r="U288" s="594">
        <f t="shared" si="112"/>
        <v>108.37142857142855</v>
      </c>
      <c r="V288" s="594">
        <f t="shared" si="113"/>
        <v>128.14285714285714</v>
      </c>
      <c r="W288" s="594">
        <f t="shared" si="114"/>
        <v>98.914285714285725</v>
      </c>
      <c r="X288" s="594"/>
      <c r="Y288" s="594">
        <f t="shared" si="103"/>
        <v>-0.51428571428571956</v>
      </c>
      <c r="Z288" s="594">
        <f t="shared" si="104"/>
        <v>0.2142857142857082</v>
      </c>
      <c r="AA288" s="595">
        <f t="shared" si="105"/>
        <v>-0.48571428571428044</v>
      </c>
    </row>
    <row r="289" spans="1:27" ht="17.25" customHeight="1">
      <c r="A289" s="778"/>
      <c r="B289" s="778"/>
      <c r="C289" s="779">
        <v>10</v>
      </c>
      <c r="D289" s="1201">
        <v>109.8</v>
      </c>
      <c r="E289" s="1201">
        <v>128.9</v>
      </c>
      <c r="F289" s="1201">
        <v>99.7</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98.466666666666654</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98.714285714285708</v>
      </c>
      <c r="X289" s="594"/>
      <c r="Y289" s="594">
        <f t="shared" si="103"/>
        <v>4.2857142857144481E-2</v>
      </c>
      <c r="Z289" s="594">
        <f t="shared" si="104"/>
        <v>-7.1428571428555188E-2</v>
      </c>
      <c r="AA289" s="595">
        <f t="shared" si="105"/>
        <v>-0.20000000000001705</v>
      </c>
    </row>
    <row r="290" spans="1:27" ht="17.25" customHeight="1">
      <c r="A290" s="778"/>
      <c r="B290" s="778"/>
      <c r="C290" s="779">
        <v>11</v>
      </c>
      <c r="D290" s="1201">
        <v>111.1</v>
      </c>
      <c r="E290" s="1201">
        <v>131.19999999999999</v>
      </c>
      <c r="F290" s="1201">
        <v>101</v>
      </c>
      <c r="G290" s="588"/>
      <c r="H290" s="588">
        <v>100</v>
      </c>
      <c r="I290" s="593">
        <f t="shared" si="100"/>
        <v>1.2999999999999972</v>
      </c>
      <c r="J290" s="593">
        <f t="shared" si="101"/>
        <v>2.2999999999999829</v>
      </c>
      <c r="K290" s="593">
        <f t="shared" si="102"/>
        <v>1.2999999999999972</v>
      </c>
      <c r="L290" s="594"/>
      <c r="M290" s="594">
        <f t="shared" si="109"/>
        <v>109.76666666666665</v>
      </c>
      <c r="N290" s="594">
        <f t="shared" si="110"/>
        <v>130.66666666666666</v>
      </c>
      <c r="O290" s="594">
        <f t="shared" si="111"/>
        <v>99.566666666666663</v>
      </c>
      <c r="P290" s="593"/>
      <c r="Q290" s="589">
        <f t="shared" si="106"/>
        <v>1.8333333333333144</v>
      </c>
      <c r="R290" s="589">
        <f t="shared" si="107"/>
        <v>2.0666666666666629</v>
      </c>
      <c r="S290" s="589">
        <f t="shared" si="108"/>
        <v>1.1000000000000085</v>
      </c>
      <c r="T290" s="594"/>
      <c r="U290" s="594">
        <f t="shared" si="112"/>
        <v>108.44285714285714</v>
      </c>
      <c r="V290" s="594">
        <f t="shared" si="113"/>
        <v>128.14285714285714</v>
      </c>
      <c r="W290" s="594">
        <f t="shared" si="114"/>
        <v>98.899999999999991</v>
      </c>
      <c r="X290" s="594"/>
      <c r="Y290" s="594">
        <f t="shared" si="103"/>
        <v>2.8571428571439128E-2</v>
      </c>
      <c r="Z290" s="594">
        <f t="shared" si="104"/>
        <v>7.1428571428555188E-2</v>
      </c>
      <c r="AA290" s="595">
        <f t="shared" si="105"/>
        <v>0.18571428571428328</v>
      </c>
    </row>
    <row r="291" spans="1:27" ht="17.25" customHeight="1">
      <c r="A291" s="778"/>
      <c r="B291" s="778"/>
      <c r="C291" s="779">
        <v>12</v>
      </c>
      <c r="D291" s="1205">
        <v>115.8</v>
      </c>
      <c r="E291" s="1205">
        <v>134.19999999999999</v>
      </c>
      <c r="F291" s="1205">
        <v>101.1</v>
      </c>
      <c r="G291" s="592"/>
      <c r="H291" s="629">
        <v>100</v>
      </c>
      <c r="I291" s="593">
        <f t="shared" si="100"/>
        <v>4.7000000000000028</v>
      </c>
      <c r="J291" s="593">
        <f t="shared" si="101"/>
        <v>3</v>
      </c>
      <c r="K291" s="593">
        <f t="shared" si="102"/>
        <v>9.9999999999994316E-2</v>
      </c>
      <c r="L291" s="594"/>
      <c r="M291" s="594">
        <f t="shared" si="109"/>
        <v>112.23333333333333</v>
      </c>
      <c r="N291" s="594">
        <f t="shared" si="110"/>
        <v>131.43333333333334</v>
      </c>
      <c r="O291" s="594">
        <f t="shared" si="111"/>
        <v>100.59999999999998</v>
      </c>
      <c r="P291" s="593"/>
      <c r="Q291" s="589">
        <f t="shared" si="106"/>
        <v>2.4666666666666828</v>
      </c>
      <c r="R291" s="589">
        <f t="shared" si="107"/>
        <v>0.76666666666667993</v>
      </c>
      <c r="S291" s="589">
        <f t="shared" si="108"/>
        <v>1.0333333333333172</v>
      </c>
      <c r="T291" s="594"/>
      <c r="U291" s="594">
        <f t="shared" si="112"/>
        <v>109.22857142857141</v>
      </c>
      <c r="V291" s="594">
        <f t="shared" si="113"/>
        <v>128.97142857142856</v>
      </c>
      <c r="W291" s="594">
        <f t="shared" si="114"/>
        <v>99.214285714285708</v>
      </c>
      <c r="X291" s="594"/>
      <c r="Y291" s="594">
        <f t="shared" si="103"/>
        <v>0.78571428571427759</v>
      </c>
      <c r="Z291" s="594">
        <f t="shared" si="104"/>
        <v>0.82857142857142208</v>
      </c>
      <c r="AA291" s="595">
        <f t="shared" si="105"/>
        <v>0.31428571428571672</v>
      </c>
    </row>
    <row r="292" spans="1:27" ht="17.25" customHeight="1">
      <c r="A292" s="479">
        <v>29</v>
      </c>
      <c r="B292" s="760">
        <v>17</v>
      </c>
      <c r="C292" s="957">
        <v>1</v>
      </c>
      <c r="D292" s="1207">
        <v>110.8</v>
      </c>
      <c r="E292" s="1207">
        <v>136.4</v>
      </c>
      <c r="F292" s="1207">
        <v>101</v>
      </c>
      <c r="G292" s="597"/>
      <c r="H292" s="602">
        <v>100</v>
      </c>
      <c r="I292" s="593">
        <f t="shared" si="100"/>
        <v>-5</v>
      </c>
      <c r="J292" s="593">
        <f t="shared" si="101"/>
        <v>2.2000000000000171</v>
      </c>
      <c r="K292" s="593">
        <f t="shared" si="102"/>
        <v>-9.9999999999994316E-2</v>
      </c>
      <c r="L292" s="594"/>
      <c r="M292" s="594">
        <f t="shared" si="109"/>
        <v>112.56666666666666</v>
      </c>
      <c r="N292" s="594">
        <f t="shared" si="110"/>
        <v>133.93333333333331</v>
      </c>
      <c r="O292" s="594">
        <f t="shared" si="111"/>
        <v>101.03333333333335</v>
      </c>
      <c r="P292" s="593"/>
      <c r="Q292" s="589">
        <f t="shared" si="106"/>
        <v>0.3333333333333286</v>
      </c>
      <c r="R292" s="589">
        <f t="shared" si="107"/>
        <v>2.4999999999999716</v>
      </c>
      <c r="S292" s="589">
        <f t="shared" si="108"/>
        <v>0.43333333333336554</v>
      </c>
      <c r="T292" s="594"/>
      <c r="U292" s="594">
        <f t="shared" si="112"/>
        <v>109.89999999999998</v>
      </c>
      <c r="V292" s="594">
        <f t="shared" si="113"/>
        <v>130.42857142857144</v>
      </c>
      <c r="W292" s="594">
        <f t="shared" si="114"/>
        <v>99.742857142857133</v>
      </c>
      <c r="X292" s="594"/>
      <c r="Y292" s="594">
        <f t="shared" si="103"/>
        <v>0.67142857142856371</v>
      </c>
      <c r="Z292" s="594">
        <f t="shared" si="104"/>
        <v>1.4571428571428839</v>
      </c>
      <c r="AA292" s="595">
        <f t="shared" si="105"/>
        <v>0.52857142857142492</v>
      </c>
    </row>
    <row r="293" spans="1:27" ht="17.25" customHeight="1">
      <c r="A293" s="778"/>
      <c r="B293" s="778"/>
      <c r="C293" s="779">
        <v>2</v>
      </c>
      <c r="D293" s="1207">
        <v>112.5</v>
      </c>
      <c r="E293" s="1207">
        <v>137.69999999999999</v>
      </c>
      <c r="F293" s="1207">
        <v>101.3</v>
      </c>
      <c r="G293" s="597"/>
      <c r="H293" s="588">
        <v>100</v>
      </c>
      <c r="I293" s="593">
        <f t="shared" si="100"/>
        <v>1.7000000000000028</v>
      </c>
      <c r="J293" s="593">
        <f t="shared" si="101"/>
        <v>1.2999999999999829</v>
      </c>
      <c r="K293" s="593">
        <f t="shared" si="102"/>
        <v>0.29999999999999716</v>
      </c>
      <c r="L293" s="594"/>
      <c r="M293" s="594">
        <f t="shared" si="109"/>
        <v>113.03333333333335</v>
      </c>
      <c r="N293" s="594">
        <f t="shared" si="110"/>
        <v>136.1</v>
      </c>
      <c r="O293" s="594">
        <f t="shared" si="111"/>
        <v>101.13333333333333</v>
      </c>
      <c r="P293" s="593"/>
      <c r="Q293" s="589">
        <f t="shared" si="106"/>
        <v>0.46666666666668277</v>
      </c>
      <c r="R293" s="589">
        <f t="shared" si="107"/>
        <v>2.1666666666666856</v>
      </c>
      <c r="S293" s="589">
        <f t="shared" si="108"/>
        <v>9.9999999999980105E-2</v>
      </c>
      <c r="T293" s="594"/>
      <c r="U293" s="594">
        <f t="shared" si="112"/>
        <v>110.57142857142856</v>
      </c>
      <c r="V293" s="594">
        <f t="shared" si="113"/>
        <v>132.18571428571428</v>
      </c>
      <c r="W293" s="594">
        <f t="shared" si="114"/>
        <v>99.971428571428561</v>
      </c>
      <c r="X293" s="594"/>
      <c r="Y293" s="594">
        <f t="shared" si="103"/>
        <v>0.67142857142857792</v>
      </c>
      <c r="Z293" s="594">
        <f t="shared" si="104"/>
        <v>1.7571428571428385</v>
      </c>
      <c r="AA293" s="595">
        <f t="shared" si="105"/>
        <v>0.22857142857142776</v>
      </c>
    </row>
    <row r="294" spans="1:27" ht="17.25" customHeight="1">
      <c r="A294" s="778"/>
      <c r="B294" s="778"/>
      <c r="C294" s="779">
        <v>3</v>
      </c>
      <c r="D294" s="1201">
        <v>110.1</v>
      </c>
      <c r="E294" s="1201">
        <v>135.6</v>
      </c>
      <c r="F294" s="1201">
        <v>100.5</v>
      </c>
      <c r="G294" s="588"/>
      <c r="H294" s="588">
        <v>100</v>
      </c>
      <c r="I294" s="593">
        <f t="shared" si="100"/>
        <v>-2.4000000000000057</v>
      </c>
      <c r="J294" s="593">
        <f t="shared" si="101"/>
        <v>-2.0999999999999943</v>
      </c>
      <c r="K294" s="593">
        <f t="shared" si="102"/>
        <v>-0.79999999999999716</v>
      </c>
      <c r="L294" s="594"/>
      <c r="M294" s="594">
        <f t="shared" si="109"/>
        <v>111.13333333333333</v>
      </c>
      <c r="N294" s="594">
        <f t="shared" si="110"/>
        <v>136.56666666666669</v>
      </c>
      <c r="O294" s="594">
        <f t="shared" si="111"/>
        <v>100.93333333333334</v>
      </c>
      <c r="P294" s="593"/>
      <c r="Q294" s="589">
        <f t="shared" si="106"/>
        <v>-1.9000000000000199</v>
      </c>
      <c r="R294" s="589">
        <f t="shared" si="107"/>
        <v>0.46666666666669698</v>
      </c>
      <c r="S294" s="589">
        <f t="shared" si="108"/>
        <v>-0.19999999999998863</v>
      </c>
      <c r="T294" s="594"/>
      <c r="U294" s="594">
        <f t="shared" si="112"/>
        <v>111.21428571428571</v>
      </c>
      <c r="V294" s="594">
        <f t="shared" si="113"/>
        <v>133.69999999999999</v>
      </c>
      <c r="W294" s="594">
        <f t="shared" si="114"/>
        <v>100.37142857142855</v>
      </c>
      <c r="X294" s="594"/>
      <c r="Y294" s="594">
        <f t="shared" si="103"/>
        <v>0.64285714285715301</v>
      </c>
      <c r="Z294" s="594">
        <f t="shared" si="104"/>
        <v>1.5142857142857054</v>
      </c>
      <c r="AA294" s="595">
        <f t="shared" si="105"/>
        <v>0.39999999999999147</v>
      </c>
    </row>
    <row r="295" spans="1:27" ht="17.25" customHeight="1">
      <c r="A295" s="778"/>
      <c r="B295" s="778"/>
      <c r="C295" s="779">
        <v>4</v>
      </c>
      <c r="D295" s="1201">
        <v>113.4</v>
      </c>
      <c r="E295" s="1201">
        <v>141.9</v>
      </c>
      <c r="F295" s="1201">
        <v>102.4</v>
      </c>
      <c r="G295" s="588"/>
      <c r="H295" s="588">
        <v>100</v>
      </c>
      <c r="I295" s="593">
        <f t="shared" si="100"/>
        <v>3.3000000000000114</v>
      </c>
      <c r="J295" s="593">
        <f t="shared" si="101"/>
        <v>6.3000000000000114</v>
      </c>
      <c r="K295" s="593">
        <f t="shared" si="102"/>
        <v>1.9000000000000057</v>
      </c>
      <c r="L295" s="594"/>
      <c r="M295" s="594">
        <f t="shared" si="109"/>
        <v>112</v>
      </c>
      <c r="N295" s="594">
        <f t="shared" si="110"/>
        <v>138.39999999999998</v>
      </c>
      <c r="O295" s="594">
        <f t="shared" si="111"/>
        <v>101.40000000000002</v>
      </c>
      <c r="P295" s="593"/>
      <c r="Q295" s="589">
        <f t="shared" si="106"/>
        <v>0.86666666666667425</v>
      </c>
      <c r="R295" s="589">
        <f t="shared" si="107"/>
        <v>1.833333333333286</v>
      </c>
      <c r="S295" s="589">
        <f t="shared" si="108"/>
        <v>0.46666666666668277</v>
      </c>
      <c r="T295" s="594"/>
      <c r="U295" s="594">
        <f t="shared" si="112"/>
        <v>111.92857142857143</v>
      </c>
      <c r="V295" s="594">
        <f t="shared" si="113"/>
        <v>135.12857142857143</v>
      </c>
      <c r="W295" s="594">
        <f t="shared" si="114"/>
        <v>100.99999999999999</v>
      </c>
      <c r="X295" s="594"/>
      <c r="Y295" s="594">
        <f t="shared" si="103"/>
        <v>0.71428571428572241</v>
      </c>
      <c r="Z295" s="594">
        <f t="shared" si="104"/>
        <v>1.4285714285714448</v>
      </c>
      <c r="AA295" s="595">
        <f t="shared" si="105"/>
        <v>0.62857142857143344</v>
      </c>
    </row>
    <row r="296" spans="1:27" ht="17.25" customHeight="1">
      <c r="A296" s="778"/>
      <c r="B296" s="778"/>
      <c r="C296" s="779">
        <v>5</v>
      </c>
      <c r="D296" s="1201">
        <v>112</v>
      </c>
      <c r="E296" s="1201">
        <v>141.69999999999999</v>
      </c>
      <c r="F296" s="1201">
        <v>98.7</v>
      </c>
      <c r="G296" s="588"/>
      <c r="H296" s="588">
        <v>100</v>
      </c>
      <c r="I296" s="593">
        <f t="shared" si="100"/>
        <v>-1.4000000000000057</v>
      </c>
      <c r="J296" s="593">
        <f t="shared" si="101"/>
        <v>-0.20000000000001705</v>
      </c>
      <c r="K296" s="593">
        <f t="shared" si="102"/>
        <v>-3.7000000000000028</v>
      </c>
      <c r="L296" s="594"/>
      <c r="M296" s="594">
        <f t="shared" si="109"/>
        <v>111.83333333333333</v>
      </c>
      <c r="N296" s="594">
        <f t="shared" si="110"/>
        <v>139.73333333333332</v>
      </c>
      <c r="O296" s="594">
        <f t="shared" si="111"/>
        <v>100.53333333333335</v>
      </c>
      <c r="P296" s="593"/>
      <c r="Q296" s="589">
        <f t="shared" si="106"/>
        <v>-0.1666666666666714</v>
      </c>
      <c r="R296" s="589">
        <f t="shared" si="107"/>
        <v>1.3333333333333428</v>
      </c>
      <c r="S296" s="589">
        <f t="shared" si="108"/>
        <v>-0.86666666666667425</v>
      </c>
      <c r="T296" s="594"/>
      <c r="U296" s="594">
        <f t="shared" si="112"/>
        <v>112.24285714285713</v>
      </c>
      <c r="V296" s="594">
        <f t="shared" si="113"/>
        <v>136.95714285714286</v>
      </c>
      <c r="W296" s="594">
        <f t="shared" si="114"/>
        <v>100.85714285714288</v>
      </c>
      <c r="X296" s="594"/>
      <c r="Y296" s="594">
        <f t="shared" si="103"/>
        <v>0.31428571428570251</v>
      </c>
      <c r="Z296" s="594">
        <f t="shared" si="104"/>
        <v>1.8285714285714221</v>
      </c>
      <c r="AA296" s="595">
        <f t="shared" si="105"/>
        <v>-0.14285714285711038</v>
      </c>
    </row>
    <row r="297" spans="1:27" ht="17.25" customHeight="1">
      <c r="A297" s="778"/>
      <c r="B297" s="778"/>
      <c r="C297" s="779">
        <v>6</v>
      </c>
      <c r="D297" s="1201">
        <v>114</v>
      </c>
      <c r="E297" s="1201">
        <v>142.6</v>
      </c>
      <c r="F297" s="1201">
        <v>100.6</v>
      </c>
      <c r="G297" s="588"/>
      <c r="H297" s="588">
        <v>100</v>
      </c>
      <c r="I297" s="593">
        <f t="shared" si="100"/>
        <v>2</v>
      </c>
      <c r="J297" s="593">
        <f t="shared" si="101"/>
        <v>0.90000000000000568</v>
      </c>
      <c r="K297" s="593">
        <f t="shared" si="102"/>
        <v>1.8999999999999915</v>
      </c>
      <c r="L297" s="594"/>
      <c r="M297" s="594">
        <f t="shared" si="109"/>
        <v>113.13333333333333</v>
      </c>
      <c r="N297" s="594">
        <f t="shared" si="110"/>
        <v>142.06666666666669</v>
      </c>
      <c r="O297" s="594">
        <f t="shared" si="111"/>
        <v>100.56666666666668</v>
      </c>
      <c r="P297" s="593"/>
      <c r="Q297" s="589">
        <f t="shared" ref="Q297:Q352" si="115">M297-M296</f>
        <v>1.2999999999999972</v>
      </c>
      <c r="R297" s="589">
        <f t="shared" ref="R297:R352" si="116">N297-N296</f>
        <v>2.3333333333333712</v>
      </c>
      <c r="S297" s="589">
        <f t="shared" ref="S297:S352" si="117">O297-O296</f>
        <v>3.3333333333331439E-2</v>
      </c>
      <c r="T297" s="594"/>
      <c r="U297" s="594">
        <f t="shared" si="112"/>
        <v>112.65714285714286</v>
      </c>
      <c r="V297" s="594">
        <f t="shared" si="113"/>
        <v>138.58571428571429</v>
      </c>
      <c r="W297" s="594">
        <f t="shared" si="114"/>
        <v>100.8</v>
      </c>
      <c r="X297" s="594"/>
      <c r="Y297" s="594">
        <f t="shared" ref="Y297:Y352" si="118">U297-U296</f>
        <v>0.41428571428572525</v>
      </c>
      <c r="Z297" s="594">
        <f t="shared" ref="Z297:Z352" si="119">V297-V296</f>
        <v>1.6285714285714334</v>
      </c>
      <c r="AA297" s="595">
        <f t="shared" ref="AA297:AA352" si="120">W297-W296</f>
        <v>-5.7142857142878256E-2</v>
      </c>
    </row>
    <row r="298" spans="1:27" ht="17.25" customHeight="1">
      <c r="A298" s="778"/>
      <c r="B298" s="778"/>
      <c r="C298" s="779">
        <v>7</v>
      </c>
      <c r="D298" s="1201">
        <v>114.3</v>
      </c>
      <c r="E298" s="1201">
        <v>144</v>
      </c>
      <c r="F298" s="1201">
        <v>100.1</v>
      </c>
      <c r="G298" s="588"/>
      <c r="H298" s="588">
        <v>100</v>
      </c>
      <c r="I298" s="593">
        <f t="shared" si="100"/>
        <v>0.29999999999999716</v>
      </c>
      <c r="J298" s="593">
        <f t="shared" si="101"/>
        <v>1.4000000000000057</v>
      </c>
      <c r="K298" s="593">
        <f t="shared" si="102"/>
        <v>-0.5</v>
      </c>
      <c r="L298" s="594"/>
      <c r="M298" s="594">
        <f t="shared" si="109"/>
        <v>113.43333333333334</v>
      </c>
      <c r="N298" s="594">
        <f t="shared" si="110"/>
        <v>142.76666666666665</v>
      </c>
      <c r="O298" s="594">
        <f t="shared" si="111"/>
        <v>99.8</v>
      </c>
      <c r="P298" s="593"/>
      <c r="Q298" s="589">
        <f t="shared" si="115"/>
        <v>0.30000000000001137</v>
      </c>
      <c r="R298" s="589">
        <f t="shared" si="116"/>
        <v>0.69999999999996021</v>
      </c>
      <c r="S298" s="589">
        <f t="shared" si="117"/>
        <v>-0.76666666666667993</v>
      </c>
      <c r="T298" s="594"/>
      <c r="U298" s="594">
        <f t="shared" si="112"/>
        <v>112.44285714285714</v>
      </c>
      <c r="V298" s="594">
        <f t="shared" si="113"/>
        <v>139.98571428571429</v>
      </c>
      <c r="W298" s="594">
        <f t="shared" si="114"/>
        <v>100.65714285714286</v>
      </c>
      <c r="X298" s="594"/>
      <c r="Y298" s="594">
        <f t="shared" si="118"/>
        <v>-0.21428571428572241</v>
      </c>
      <c r="Z298" s="594">
        <f t="shared" si="119"/>
        <v>1.4000000000000057</v>
      </c>
      <c r="AA298" s="595">
        <f t="shared" si="120"/>
        <v>-0.1428571428571388</v>
      </c>
    </row>
    <row r="299" spans="1:27" ht="17.25" customHeight="1">
      <c r="A299" s="778"/>
      <c r="B299" s="778"/>
      <c r="C299" s="779">
        <v>8</v>
      </c>
      <c r="D299" s="1201">
        <v>108.7</v>
      </c>
      <c r="E299" s="1201">
        <v>140.9</v>
      </c>
      <c r="F299" s="1201">
        <v>100.1</v>
      </c>
      <c r="G299" s="588"/>
      <c r="H299" s="588">
        <v>100</v>
      </c>
      <c r="I299" s="593">
        <f t="shared" si="100"/>
        <v>-5.5999999999999943</v>
      </c>
      <c r="J299" s="593">
        <f t="shared" si="101"/>
        <v>-3.0999999999999943</v>
      </c>
      <c r="K299" s="593">
        <f t="shared" si="102"/>
        <v>0</v>
      </c>
      <c r="L299" s="594"/>
      <c r="M299" s="594">
        <f t="shared" si="109"/>
        <v>112.33333333333333</v>
      </c>
      <c r="N299" s="594">
        <f t="shared" si="110"/>
        <v>142.5</v>
      </c>
      <c r="O299" s="594">
        <f t="shared" si="111"/>
        <v>100.26666666666665</v>
      </c>
      <c r="P299" s="593"/>
      <c r="Q299" s="589">
        <f t="shared" si="115"/>
        <v>-1.1000000000000085</v>
      </c>
      <c r="R299" s="589">
        <f t="shared" si="116"/>
        <v>-0.26666666666665151</v>
      </c>
      <c r="S299" s="589">
        <f t="shared" si="117"/>
        <v>0.46666666666665435</v>
      </c>
      <c r="T299" s="594"/>
      <c r="U299" s="594">
        <f t="shared" si="112"/>
        <v>112.14285714285714</v>
      </c>
      <c r="V299" s="594">
        <f t="shared" si="113"/>
        <v>140.62857142857141</v>
      </c>
      <c r="W299" s="594">
        <f t="shared" si="114"/>
        <v>100.52857142857144</v>
      </c>
      <c r="X299" s="594"/>
      <c r="Y299" s="594">
        <f t="shared" si="118"/>
        <v>-0.29999999999999716</v>
      </c>
      <c r="Z299" s="594">
        <f t="shared" si="119"/>
        <v>0.64285714285711038</v>
      </c>
      <c r="AA299" s="595">
        <f t="shared" si="120"/>
        <v>-0.12857142857141923</v>
      </c>
    </row>
    <row r="300" spans="1:27" ht="17.25" customHeight="1">
      <c r="A300" s="778"/>
      <c r="B300" s="778"/>
      <c r="C300" s="779">
        <v>9</v>
      </c>
      <c r="D300" s="1201">
        <v>110.2</v>
      </c>
      <c r="E300" s="1201">
        <v>137.1</v>
      </c>
      <c r="F300" s="1201">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100.26666666666665</v>
      </c>
      <c r="P300" s="593"/>
      <c r="Q300" s="589">
        <f t="shared" si="115"/>
        <v>-1.2666666666666657</v>
      </c>
      <c r="R300" s="589">
        <f t="shared" si="116"/>
        <v>-1.8333333333333428</v>
      </c>
      <c r="S300" s="589">
        <f t="shared" si="117"/>
        <v>0</v>
      </c>
      <c r="T300" s="594"/>
      <c r="U300" s="594">
        <f t="shared" si="112"/>
        <v>111.81428571428572</v>
      </c>
      <c r="V300" s="594">
        <f t="shared" si="113"/>
        <v>140.54285714285714</v>
      </c>
      <c r="W300" s="594">
        <f t="shared" si="114"/>
        <v>100.42857142857144</v>
      </c>
      <c r="X300" s="594"/>
      <c r="Y300" s="594">
        <f t="shared" si="118"/>
        <v>-0.32857142857142208</v>
      </c>
      <c r="Z300" s="594">
        <f t="shared" si="119"/>
        <v>-8.5714285714260541E-2</v>
      </c>
      <c r="AA300" s="595">
        <f t="shared" si="120"/>
        <v>-9.9999999999994316E-2</v>
      </c>
    </row>
    <row r="301" spans="1:27" ht="17.25" customHeight="1">
      <c r="A301" s="778"/>
      <c r="B301" s="778"/>
      <c r="C301" s="779">
        <v>10</v>
      </c>
      <c r="D301" s="1201">
        <v>108.5</v>
      </c>
      <c r="E301" s="1201">
        <v>140.80000000000001</v>
      </c>
      <c r="F301" s="1201">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-0.29999999999999716</v>
      </c>
      <c r="T301" s="594"/>
      <c r="U301" s="594">
        <f t="shared" si="112"/>
        <v>111.58571428571429</v>
      </c>
      <c r="V301" s="594">
        <f t="shared" si="113"/>
        <v>141.28571428571428</v>
      </c>
      <c r="W301" s="594">
        <f t="shared" si="114"/>
        <v>100.24285714285716</v>
      </c>
      <c r="X301" s="594"/>
      <c r="Y301" s="594">
        <f t="shared" si="118"/>
        <v>-0.22857142857142776</v>
      </c>
      <c r="Z301" s="594">
        <f t="shared" si="119"/>
        <v>0.74285714285713311</v>
      </c>
      <c r="AA301" s="595">
        <f t="shared" si="120"/>
        <v>-0.18571428571428328</v>
      </c>
    </row>
    <row r="302" spans="1:27" ht="17.25" customHeight="1">
      <c r="A302" s="778"/>
      <c r="B302" s="778"/>
      <c r="C302" s="779">
        <v>11</v>
      </c>
      <c r="D302" s="1201">
        <v>111.9</v>
      </c>
      <c r="E302" s="1201">
        <v>144.5</v>
      </c>
      <c r="F302" s="1201">
        <v>100.6</v>
      </c>
      <c r="G302" s="588"/>
      <c r="H302" s="588">
        <v>100</v>
      </c>
      <c r="I302" s="593">
        <f t="shared" si="100"/>
        <v>3.4000000000000057</v>
      </c>
      <c r="J302" s="593">
        <f t="shared" si="101"/>
        <v>3.6999999999999886</v>
      </c>
      <c r="K302" s="593">
        <f t="shared" si="102"/>
        <v>1.3999999999999915</v>
      </c>
      <c r="L302" s="594"/>
      <c r="M302" s="594">
        <f t="shared" si="109"/>
        <v>110.2</v>
      </c>
      <c r="N302" s="594">
        <f t="shared" si="110"/>
        <v>140.79999999999998</v>
      </c>
      <c r="O302" s="594">
        <f t="shared" si="111"/>
        <v>100.13333333333333</v>
      </c>
      <c r="P302" s="593"/>
      <c r="Q302" s="589">
        <f t="shared" si="115"/>
        <v>1.0666666666666771</v>
      </c>
      <c r="R302" s="589">
        <f t="shared" si="116"/>
        <v>1.1999999999999886</v>
      </c>
      <c r="S302" s="589">
        <f t="shared" si="117"/>
        <v>0.1666666666666714</v>
      </c>
      <c r="T302" s="594"/>
      <c r="U302" s="594">
        <f t="shared" si="112"/>
        <v>111.37142857142858</v>
      </c>
      <c r="V302" s="594">
        <f t="shared" si="113"/>
        <v>141.65714285714284</v>
      </c>
      <c r="W302" s="594">
        <f t="shared" si="114"/>
        <v>99.985714285714295</v>
      </c>
      <c r="X302" s="594"/>
      <c r="Y302" s="594">
        <f t="shared" si="118"/>
        <v>-0.2142857142857082</v>
      </c>
      <c r="Z302" s="594">
        <f t="shared" si="119"/>
        <v>0.37142857142856656</v>
      </c>
      <c r="AA302" s="595">
        <f t="shared" si="120"/>
        <v>-0.25714285714286689</v>
      </c>
    </row>
    <row r="303" spans="1:27" ht="17.25" customHeight="1">
      <c r="A303" s="778"/>
      <c r="B303" s="778"/>
      <c r="C303" s="779">
        <v>12</v>
      </c>
      <c r="D303" s="1205">
        <v>113.9</v>
      </c>
      <c r="E303" s="1205">
        <v>144.9</v>
      </c>
      <c r="F303" s="1205">
        <v>103.2</v>
      </c>
      <c r="G303" s="592"/>
      <c r="H303" s="629">
        <v>100</v>
      </c>
      <c r="I303" s="593">
        <f t="shared" si="100"/>
        <v>2</v>
      </c>
      <c r="J303" s="593">
        <f t="shared" si="101"/>
        <v>0.40000000000000568</v>
      </c>
      <c r="K303" s="593">
        <f t="shared" si="102"/>
        <v>2.6000000000000085</v>
      </c>
      <c r="L303" s="594"/>
      <c r="M303" s="594">
        <f t="shared" si="109"/>
        <v>111.43333333333334</v>
      </c>
      <c r="N303" s="594">
        <f t="shared" si="110"/>
        <v>143.4</v>
      </c>
      <c r="O303" s="594">
        <f t="shared" si="111"/>
        <v>101</v>
      </c>
      <c r="P303" s="593"/>
      <c r="Q303" s="589">
        <f t="shared" si="115"/>
        <v>1.2333333333333343</v>
      </c>
      <c r="R303" s="589">
        <f t="shared" si="116"/>
        <v>2.6000000000000227</v>
      </c>
      <c r="S303" s="589">
        <f t="shared" si="117"/>
        <v>0.86666666666667425</v>
      </c>
      <c r="T303" s="594"/>
      <c r="U303" s="594">
        <f t="shared" si="112"/>
        <v>111.64285714285714</v>
      </c>
      <c r="V303" s="594">
        <f t="shared" si="113"/>
        <v>142.11428571428573</v>
      </c>
      <c r="W303" s="594">
        <f t="shared" si="114"/>
        <v>100.62857142857142</v>
      </c>
      <c r="X303" s="594"/>
      <c r="Y303" s="594">
        <f t="shared" si="118"/>
        <v>0.27142857142855803</v>
      </c>
      <c r="Z303" s="594">
        <f t="shared" si="119"/>
        <v>0.45714285714288394</v>
      </c>
      <c r="AA303" s="595">
        <f t="shared" si="120"/>
        <v>0.64285714285712459</v>
      </c>
    </row>
    <row r="304" spans="1:27" ht="17.25" customHeight="1">
      <c r="A304" s="479">
        <v>30</v>
      </c>
      <c r="B304" s="760">
        <v>18</v>
      </c>
      <c r="C304" s="957">
        <v>1</v>
      </c>
      <c r="D304" s="1207">
        <v>114.4</v>
      </c>
      <c r="E304" s="1207">
        <v>144.80000000000001</v>
      </c>
      <c r="F304" s="1207">
        <v>104.9</v>
      </c>
      <c r="G304" s="597"/>
      <c r="H304" s="602">
        <v>100</v>
      </c>
      <c r="I304" s="593">
        <f t="shared" si="100"/>
        <v>0.5</v>
      </c>
      <c r="J304" s="593">
        <f t="shared" si="101"/>
        <v>-9.9999999999994316E-2</v>
      </c>
      <c r="K304" s="593">
        <f t="shared" si="102"/>
        <v>1.7000000000000028</v>
      </c>
      <c r="L304" s="594"/>
      <c r="M304" s="594">
        <f t="shared" ref="M304:M335" si="121">AVERAGE(D302:D304)</f>
        <v>113.40000000000002</v>
      </c>
      <c r="N304" s="594">
        <f t="shared" ref="N304:N335" si="122">AVERAGE(E302:E304)</f>
        <v>144.73333333333332</v>
      </c>
      <c r="O304" s="594">
        <f t="shared" ref="O304:O335" si="123">AVERAGE(F302:F304)</f>
        <v>102.90000000000002</v>
      </c>
      <c r="P304" s="593"/>
      <c r="Q304" s="589">
        <f t="shared" si="115"/>
        <v>1.9666666666666828</v>
      </c>
      <c r="R304" s="589">
        <f t="shared" si="116"/>
        <v>1.3333333333333144</v>
      </c>
      <c r="S304" s="589">
        <f t="shared" si="117"/>
        <v>1.9000000000000199</v>
      </c>
      <c r="T304" s="594"/>
      <c r="U304" s="594">
        <f t="shared" ref="U304:U335" si="124">AVERAGE(D298:D304)</f>
        <v>111.7</v>
      </c>
      <c r="V304" s="594">
        <f t="shared" ref="V304:V335" si="125">AVERAGE(E298:E304)</f>
        <v>142.42857142857142</v>
      </c>
      <c r="W304" s="594">
        <f t="shared" ref="W304:W335" si="126">AVERAGE(F298:F304)</f>
        <v>101.24285714285713</v>
      </c>
      <c r="X304" s="594"/>
      <c r="Y304" s="594">
        <f t="shared" si="118"/>
        <v>5.7142857142864045E-2</v>
      </c>
      <c r="Z304" s="594">
        <f t="shared" si="119"/>
        <v>0.3142857142856883</v>
      </c>
      <c r="AA304" s="595">
        <f t="shared" si="120"/>
        <v>0.61428571428571388</v>
      </c>
    </row>
    <row r="305" spans="1:27" ht="17.25" customHeight="1">
      <c r="A305" s="778"/>
      <c r="B305" s="778"/>
      <c r="C305" s="779">
        <v>2</v>
      </c>
      <c r="D305" s="1207">
        <v>114.7</v>
      </c>
      <c r="E305" s="1207">
        <v>141.4</v>
      </c>
      <c r="F305" s="1207">
        <v>102.9</v>
      </c>
      <c r="G305" s="597"/>
      <c r="H305" s="588">
        <v>100</v>
      </c>
      <c r="I305" s="593">
        <f t="shared" si="100"/>
        <v>0.29999999999999716</v>
      </c>
      <c r="J305" s="593">
        <f t="shared" si="101"/>
        <v>-3.4000000000000057</v>
      </c>
      <c r="K305" s="593">
        <f t="shared" si="102"/>
        <v>-2</v>
      </c>
      <c r="L305" s="594"/>
      <c r="M305" s="594">
        <f t="shared" si="121"/>
        <v>114.33333333333333</v>
      </c>
      <c r="N305" s="594">
        <f t="shared" si="122"/>
        <v>143.70000000000002</v>
      </c>
      <c r="O305" s="594">
        <f t="shared" si="123"/>
        <v>103.66666666666667</v>
      </c>
      <c r="P305" s="593"/>
      <c r="Q305" s="589">
        <f t="shared" si="115"/>
        <v>0.9333333333333087</v>
      </c>
      <c r="R305" s="589">
        <f t="shared" si="116"/>
        <v>-1.033333333333303</v>
      </c>
      <c r="S305" s="589">
        <f t="shared" si="117"/>
        <v>0.76666666666665151</v>
      </c>
      <c r="T305" s="594"/>
      <c r="U305" s="594">
        <f t="shared" si="124"/>
        <v>111.75714285714285</v>
      </c>
      <c r="V305" s="594">
        <f t="shared" si="125"/>
        <v>142.05714285714285</v>
      </c>
      <c r="W305" s="594">
        <f t="shared" si="126"/>
        <v>101.64285714285714</v>
      </c>
      <c r="X305" s="594"/>
      <c r="Y305" s="594">
        <f t="shared" si="118"/>
        <v>5.7142857142849834E-2</v>
      </c>
      <c r="Z305" s="594">
        <f t="shared" si="119"/>
        <v>-0.37142857142856656</v>
      </c>
      <c r="AA305" s="595">
        <f t="shared" si="120"/>
        <v>0.40000000000000568</v>
      </c>
    </row>
    <row r="306" spans="1:27" ht="17.25" customHeight="1">
      <c r="A306" s="778"/>
      <c r="B306" s="778"/>
      <c r="C306" s="779">
        <v>3</v>
      </c>
      <c r="D306" s="1201">
        <v>117.6</v>
      </c>
      <c r="E306" s="1201">
        <v>144.5</v>
      </c>
      <c r="F306" s="1201">
        <v>102.6</v>
      </c>
      <c r="G306" s="588"/>
      <c r="H306" s="588">
        <v>100</v>
      </c>
      <c r="I306" s="593">
        <f t="shared" si="100"/>
        <v>2.8999999999999915</v>
      </c>
      <c r="J306" s="593">
        <f t="shared" si="101"/>
        <v>3.0999999999999943</v>
      </c>
      <c r="K306" s="593">
        <f t="shared" si="102"/>
        <v>-0.30000000000001137</v>
      </c>
      <c r="L306" s="594"/>
      <c r="M306" s="594">
        <f t="shared" si="121"/>
        <v>115.56666666666668</v>
      </c>
      <c r="N306" s="594">
        <f t="shared" si="122"/>
        <v>143.56666666666669</v>
      </c>
      <c r="O306" s="594">
        <f t="shared" si="123"/>
        <v>103.46666666666665</v>
      </c>
      <c r="P306" s="593"/>
      <c r="Q306" s="589">
        <f t="shared" si="115"/>
        <v>1.2333333333333485</v>
      </c>
      <c r="R306" s="589">
        <f t="shared" si="116"/>
        <v>-0.13333333333332575</v>
      </c>
      <c r="S306" s="589">
        <f t="shared" si="117"/>
        <v>-0.20000000000001705</v>
      </c>
      <c r="T306" s="594"/>
      <c r="U306" s="594">
        <f t="shared" si="124"/>
        <v>113.02857142857144</v>
      </c>
      <c r="V306" s="594">
        <f t="shared" si="125"/>
        <v>142.57142857142856</v>
      </c>
      <c r="W306" s="594">
        <f t="shared" si="126"/>
        <v>102</v>
      </c>
      <c r="X306" s="594"/>
      <c r="Y306" s="594">
        <f t="shared" si="118"/>
        <v>1.2714285714285865</v>
      </c>
      <c r="Z306" s="594">
        <f t="shared" si="119"/>
        <v>0.51428571428570535</v>
      </c>
      <c r="AA306" s="595">
        <f t="shared" si="120"/>
        <v>0.3571428571428612</v>
      </c>
    </row>
    <row r="307" spans="1:27" ht="17.25" customHeight="1">
      <c r="A307" s="778"/>
      <c r="B307" s="778"/>
      <c r="C307" s="779">
        <v>4</v>
      </c>
      <c r="D307" s="1201">
        <v>120.4</v>
      </c>
      <c r="E307" s="1201">
        <v>146.6</v>
      </c>
      <c r="F307" s="1201">
        <v>99.1</v>
      </c>
      <c r="G307" s="588"/>
      <c r="H307" s="588">
        <v>100</v>
      </c>
      <c r="I307" s="593">
        <f t="shared" si="100"/>
        <v>2.8000000000000114</v>
      </c>
      <c r="J307" s="593">
        <f t="shared" si="101"/>
        <v>2.0999999999999943</v>
      </c>
      <c r="K307" s="593">
        <f t="shared" si="102"/>
        <v>-3.5</v>
      </c>
      <c r="L307" s="594"/>
      <c r="M307" s="594">
        <f t="shared" si="121"/>
        <v>117.56666666666668</v>
      </c>
      <c r="N307" s="594">
        <f t="shared" si="122"/>
        <v>144.16666666666666</v>
      </c>
      <c r="O307" s="594">
        <f t="shared" si="123"/>
        <v>101.53333333333335</v>
      </c>
      <c r="P307" s="593"/>
      <c r="Q307" s="589">
        <f t="shared" si="115"/>
        <v>2</v>
      </c>
      <c r="R307" s="589">
        <f t="shared" si="116"/>
        <v>0.59999999999996589</v>
      </c>
      <c r="S307" s="589">
        <f t="shared" si="117"/>
        <v>-1.9333333333333087</v>
      </c>
      <c r="T307" s="594"/>
      <c r="U307" s="594">
        <f t="shared" si="124"/>
        <v>114.48571428571429</v>
      </c>
      <c r="V307" s="594">
        <f t="shared" si="125"/>
        <v>143.92857142857142</v>
      </c>
      <c r="W307" s="594">
        <f t="shared" si="126"/>
        <v>101.78571428571429</v>
      </c>
      <c r="X307" s="594"/>
      <c r="Y307" s="594">
        <f t="shared" si="118"/>
        <v>1.4571428571428555</v>
      </c>
      <c r="Z307" s="594">
        <f t="shared" si="119"/>
        <v>1.3571428571428612</v>
      </c>
      <c r="AA307" s="595">
        <f t="shared" si="120"/>
        <v>-0.2142857142857082</v>
      </c>
    </row>
    <row r="308" spans="1:27" ht="17.25" customHeight="1">
      <c r="A308" s="778"/>
      <c r="B308" s="778"/>
      <c r="C308" s="779">
        <v>5</v>
      </c>
      <c r="D308" s="1201">
        <v>119</v>
      </c>
      <c r="E308" s="1201">
        <v>145.4</v>
      </c>
      <c r="F308" s="1201">
        <v>103.3</v>
      </c>
      <c r="G308" s="588"/>
      <c r="H308" s="588">
        <v>100</v>
      </c>
      <c r="I308" s="593">
        <f t="shared" si="100"/>
        <v>-1.4000000000000057</v>
      </c>
      <c r="J308" s="593">
        <f t="shared" si="101"/>
        <v>-1.1999999999999886</v>
      </c>
      <c r="K308" s="593">
        <f t="shared" si="102"/>
        <v>4.2000000000000028</v>
      </c>
      <c r="L308" s="594"/>
      <c r="M308" s="594">
        <f t="shared" si="121"/>
        <v>119</v>
      </c>
      <c r="N308" s="594">
        <f t="shared" si="122"/>
        <v>145.5</v>
      </c>
      <c r="O308" s="594">
        <f t="shared" si="123"/>
        <v>101.66666666666667</v>
      </c>
      <c r="P308" s="593"/>
      <c r="Q308" s="589">
        <f t="shared" si="115"/>
        <v>1.4333333333333229</v>
      </c>
      <c r="R308" s="589">
        <f t="shared" si="116"/>
        <v>1.3333333333333428</v>
      </c>
      <c r="S308" s="589">
        <f t="shared" si="117"/>
        <v>0.13333333333332575</v>
      </c>
      <c r="T308" s="594"/>
      <c r="U308" s="594">
        <f t="shared" si="124"/>
        <v>115.98571428571428</v>
      </c>
      <c r="V308" s="594">
        <f t="shared" si="125"/>
        <v>144.58571428571429</v>
      </c>
      <c r="W308" s="594">
        <f t="shared" si="126"/>
        <v>102.37142857142858</v>
      </c>
      <c r="X308" s="594"/>
      <c r="Y308" s="594">
        <f t="shared" si="118"/>
        <v>1.4999999999999858</v>
      </c>
      <c r="Z308" s="594">
        <f t="shared" si="119"/>
        <v>0.65714285714287257</v>
      </c>
      <c r="AA308" s="595">
        <f t="shared" si="120"/>
        <v>0.58571428571428896</v>
      </c>
    </row>
    <row r="309" spans="1:27" ht="17.25" customHeight="1">
      <c r="A309" s="778"/>
      <c r="B309" s="778"/>
      <c r="C309" s="779">
        <v>6</v>
      </c>
      <c r="D309" s="1201">
        <v>119.1</v>
      </c>
      <c r="E309" s="1201">
        <v>148.19999999999999</v>
      </c>
      <c r="F309" s="1201">
        <v>103</v>
      </c>
      <c r="G309" s="588"/>
      <c r="H309" s="588">
        <v>100</v>
      </c>
      <c r="I309" s="593">
        <f t="shared" si="100"/>
        <v>9.9999999999994316E-2</v>
      </c>
      <c r="J309" s="593">
        <f t="shared" si="101"/>
        <v>2.7999999999999829</v>
      </c>
      <c r="K309" s="593">
        <f t="shared" si="102"/>
        <v>-0.29999999999999716</v>
      </c>
      <c r="L309" s="594"/>
      <c r="M309" s="594">
        <f t="shared" si="121"/>
        <v>119.5</v>
      </c>
      <c r="N309" s="594">
        <f t="shared" si="122"/>
        <v>146.73333333333332</v>
      </c>
      <c r="O309" s="594">
        <f t="shared" si="123"/>
        <v>101.8</v>
      </c>
      <c r="P309" s="593"/>
      <c r="Q309" s="589">
        <f t="shared" si="115"/>
        <v>0.5</v>
      </c>
      <c r="R309" s="589">
        <f t="shared" si="116"/>
        <v>1.2333333333333201</v>
      </c>
      <c r="S309" s="589">
        <f t="shared" si="117"/>
        <v>0.13333333333332575</v>
      </c>
      <c r="T309" s="594"/>
      <c r="U309" s="594">
        <f t="shared" si="124"/>
        <v>117.01428571428572</v>
      </c>
      <c r="V309" s="594">
        <f t="shared" si="125"/>
        <v>145.1142857142857</v>
      </c>
      <c r="W309" s="594">
        <f t="shared" si="126"/>
        <v>102.71428571428571</v>
      </c>
      <c r="X309" s="594"/>
      <c r="Y309" s="594">
        <f t="shared" si="118"/>
        <v>1.0285714285714391</v>
      </c>
      <c r="Z309" s="594">
        <f t="shared" si="119"/>
        <v>0.52857142857141071</v>
      </c>
      <c r="AA309" s="595">
        <f t="shared" si="120"/>
        <v>0.34285714285712743</v>
      </c>
    </row>
    <row r="310" spans="1:27" ht="17.25" customHeight="1">
      <c r="A310" s="778"/>
      <c r="B310" s="778"/>
      <c r="C310" s="779">
        <v>7</v>
      </c>
      <c r="D310" s="1201">
        <v>122.5</v>
      </c>
      <c r="E310" s="1201">
        <v>147.69999999999999</v>
      </c>
      <c r="F310" s="1201">
        <v>104.7</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103.66666666666667</v>
      </c>
      <c r="P310" s="593"/>
      <c r="Q310" s="589">
        <f t="shared" si="115"/>
        <v>0.70000000000000284</v>
      </c>
      <c r="R310" s="589">
        <f t="shared" si="116"/>
        <v>0.36666666666667425</v>
      </c>
      <c r="S310" s="589">
        <f t="shared" si="117"/>
        <v>1.8666666666666742</v>
      </c>
      <c r="T310" s="594"/>
      <c r="U310" s="594">
        <f t="shared" si="124"/>
        <v>118.24285714285715</v>
      </c>
      <c r="V310" s="594">
        <f t="shared" si="125"/>
        <v>145.51428571428573</v>
      </c>
      <c r="W310" s="594">
        <f t="shared" si="126"/>
        <v>102.92857142857143</v>
      </c>
      <c r="X310" s="594"/>
      <c r="Y310" s="594">
        <f t="shared" si="118"/>
        <v>1.2285714285714278</v>
      </c>
      <c r="Z310" s="594">
        <f t="shared" si="119"/>
        <v>0.40000000000003411</v>
      </c>
      <c r="AA310" s="595">
        <f t="shared" si="120"/>
        <v>0.21428571428572241</v>
      </c>
    </row>
    <row r="311" spans="1:27" ht="17.25" customHeight="1">
      <c r="A311" s="778"/>
      <c r="B311" s="778"/>
      <c r="C311" s="779">
        <v>8</v>
      </c>
      <c r="D311" s="1201">
        <v>121.7</v>
      </c>
      <c r="E311" s="1201">
        <v>145.4</v>
      </c>
      <c r="F311" s="1201">
        <v>101.5</v>
      </c>
      <c r="G311" s="588">
        <v>170</v>
      </c>
      <c r="H311" s="588">
        <v>100</v>
      </c>
      <c r="I311" s="593">
        <f t="shared" si="100"/>
        <v>-0.79999999999999716</v>
      </c>
      <c r="J311" s="593">
        <f t="shared" si="101"/>
        <v>-2.2999999999999829</v>
      </c>
      <c r="K311" s="593">
        <f t="shared" si="102"/>
        <v>-3.2000000000000028</v>
      </c>
      <c r="L311" s="594"/>
      <c r="M311" s="594">
        <f t="shared" si="121"/>
        <v>121.10000000000001</v>
      </c>
      <c r="N311" s="594">
        <f t="shared" si="122"/>
        <v>147.1</v>
      </c>
      <c r="O311" s="594">
        <f t="shared" si="123"/>
        <v>103.06666666666666</v>
      </c>
      <c r="P311" s="593"/>
      <c r="Q311" s="589">
        <f t="shared" si="115"/>
        <v>0.90000000000000568</v>
      </c>
      <c r="R311" s="589">
        <f t="shared" si="116"/>
        <v>0</v>
      </c>
      <c r="S311" s="589">
        <f t="shared" si="117"/>
        <v>-0.60000000000000853</v>
      </c>
      <c r="T311" s="594"/>
      <c r="U311" s="594">
        <f t="shared" si="124"/>
        <v>119.28571428571431</v>
      </c>
      <c r="V311" s="594">
        <f t="shared" si="125"/>
        <v>145.6</v>
      </c>
      <c r="W311" s="594">
        <f t="shared" si="126"/>
        <v>102.44285714285715</v>
      </c>
      <c r="X311" s="594"/>
      <c r="Y311" s="594">
        <f t="shared" si="118"/>
        <v>1.0428571428571587</v>
      </c>
      <c r="Z311" s="594">
        <f t="shared" si="119"/>
        <v>8.5714285714260541E-2</v>
      </c>
      <c r="AA311" s="595">
        <f t="shared" si="120"/>
        <v>-0.48571428571428044</v>
      </c>
    </row>
    <row r="312" spans="1:27" ht="17.25" customHeight="1">
      <c r="A312" s="778"/>
      <c r="B312" s="778"/>
      <c r="C312" s="779">
        <v>9</v>
      </c>
      <c r="D312" s="1201">
        <v>122.4</v>
      </c>
      <c r="E312" s="1201">
        <v>144.30000000000001</v>
      </c>
      <c r="F312" s="1201">
        <v>99.8</v>
      </c>
      <c r="G312" s="588">
        <v>170</v>
      </c>
      <c r="H312" s="588">
        <v>100</v>
      </c>
      <c r="I312" s="593">
        <f t="shared" si="100"/>
        <v>0.70000000000000284</v>
      </c>
      <c r="J312" s="593">
        <f t="shared" si="101"/>
        <v>-1.0999999999999943</v>
      </c>
      <c r="K312" s="593">
        <f t="shared" si="102"/>
        <v>-1.7000000000000028</v>
      </c>
      <c r="L312" s="594"/>
      <c r="M312" s="594">
        <f t="shared" si="121"/>
        <v>122.2</v>
      </c>
      <c r="N312" s="594">
        <f t="shared" si="122"/>
        <v>145.80000000000001</v>
      </c>
      <c r="O312" s="594">
        <f t="shared" si="123"/>
        <v>102</v>
      </c>
      <c r="P312" s="593"/>
      <c r="Q312" s="589">
        <f t="shared" si="115"/>
        <v>1.0999999999999943</v>
      </c>
      <c r="R312" s="589">
        <f t="shared" si="116"/>
        <v>-1.2999999999999829</v>
      </c>
      <c r="S312" s="589">
        <f t="shared" si="117"/>
        <v>-1.0666666666666629</v>
      </c>
      <c r="T312" s="594"/>
      <c r="U312" s="594">
        <f t="shared" si="124"/>
        <v>120.38571428571429</v>
      </c>
      <c r="V312" s="594">
        <f t="shared" si="125"/>
        <v>146.01428571428573</v>
      </c>
      <c r="W312" s="594">
        <f t="shared" si="126"/>
        <v>102</v>
      </c>
      <c r="X312" s="594"/>
      <c r="Y312" s="594">
        <f t="shared" si="118"/>
        <v>1.0999999999999801</v>
      </c>
      <c r="Z312" s="594">
        <f t="shared" si="119"/>
        <v>0.41428571428573946</v>
      </c>
      <c r="AA312" s="595">
        <f t="shared" si="120"/>
        <v>-0.44285714285715017</v>
      </c>
    </row>
    <row r="313" spans="1:27" ht="17.25" customHeight="1">
      <c r="A313" s="778"/>
      <c r="B313" s="778"/>
      <c r="C313" s="779">
        <v>10</v>
      </c>
      <c r="D313" s="1201">
        <v>124.3</v>
      </c>
      <c r="E313" s="1201">
        <v>144.1</v>
      </c>
      <c r="F313" s="1201">
        <v>98.7</v>
      </c>
      <c r="G313" s="588">
        <v>170</v>
      </c>
      <c r="H313" s="588">
        <v>100</v>
      </c>
      <c r="I313" s="593">
        <f t="shared" si="100"/>
        <v>1.8999999999999915</v>
      </c>
      <c r="J313" s="593">
        <f t="shared" si="101"/>
        <v>-0.20000000000001705</v>
      </c>
      <c r="K313" s="593">
        <f t="shared" si="102"/>
        <v>-1.0999999999999943</v>
      </c>
      <c r="L313" s="594"/>
      <c r="M313" s="594">
        <f t="shared" si="121"/>
        <v>122.80000000000001</v>
      </c>
      <c r="N313" s="594">
        <f t="shared" si="122"/>
        <v>144.60000000000002</v>
      </c>
      <c r="O313" s="594">
        <f t="shared" si="123"/>
        <v>100</v>
      </c>
      <c r="P313" s="593"/>
      <c r="Q313" s="589">
        <f t="shared" si="115"/>
        <v>0.60000000000000853</v>
      </c>
      <c r="R313" s="589">
        <f t="shared" si="116"/>
        <v>-1.1999999999999886</v>
      </c>
      <c r="S313" s="589">
        <f t="shared" si="117"/>
        <v>-2</v>
      </c>
      <c r="T313" s="594"/>
      <c r="U313" s="594">
        <f t="shared" si="124"/>
        <v>121.34285714285714</v>
      </c>
      <c r="V313" s="594">
        <f t="shared" si="125"/>
        <v>145.95714285714286</v>
      </c>
      <c r="W313" s="594">
        <f t="shared" si="126"/>
        <v>101.44285714285715</v>
      </c>
      <c r="X313" s="594"/>
      <c r="Y313" s="594">
        <f t="shared" si="118"/>
        <v>0.95714285714285552</v>
      </c>
      <c r="Z313" s="594">
        <f t="shared" si="119"/>
        <v>-5.7142857142878256E-2</v>
      </c>
      <c r="AA313" s="595">
        <f t="shared" si="120"/>
        <v>-0.55714285714284983</v>
      </c>
    </row>
    <row r="314" spans="1:27" ht="17.25" customHeight="1">
      <c r="A314" s="778"/>
      <c r="B314" s="778"/>
      <c r="C314" s="779">
        <v>11</v>
      </c>
      <c r="D314" s="1201">
        <v>128.4</v>
      </c>
      <c r="E314" s="1201">
        <v>140.30000000000001</v>
      </c>
      <c r="F314" s="1201">
        <v>98.3</v>
      </c>
      <c r="G314" s="588">
        <v>170</v>
      </c>
      <c r="H314" s="588">
        <v>100</v>
      </c>
      <c r="I314" s="593">
        <f t="shared" si="100"/>
        <v>4.1000000000000085</v>
      </c>
      <c r="J314" s="593">
        <f t="shared" si="101"/>
        <v>-3.7999999999999829</v>
      </c>
      <c r="K314" s="593">
        <f t="shared" si="102"/>
        <v>-0.40000000000000568</v>
      </c>
      <c r="L314" s="594"/>
      <c r="M314" s="594">
        <f t="shared" si="121"/>
        <v>125.03333333333335</v>
      </c>
      <c r="N314" s="594">
        <f t="shared" si="122"/>
        <v>142.9</v>
      </c>
      <c r="O314" s="594">
        <f t="shared" si="123"/>
        <v>98.933333333333337</v>
      </c>
      <c r="P314" s="593"/>
      <c r="Q314" s="589">
        <f t="shared" si="115"/>
        <v>2.2333333333333343</v>
      </c>
      <c r="R314" s="589">
        <f t="shared" si="116"/>
        <v>-1.7000000000000171</v>
      </c>
      <c r="S314" s="589">
        <f t="shared" si="117"/>
        <v>-1.0666666666666629</v>
      </c>
      <c r="T314" s="594"/>
      <c r="U314" s="594">
        <f t="shared" si="124"/>
        <v>122.48571428571428</v>
      </c>
      <c r="V314" s="594">
        <f t="shared" si="125"/>
        <v>145.05714285714288</v>
      </c>
      <c r="W314" s="594">
        <f t="shared" si="126"/>
        <v>101.32857142857142</v>
      </c>
      <c r="X314" s="594"/>
      <c r="Y314" s="594">
        <f t="shared" si="118"/>
        <v>1.1428571428571388</v>
      </c>
      <c r="Z314" s="594">
        <f t="shared" si="119"/>
        <v>-0.89999999999997726</v>
      </c>
      <c r="AA314" s="595">
        <f t="shared" si="120"/>
        <v>-0.11428571428572809</v>
      </c>
    </row>
    <row r="315" spans="1:27" ht="17.25" customHeight="1">
      <c r="A315" s="778"/>
      <c r="B315" s="778"/>
      <c r="C315" s="779">
        <v>12</v>
      </c>
      <c r="D315" s="1205">
        <v>125.1</v>
      </c>
      <c r="E315" s="1205">
        <v>141.5</v>
      </c>
      <c r="F315" s="1205">
        <v>99.2</v>
      </c>
      <c r="G315" s="592">
        <v>170</v>
      </c>
      <c r="H315" s="629">
        <v>100</v>
      </c>
      <c r="I315" s="593">
        <f t="shared" si="100"/>
        <v>-3.3000000000000114</v>
      </c>
      <c r="J315" s="593">
        <f t="shared" si="101"/>
        <v>1.1999999999999886</v>
      </c>
      <c r="K315" s="593">
        <f t="shared" si="102"/>
        <v>0.90000000000000568</v>
      </c>
      <c r="L315" s="594"/>
      <c r="M315" s="594">
        <f t="shared" si="121"/>
        <v>125.93333333333332</v>
      </c>
      <c r="N315" s="594">
        <f t="shared" si="122"/>
        <v>141.96666666666667</v>
      </c>
      <c r="O315" s="594">
        <f t="shared" si="123"/>
        <v>98.733333333333334</v>
      </c>
      <c r="P315" s="593"/>
      <c r="Q315" s="589">
        <f t="shared" si="115"/>
        <v>0.89999999999997726</v>
      </c>
      <c r="R315" s="589">
        <f t="shared" si="116"/>
        <v>-0.93333333333333712</v>
      </c>
      <c r="S315" s="589">
        <f t="shared" si="117"/>
        <v>-0.20000000000000284</v>
      </c>
      <c r="T315" s="594"/>
      <c r="U315" s="594">
        <f t="shared" si="124"/>
        <v>123.35714285714286</v>
      </c>
      <c r="V315" s="594">
        <f t="shared" si="125"/>
        <v>144.5</v>
      </c>
      <c r="W315" s="594">
        <f t="shared" si="126"/>
        <v>100.74285714285715</v>
      </c>
      <c r="X315" s="594"/>
      <c r="Y315" s="594">
        <f t="shared" si="118"/>
        <v>0.87142857142858077</v>
      </c>
      <c r="Z315" s="594">
        <f t="shared" si="119"/>
        <v>-0.55714285714287826</v>
      </c>
      <c r="AA315" s="595">
        <f t="shared" si="120"/>
        <v>-0.58571428571427475</v>
      </c>
    </row>
    <row r="316" spans="1:27" ht="17.25" customHeight="1">
      <c r="A316" s="479" t="s">
        <v>731</v>
      </c>
      <c r="B316" s="760">
        <v>19</v>
      </c>
      <c r="C316" s="957">
        <v>1</v>
      </c>
      <c r="D316" s="1207">
        <v>125</v>
      </c>
      <c r="E316" s="1207">
        <v>133</v>
      </c>
      <c r="F316" s="1207">
        <v>94.8</v>
      </c>
      <c r="G316" s="597">
        <v>170</v>
      </c>
      <c r="H316" s="602">
        <v>100</v>
      </c>
      <c r="I316" s="593">
        <f t="shared" si="100"/>
        <v>-9.9999999999994316E-2</v>
      </c>
      <c r="J316" s="593">
        <f t="shared" si="101"/>
        <v>-8.5</v>
      </c>
      <c r="K316" s="593">
        <f t="shared" si="102"/>
        <v>-4.4000000000000057</v>
      </c>
      <c r="L316" s="594"/>
      <c r="M316" s="594">
        <f t="shared" si="121"/>
        <v>126.16666666666667</v>
      </c>
      <c r="N316" s="594">
        <f t="shared" si="122"/>
        <v>138.26666666666668</v>
      </c>
      <c r="O316" s="594">
        <f t="shared" si="123"/>
        <v>97.433333333333337</v>
      </c>
      <c r="P316" s="593"/>
      <c r="Q316" s="589">
        <f t="shared" si="115"/>
        <v>0.23333333333334849</v>
      </c>
      <c r="R316" s="589">
        <f t="shared" si="116"/>
        <v>-3.6999999999999886</v>
      </c>
      <c r="S316" s="589">
        <f t="shared" si="117"/>
        <v>-1.2999999999999972</v>
      </c>
      <c r="T316" s="594"/>
      <c r="U316" s="594">
        <f t="shared" si="124"/>
        <v>124.20000000000002</v>
      </c>
      <c r="V316" s="594">
        <f t="shared" si="125"/>
        <v>142.32857142857142</v>
      </c>
      <c r="W316" s="594">
        <f t="shared" si="126"/>
        <v>99.571428571428569</v>
      </c>
      <c r="X316" s="594"/>
      <c r="Y316" s="594">
        <f t="shared" si="118"/>
        <v>0.84285714285715585</v>
      </c>
      <c r="Z316" s="594">
        <f t="shared" si="119"/>
        <v>-2.1714285714285779</v>
      </c>
      <c r="AA316" s="595">
        <f t="shared" si="120"/>
        <v>-1.1714285714285779</v>
      </c>
    </row>
    <row r="317" spans="1:27" ht="17.25" customHeight="1">
      <c r="A317" s="778"/>
      <c r="B317" s="778"/>
      <c r="C317" s="779">
        <v>2</v>
      </c>
      <c r="D317" s="1207">
        <v>123.8</v>
      </c>
      <c r="E317" s="1207">
        <v>136.30000000000001</v>
      </c>
      <c r="F317" s="1207">
        <v>96.2</v>
      </c>
      <c r="G317" s="597">
        <v>170</v>
      </c>
      <c r="H317" s="588">
        <v>100</v>
      </c>
      <c r="I317" s="593">
        <f t="shared" si="100"/>
        <v>-1.2000000000000028</v>
      </c>
      <c r="J317" s="593">
        <f t="shared" si="101"/>
        <v>3.3000000000000114</v>
      </c>
      <c r="K317" s="593">
        <f t="shared" si="102"/>
        <v>1.4000000000000057</v>
      </c>
      <c r="L317" s="594"/>
      <c r="M317" s="594">
        <f t="shared" si="121"/>
        <v>124.63333333333333</v>
      </c>
      <c r="N317" s="594">
        <f t="shared" si="122"/>
        <v>136.93333333333334</v>
      </c>
      <c r="O317" s="594">
        <f t="shared" si="123"/>
        <v>96.733333333333334</v>
      </c>
      <c r="P317" s="593"/>
      <c r="Q317" s="589">
        <f t="shared" si="115"/>
        <v>-1.5333333333333456</v>
      </c>
      <c r="R317" s="589">
        <f t="shared" si="116"/>
        <v>-1.3333333333333428</v>
      </c>
      <c r="S317" s="589">
        <f t="shared" si="117"/>
        <v>-0.70000000000000284</v>
      </c>
      <c r="T317" s="594"/>
      <c r="U317" s="594">
        <f t="shared" si="124"/>
        <v>124.38571428571429</v>
      </c>
      <c r="V317" s="594">
        <f t="shared" si="125"/>
        <v>140.70000000000002</v>
      </c>
      <c r="W317" s="594">
        <f t="shared" si="126"/>
        <v>98.357142857142861</v>
      </c>
      <c r="X317" s="594"/>
      <c r="Y317" s="594">
        <f t="shared" si="118"/>
        <v>0.18571428571426907</v>
      </c>
      <c r="Z317" s="594">
        <f t="shared" si="119"/>
        <v>-1.628571428571405</v>
      </c>
      <c r="AA317" s="595">
        <f t="shared" si="120"/>
        <v>-1.2142857142857082</v>
      </c>
    </row>
    <row r="318" spans="1:27" ht="17.25" customHeight="1">
      <c r="A318" s="778"/>
      <c r="B318" s="778"/>
      <c r="C318" s="779">
        <v>3</v>
      </c>
      <c r="D318" s="1201">
        <v>120.1</v>
      </c>
      <c r="E318" s="1201">
        <v>135.69999999999999</v>
      </c>
      <c r="F318" s="1201">
        <v>96.8</v>
      </c>
      <c r="G318" s="588">
        <v>170</v>
      </c>
      <c r="H318" s="588">
        <v>100</v>
      </c>
      <c r="I318" s="593">
        <f t="shared" si="100"/>
        <v>-3.7000000000000028</v>
      </c>
      <c r="J318" s="593">
        <f t="shared" si="101"/>
        <v>-0.60000000000002274</v>
      </c>
      <c r="K318" s="593">
        <f t="shared" si="102"/>
        <v>0.59999999999999432</v>
      </c>
      <c r="L318" s="594"/>
      <c r="M318" s="594">
        <f t="shared" si="121"/>
        <v>122.96666666666665</v>
      </c>
      <c r="N318" s="594">
        <f t="shared" si="122"/>
        <v>135</v>
      </c>
      <c r="O318" s="594">
        <f t="shared" si="123"/>
        <v>95.933333333333337</v>
      </c>
      <c r="P318" s="593"/>
      <c r="Q318" s="589">
        <f t="shared" si="115"/>
        <v>-1.6666666666666714</v>
      </c>
      <c r="R318" s="589">
        <f t="shared" si="116"/>
        <v>-1.9333333333333371</v>
      </c>
      <c r="S318" s="589">
        <f t="shared" si="117"/>
        <v>-0.79999999999999716</v>
      </c>
      <c r="T318" s="594"/>
      <c r="U318" s="594">
        <f t="shared" si="124"/>
        <v>124.15714285714286</v>
      </c>
      <c r="V318" s="594">
        <f t="shared" si="125"/>
        <v>139.31428571428572</v>
      </c>
      <c r="W318" s="594">
        <f t="shared" si="126"/>
        <v>97.685714285714283</v>
      </c>
      <c r="X318" s="594"/>
      <c r="Y318" s="594">
        <f t="shared" si="118"/>
        <v>-0.22857142857142776</v>
      </c>
      <c r="Z318" s="594">
        <f t="shared" si="119"/>
        <v>-1.3857142857143003</v>
      </c>
      <c r="AA318" s="595">
        <f t="shared" si="120"/>
        <v>-0.67142857142857792</v>
      </c>
    </row>
    <row r="319" spans="1:27" ht="17.25" customHeight="1">
      <c r="A319" s="778"/>
      <c r="B319" s="778"/>
      <c r="C319" s="779">
        <v>4</v>
      </c>
      <c r="D319" s="1201">
        <v>121.5</v>
      </c>
      <c r="E319" s="1201">
        <v>132.1</v>
      </c>
      <c r="F319" s="1201">
        <v>95.1</v>
      </c>
      <c r="G319" s="588">
        <v>170</v>
      </c>
      <c r="H319" s="588">
        <v>100</v>
      </c>
      <c r="I319" s="593">
        <f t="shared" si="100"/>
        <v>1.4000000000000057</v>
      </c>
      <c r="J319" s="593">
        <f t="shared" si="101"/>
        <v>-3.5999999999999943</v>
      </c>
      <c r="K319" s="593">
        <f t="shared" si="102"/>
        <v>-1.7000000000000028</v>
      </c>
      <c r="L319" s="594"/>
      <c r="M319" s="594">
        <f t="shared" si="121"/>
        <v>121.8</v>
      </c>
      <c r="N319" s="594">
        <f t="shared" si="122"/>
        <v>134.70000000000002</v>
      </c>
      <c r="O319" s="594">
        <f t="shared" si="123"/>
        <v>96.033333333333346</v>
      </c>
      <c r="P319" s="593"/>
      <c r="Q319" s="589">
        <f t="shared" si="115"/>
        <v>-1.1666666666666572</v>
      </c>
      <c r="R319" s="589">
        <f t="shared" si="116"/>
        <v>-0.29999999999998295</v>
      </c>
      <c r="S319" s="589">
        <f t="shared" si="117"/>
        <v>0.10000000000000853</v>
      </c>
      <c r="T319" s="594"/>
      <c r="U319" s="594">
        <f t="shared" si="124"/>
        <v>124.02857142857142</v>
      </c>
      <c r="V319" s="594">
        <f t="shared" si="125"/>
        <v>137.57142857142858</v>
      </c>
      <c r="W319" s="594">
        <f t="shared" si="126"/>
        <v>97.01428571428572</v>
      </c>
      <c r="X319" s="594"/>
      <c r="Y319" s="594">
        <f t="shared" si="118"/>
        <v>-0.12857142857143344</v>
      </c>
      <c r="Z319" s="594">
        <f t="shared" si="119"/>
        <v>-1.7428571428571331</v>
      </c>
      <c r="AA319" s="595">
        <f t="shared" si="120"/>
        <v>-0.67142857142856371</v>
      </c>
    </row>
    <row r="320" spans="1:27" ht="17.25" customHeight="1">
      <c r="A320" s="778"/>
      <c r="B320" s="778"/>
      <c r="C320" s="779">
        <v>5</v>
      </c>
      <c r="D320" s="1201">
        <v>125.8</v>
      </c>
      <c r="E320" s="1201">
        <v>134.5</v>
      </c>
      <c r="F320" s="1201">
        <v>101.2</v>
      </c>
      <c r="G320" s="588">
        <v>170</v>
      </c>
      <c r="H320" s="588">
        <v>100</v>
      </c>
      <c r="I320" s="593">
        <f t="shared" ref="I320:I384" si="127">D320-D319</f>
        <v>4.2999999999999972</v>
      </c>
      <c r="J320" s="593">
        <f t="shared" ref="J320:J384" si="128">E320-E319</f>
        <v>2.4000000000000057</v>
      </c>
      <c r="K320" s="593">
        <f t="shared" ref="K320:K384" si="129">F320-F319</f>
        <v>6.1000000000000085</v>
      </c>
      <c r="L320" s="594"/>
      <c r="M320" s="594">
        <f t="shared" si="121"/>
        <v>122.46666666666665</v>
      </c>
      <c r="N320" s="594">
        <f t="shared" si="122"/>
        <v>134.1</v>
      </c>
      <c r="O320" s="594">
        <f t="shared" si="123"/>
        <v>97.699999999999989</v>
      </c>
      <c r="P320" s="593"/>
      <c r="Q320" s="589">
        <f t="shared" si="115"/>
        <v>0.66666666666665719</v>
      </c>
      <c r="R320" s="589">
        <f t="shared" si="116"/>
        <v>-0.60000000000002274</v>
      </c>
      <c r="S320" s="589">
        <f t="shared" si="117"/>
        <v>1.666666666666643</v>
      </c>
      <c r="T320" s="594"/>
      <c r="U320" s="594">
        <f t="shared" si="124"/>
        <v>124.24285714285713</v>
      </c>
      <c r="V320" s="594">
        <f t="shared" si="125"/>
        <v>136.19999999999999</v>
      </c>
      <c r="W320" s="594">
        <f t="shared" si="126"/>
        <v>97.371428571428581</v>
      </c>
      <c r="X320" s="594"/>
      <c r="Y320" s="594">
        <f t="shared" si="118"/>
        <v>0.2142857142857082</v>
      </c>
      <c r="Z320" s="594">
        <f t="shared" si="119"/>
        <v>-1.371428571428595</v>
      </c>
      <c r="AA320" s="595">
        <f t="shared" si="120"/>
        <v>0.3571428571428612</v>
      </c>
    </row>
    <row r="321" spans="1:27" ht="17.25" customHeight="1">
      <c r="A321" s="778"/>
      <c r="B321" s="778"/>
      <c r="C321" s="779">
        <v>6</v>
      </c>
      <c r="D321" s="1201">
        <v>124.6</v>
      </c>
      <c r="E321" s="1201">
        <v>129.5</v>
      </c>
      <c r="F321" s="1201">
        <v>103.7</v>
      </c>
      <c r="G321" s="588">
        <v>170</v>
      </c>
      <c r="H321" s="588">
        <v>100</v>
      </c>
      <c r="I321" s="593">
        <f t="shared" si="127"/>
        <v>-1.2000000000000028</v>
      </c>
      <c r="J321" s="593">
        <f t="shared" si="128"/>
        <v>-5</v>
      </c>
      <c r="K321" s="593">
        <f t="shared" si="129"/>
        <v>2.5</v>
      </c>
      <c r="L321" s="594"/>
      <c r="M321" s="594">
        <f t="shared" si="121"/>
        <v>123.96666666666665</v>
      </c>
      <c r="N321" s="594">
        <f t="shared" si="122"/>
        <v>132.03333333333333</v>
      </c>
      <c r="O321" s="594">
        <f t="shared" si="123"/>
        <v>100</v>
      </c>
      <c r="P321" s="593"/>
      <c r="Q321" s="589">
        <f t="shared" si="115"/>
        <v>1.5</v>
      </c>
      <c r="R321" s="589">
        <f t="shared" si="116"/>
        <v>-2.0666666666666629</v>
      </c>
      <c r="S321" s="589">
        <f t="shared" si="117"/>
        <v>2.3000000000000114</v>
      </c>
      <c r="T321" s="594"/>
      <c r="U321" s="594">
        <f t="shared" si="124"/>
        <v>123.7</v>
      </c>
      <c r="V321" s="594">
        <f t="shared" si="125"/>
        <v>134.65714285714287</v>
      </c>
      <c r="W321" s="594">
        <f t="shared" si="126"/>
        <v>98.142857142857153</v>
      </c>
      <c r="X321" s="594"/>
      <c r="Y321" s="594">
        <f t="shared" si="118"/>
        <v>-0.54285714285713027</v>
      </c>
      <c r="Z321" s="594">
        <f t="shared" si="119"/>
        <v>-1.5428571428571161</v>
      </c>
      <c r="AA321" s="595">
        <f t="shared" si="120"/>
        <v>0.77142857142857224</v>
      </c>
    </row>
    <row r="322" spans="1:27" ht="17.25" customHeight="1">
      <c r="A322" s="778"/>
      <c r="B322" s="778"/>
      <c r="C322" s="779">
        <v>7</v>
      </c>
      <c r="D322" s="1201">
        <v>122.4</v>
      </c>
      <c r="E322" s="1201">
        <v>127.4</v>
      </c>
      <c r="F322" s="1201">
        <v>97.2</v>
      </c>
      <c r="G322" s="588">
        <v>170</v>
      </c>
      <c r="H322" s="588">
        <v>100</v>
      </c>
      <c r="I322" s="593">
        <f t="shared" si="127"/>
        <v>-2.1999999999999886</v>
      </c>
      <c r="J322" s="593">
        <f t="shared" si="128"/>
        <v>-2.0999999999999943</v>
      </c>
      <c r="K322" s="593">
        <f t="shared" si="129"/>
        <v>-6.5</v>
      </c>
      <c r="L322" s="594"/>
      <c r="M322" s="594">
        <f t="shared" si="121"/>
        <v>124.26666666666665</v>
      </c>
      <c r="N322" s="594">
        <f t="shared" si="122"/>
        <v>130.46666666666667</v>
      </c>
      <c r="O322" s="594">
        <f t="shared" si="123"/>
        <v>100.7</v>
      </c>
      <c r="P322" s="593"/>
      <c r="Q322" s="589">
        <f t="shared" si="115"/>
        <v>0.29999999999999716</v>
      </c>
      <c r="R322" s="589">
        <f t="shared" si="116"/>
        <v>-1.5666666666666629</v>
      </c>
      <c r="S322" s="589">
        <f t="shared" si="117"/>
        <v>0.70000000000000284</v>
      </c>
      <c r="T322" s="594"/>
      <c r="U322" s="594">
        <f t="shared" si="124"/>
        <v>123.3142857142857</v>
      </c>
      <c r="V322" s="594">
        <f t="shared" si="125"/>
        <v>132.64285714285714</v>
      </c>
      <c r="W322" s="594">
        <f t="shared" si="126"/>
        <v>97.857142857142861</v>
      </c>
      <c r="X322" s="594"/>
      <c r="Y322" s="594">
        <f t="shared" si="118"/>
        <v>-0.38571428571430033</v>
      </c>
      <c r="Z322" s="594">
        <f t="shared" si="119"/>
        <v>-2.0142857142857338</v>
      </c>
      <c r="AA322" s="595">
        <f t="shared" si="120"/>
        <v>-0.2857142857142918</v>
      </c>
    </row>
    <row r="323" spans="1:27" ht="17.25" customHeight="1">
      <c r="A323" s="778"/>
      <c r="B323" s="778"/>
      <c r="C323" s="779">
        <v>8</v>
      </c>
      <c r="D323" s="1201">
        <v>117.8</v>
      </c>
      <c r="E323" s="1201">
        <v>124.6</v>
      </c>
      <c r="F323" s="1201">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-2.666666666666643</v>
      </c>
      <c r="R323" s="589">
        <f t="shared" si="116"/>
        <v>-3.2999999999999972</v>
      </c>
      <c r="S323" s="589">
        <f t="shared" si="117"/>
        <v>0.59999999999999432</v>
      </c>
      <c r="T323" s="594"/>
      <c r="U323" s="594">
        <f t="shared" si="124"/>
        <v>122.28571428571426</v>
      </c>
      <c r="V323" s="594">
        <f t="shared" si="125"/>
        <v>131.44285714285715</v>
      </c>
      <c r="W323" s="594">
        <f t="shared" si="126"/>
        <v>99.028571428571439</v>
      </c>
      <c r="X323" s="594"/>
      <c r="Y323" s="594">
        <f t="shared" si="118"/>
        <v>-1.0285714285714391</v>
      </c>
      <c r="Z323" s="594">
        <f t="shared" si="119"/>
        <v>-1.1999999999999886</v>
      </c>
      <c r="AA323" s="595">
        <f t="shared" si="120"/>
        <v>1.1714285714285779</v>
      </c>
    </row>
    <row r="324" spans="1:27" ht="17.25" customHeight="1">
      <c r="A324" s="778"/>
      <c r="B324" s="778"/>
      <c r="C324" s="779">
        <v>9</v>
      </c>
      <c r="D324" s="1201">
        <v>116.6</v>
      </c>
      <c r="E324" s="1201">
        <v>126.8</v>
      </c>
      <c r="F324" s="1201">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121.25714285714285</v>
      </c>
      <c r="V324" s="594">
        <f t="shared" si="125"/>
        <v>130.08571428571426</v>
      </c>
      <c r="W324" s="594">
        <f t="shared" si="126"/>
        <v>100.10000000000001</v>
      </c>
      <c r="X324" s="594"/>
      <c r="Y324" s="594">
        <f t="shared" si="118"/>
        <v>-1.0285714285714107</v>
      </c>
      <c r="Z324" s="594">
        <f t="shared" si="119"/>
        <v>-1.3571428571428896</v>
      </c>
      <c r="AA324" s="595">
        <f t="shared" si="120"/>
        <v>1.0714285714285694</v>
      </c>
    </row>
    <row r="325" spans="1:27" ht="17.25" customHeight="1">
      <c r="A325" s="778"/>
      <c r="B325" s="778"/>
      <c r="C325" s="779">
        <v>10</v>
      </c>
      <c r="D325" s="1201">
        <v>113.5</v>
      </c>
      <c r="E325" s="1201">
        <v>126.5</v>
      </c>
      <c r="F325" s="1201">
        <v>100.1</v>
      </c>
      <c r="G325" s="588">
        <v>170</v>
      </c>
      <c r="H325" s="588">
        <v>100</v>
      </c>
      <c r="I325" s="593">
        <f t="shared" si="127"/>
        <v>-3.0999999999999943</v>
      </c>
      <c r="J325" s="593">
        <f t="shared" si="128"/>
        <v>-0.29999999999999716</v>
      </c>
      <c r="K325" s="593">
        <f t="shared" si="129"/>
        <v>-3.6000000000000085</v>
      </c>
      <c r="L325" s="594"/>
      <c r="M325" s="594">
        <f t="shared" si="121"/>
        <v>115.96666666666665</v>
      </c>
      <c r="N325" s="594">
        <f t="shared" si="122"/>
        <v>125.96666666666665</v>
      </c>
      <c r="O325" s="594">
        <f t="shared" si="123"/>
        <v>102.26666666666665</v>
      </c>
      <c r="P325" s="593"/>
      <c r="Q325" s="589">
        <f t="shared" si="115"/>
        <v>-2.9666666666666686</v>
      </c>
      <c r="R325" s="589">
        <f t="shared" si="116"/>
        <v>-0.30000000000001137</v>
      </c>
      <c r="S325" s="589">
        <f t="shared" si="117"/>
        <v>0.96666666666665435</v>
      </c>
      <c r="T325" s="594"/>
      <c r="U325" s="594">
        <f t="shared" si="124"/>
        <v>120.3142857142857</v>
      </c>
      <c r="V325" s="594">
        <f t="shared" si="125"/>
        <v>128.77142857142857</v>
      </c>
      <c r="W325" s="594">
        <f t="shared" si="126"/>
        <v>100.57142857142857</v>
      </c>
      <c r="X325" s="594"/>
      <c r="Y325" s="594">
        <f t="shared" si="118"/>
        <v>-0.94285714285715017</v>
      </c>
      <c r="Z325" s="594">
        <f t="shared" si="119"/>
        <v>-1.3142857142856883</v>
      </c>
      <c r="AA325" s="595">
        <f t="shared" si="120"/>
        <v>0.47142857142856087</v>
      </c>
    </row>
    <row r="326" spans="1:27" ht="17.25" customHeight="1">
      <c r="A326" s="778"/>
      <c r="B326" s="778"/>
      <c r="C326" s="779">
        <v>11</v>
      </c>
      <c r="D326" s="1201">
        <v>119.2</v>
      </c>
      <c r="E326" s="1201">
        <v>120.2</v>
      </c>
      <c r="F326" s="1201">
        <v>101.2</v>
      </c>
      <c r="G326" s="588">
        <v>170</v>
      </c>
      <c r="H326" s="588">
        <v>100</v>
      </c>
      <c r="I326" s="593">
        <f t="shared" si="127"/>
        <v>5.7000000000000028</v>
      </c>
      <c r="J326" s="593">
        <f t="shared" si="128"/>
        <v>-6.2999999999999972</v>
      </c>
      <c r="K326" s="593">
        <f t="shared" si="129"/>
        <v>1.1000000000000085</v>
      </c>
      <c r="L326" s="594"/>
      <c r="M326" s="594">
        <f t="shared" si="121"/>
        <v>116.43333333333334</v>
      </c>
      <c r="N326" s="594">
        <f t="shared" si="122"/>
        <v>124.5</v>
      </c>
      <c r="O326" s="594">
        <f t="shared" si="123"/>
        <v>101.66666666666667</v>
      </c>
      <c r="P326" s="593"/>
      <c r="Q326" s="589">
        <f t="shared" si="115"/>
        <v>0.46666666666668277</v>
      </c>
      <c r="R326" s="589">
        <f t="shared" si="116"/>
        <v>-1.4666666666666544</v>
      </c>
      <c r="S326" s="589">
        <f t="shared" si="117"/>
        <v>-0.5999999999999801</v>
      </c>
      <c r="T326" s="594"/>
      <c r="U326" s="594">
        <f t="shared" si="124"/>
        <v>119.98571428571428</v>
      </c>
      <c r="V326" s="594">
        <f t="shared" si="125"/>
        <v>127.07142857142857</v>
      </c>
      <c r="W326" s="594">
        <f t="shared" si="126"/>
        <v>101.44285714285715</v>
      </c>
      <c r="X326" s="594"/>
      <c r="Y326" s="594">
        <f t="shared" si="118"/>
        <v>-0.32857142857142208</v>
      </c>
      <c r="Z326" s="594">
        <f t="shared" si="119"/>
        <v>-1.7000000000000028</v>
      </c>
      <c r="AA326" s="595">
        <f t="shared" si="120"/>
        <v>0.87142857142858077</v>
      </c>
    </row>
    <row r="327" spans="1:27" ht="17.25" customHeight="1">
      <c r="A327" s="778"/>
      <c r="B327" s="778"/>
      <c r="C327" s="779">
        <v>12</v>
      </c>
      <c r="D327" s="1205">
        <v>112.6</v>
      </c>
      <c r="E327" s="1205">
        <v>113</v>
      </c>
      <c r="F327" s="1205">
        <v>102.5</v>
      </c>
      <c r="G327" s="592">
        <v>170</v>
      </c>
      <c r="H327" s="1115">
        <v>100</v>
      </c>
      <c r="I327" s="603">
        <f t="shared" si="127"/>
        <v>-6.6000000000000085</v>
      </c>
      <c r="J327" s="603">
        <f t="shared" si="128"/>
        <v>-7.2000000000000028</v>
      </c>
      <c r="K327" s="603">
        <f t="shared" si="129"/>
        <v>1.2999999999999972</v>
      </c>
      <c r="L327" s="604"/>
      <c r="M327" s="604">
        <f t="shared" si="121"/>
        <v>115.09999999999998</v>
      </c>
      <c r="N327" s="604">
        <f t="shared" si="122"/>
        <v>119.89999999999999</v>
      </c>
      <c r="O327" s="604">
        <f t="shared" si="123"/>
        <v>101.26666666666667</v>
      </c>
      <c r="P327" s="603"/>
      <c r="Q327" s="604">
        <f t="shared" si="115"/>
        <v>-1.333333333333357</v>
      </c>
      <c r="R327" s="604">
        <f t="shared" si="116"/>
        <v>-4.6000000000000085</v>
      </c>
      <c r="S327" s="604">
        <f t="shared" si="117"/>
        <v>-0.40000000000000568</v>
      </c>
      <c r="T327" s="604"/>
      <c r="U327" s="604">
        <f t="shared" si="124"/>
        <v>118.10000000000001</v>
      </c>
      <c r="V327" s="604">
        <f t="shared" si="125"/>
        <v>124</v>
      </c>
      <c r="W327" s="604">
        <f t="shared" si="126"/>
        <v>101.62857142857142</v>
      </c>
      <c r="X327" s="604"/>
      <c r="Y327" s="604">
        <f t="shared" si="118"/>
        <v>-1.8857142857142719</v>
      </c>
      <c r="Z327" s="604">
        <f t="shared" si="119"/>
        <v>-3.0714285714285694</v>
      </c>
      <c r="AA327" s="605">
        <f t="shared" si="120"/>
        <v>0.18571428571426907</v>
      </c>
    </row>
    <row r="328" spans="1:27" ht="17.25" customHeight="1">
      <c r="A328" s="479">
        <v>2</v>
      </c>
      <c r="B328" s="760">
        <v>20</v>
      </c>
      <c r="C328" s="957">
        <v>1</v>
      </c>
      <c r="D328" s="1207">
        <v>111.6</v>
      </c>
      <c r="E328" s="1207">
        <v>109</v>
      </c>
      <c r="F328" s="1207">
        <v>103.7</v>
      </c>
      <c r="G328" s="597">
        <v>170</v>
      </c>
      <c r="H328" s="582">
        <v>100</v>
      </c>
      <c r="I328" s="583">
        <f t="shared" si="127"/>
        <v>-1</v>
      </c>
      <c r="J328" s="583">
        <f t="shared" si="128"/>
        <v>-4</v>
      </c>
      <c r="K328" s="583">
        <f t="shared" si="129"/>
        <v>1.2000000000000028</v>
      </c>
      <c r="L328" s="585"/>
      <c r="M328" s="585">
        <f t="shared" si="121"/>
        <v>114.46666666666665</v>
      </c>
      <c r="N328" s="585">
        <f t="shared" si="122"/>
        <v>114.06666666666666</v>
      </c>
      <c r="O328" s="585">
        <f t="shared" si="123"/>
        <v>102.46666666666665</v>
      </c>
      <c r="P328" s="583"/>
      <c r="Q328" s="585">
        <f t="shared" si="115"/>
        <v>-0.63333333333332575</v>
      </c>
      <c r="R328" s="585">
        <f t="shared" si="116"/>
        <v>-5.8333333333333286</v>
      </c>
      <c r="S328" s="585">
        <f t="shared" si="117"/>
        <v>1.1999999999999886</v>
      </c>
      <c r="T328" s="585"/>
      <c r="U328" s="585">
        <f t="shared" si="124"/>
        <v>116.24285714285715</v>
      </c>
      <c r="V328" s="585">
        <f t="shared" si="125"/>
        <v>121.07142857142857</v>
      </c>
      <c r="W328" s="585">
        <f t="shared" si="126"/>
        <v>101.62857142857145</v>
      </c>
      <c r="X328" s="585"/>
      <c r="Y328" s="585">
        <f t="shared" si="118"/>
        <v>-1.8571428571428612</v>
      </c>
      <c r="Z328" s="585">
        <f t="shared" si="119"/>
        <v>-2.9285714285714306</v>
      </c>
      <c r="AA328" s="586">
        <f t="shared" si="120"/>
        <v>0</v>
      </c>
    </row>
    <row r="329" spans="1:27" ht="17.25" customHeight="1">
      <c r="A329" s="778"/>
      <c r="B329" s="778"/>
      <c r="C329" s="779">
        <v>2</v>
      </c>
      <c r="D329" s="1207">
        <v>112.5</v>
      </c>
      <c r="E329" s="1207">
        <v>117.2</v>
      </c>
      <c r="F329" s="1207">
        <v>103.5</v>
      </c>
      <c r="G329" s="597">
        <v>170</v>
      </c>
      <c r="H329" s="588">
        <v>100</v>
      </c>
      <c r="I329" s="584">
        <f t="shared" si="127"/>
        <v>0.90000000000000568</v>
      </c>
      <c r="J329" s="584">
        <f t="shared" si="128"/>
        <v>8.2000000000000028</v>
      </c>
      <c r="K329" s="584">
        <f t="shared" si="129"/>
        <v>-0.20000000000000284</v>
      </c>
      <c r="L329" s="589"/>
      <c r="M329" s="589">
        <f t="shared" si="121"/>
        <v>112.23333333333333</v>
      </c>
      <c r="N329" s="589">
        <f t="shared" si="122"/>
        <v>113.06666666666666</v>
      </c>
      <c r="O329" s="589">
        <f t="shared" si="123"/>
        <v>103.23333333333333</v>
      </c>
      <c r="P329" s="584"/>
      <c r="Q329" s="589">
        <f t="shared" si="115"/>
        <v>-2.2333333333333201</v>
      </c>
      <c r="R329" s="589">
        <f t="shared" si="116"/>
        <v>-1</v>
      </c>
      <c r="S329" s="589">
        <f t="shared" si="117"/>
        <v>0.76666666666667993</v>
      </c>
      <c r="T329" s="589"/>
      <c r="U329" s="589">
        <f t="shared" si="124"/>
        <v>114.82857142857142</v>
      </c>
      <c r="V329" s="589">
        <f t="shared" si="125"/>
        <v>119.61428571428571</v>
      </c>
      <c r="W329" s="589">
        <f t="shared" si="126"/>
        <v>102.52857142857142</v>
      </c>
      <c r="X329" s="589"/>
      <c r="Y329" s="589">
        <f t="shared" si="118"/>
        <v>-1.4142857142857252</v>
      </c>
      <c r="Z329" s="589">
        <f t="shared" si="119"/>
        <v>-1.4571428571428555</v>
      </c>
      <c r="AA329" s="590">
        <f t="shared" si="120"/>
        <v>0.89999999999997726</v>
      </c>
    </row>
    <row r="330" spans="1:27" ht="17.25" customHeight="1">
      <c r="A330" s="778"/>
      <c r="B330" s="778"/>
      <c r="C330" s="779">
        <v>3</v>
      </c>
      <c r="D330" s="1201">
        <v>106.9</v>
      </c>
      <c r="E330" s="1201">
        <v>111.2</v>
      </c>
      <c r="F330" s="1201">
        <v>100.8</v>
      </c>
      <c r="G330" s="588">
        <v>170</v>
      </c>
      <c r="H330" s="588">
        <v>100</v>
      </c>
      <c r="I330" s="584">
        <f t="shared" si="127"/>
        <v>-5.5999999999999943</v>
      </c>
      <c r="J330" s="584">
        <f t="shared" si="128"/>
        <v>-6</v>
      </c>
      <c r="K330" s="584">
        <f t="shared" si="129"/>
        <v>-2.7000000000000028</v>
      </c>
      <c r="L330" s="589"/>
      <c r="M330" s="589">
        <f t="shared" si="121"/>
        <v>110.33333333333333</v>
      </c>
      <c r="N330" s="589">
        <f t="shared" si="122"/>
        <v>112.46666666666665</v>
      </c>
      <c r="O330" s="589">
        <f t="shared" si="123"/>
        <v>102.66666666666667</v>
      </c>
      <c r="P330" s="584"/>
      <c r="Q330" s="589">
        <f t="shared" si="115"/>
        <v>-1.9000000000000057</v>
      </c>
      <c r="R330" s="589">
        <f t="shared" si="116"/>
        <v>-0.60000000000000853</v>
      </c>
      <c r="S330" s="589">
        <f t="shared" si="117"/>
        <v>-0.56666666666666288</v>
      </c>
      <c r="T330" s="589"/>
      <c r="U330" s="589">
        <f t="shared" si="124"/>
        <v>113.27142857142857</v>
      </c>
      <c r="V330" s="589">
        <f t="shared" si="125"/>
        <v>117.70000000000002</v>
      </c>
      <c r="W330" s="589">
        <f t="shared" si="126"/>
        <v>102.21428571428571</v>
      </c>
      <c r="X330" s="589"/>
      <c r="Y330" s="589">
        <f t="shared" si="118"/>
        <v>-1.5571428571428498</v>
      </c>
      <c r="Z330" s="589">
        <f t="shared" si="119"/>
        <v>-1.9142857142856968</v>
      </c>
      <c r="AA330" s="590">
        <f t="shared" si="120"/>
        <v>-0.31428571428571672</v>
      </c>
    </row>
    <row r="331" spans="1:27" ht="17.25" customHeight="1">
      <c r="A331" s="778"/>
      <c r="B331" s="778"/>
      <c r="C331" s="779">
        <v>4</v>
      </c>
      <c r="D331" s="1201">
        <v>97.3</v>
      </c>
      <c r="E331" s="1201">
        <v>106.4</v>
      </c>
      <c r="F331" s="1201">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-4.7666666666666657</v>
      </c>
      <c r="R331" s="589">
        <f t="shared" si="116"/>
        <v>-0.86666666666664582</v>
      </c>
      <c r="S331" s="589">
        <f t="shared" si="117"/>
        <v>-0.90000000000000568</v>
      </c>
      <c r="T331" s="589"/>
      <c r="U331" s="589">
        <f t="shared" si="124"/>
        <v>110.51428571428571</v>
      </c>
      <c r="V331" s="589">
        <f t="shared" si="125"/>
        <v>114.78571428571429</v>
      </c>
      <c r="W331" s="589">
        <f t="shared" si="126"/>
        <v>101.82857142857142</v>
      </c>
      <c r="X331" s="589"/>
      <c r="Y331" s="589">
        <f t="shared" si="118"/>
        <v>-2.7571428571428669</v>
      </c>
      <c r="Z331" s="589">
        <f t="shared" si="119"/>
        <v>-2.9142857142857252</v>
      </c>
      <c r="AA331" s="590">
        <f t="shared" si="120"/>
        <v>-0.38571428571428612</v>
      </c>
    </row>
    <row r="332" spans="1:27" ht="17.25" customHeight="1">
      <c r="A332" s="778"/>
      <c r="B332" s="778"/>
      <c r="C332" s="779">
        <v>5</v>
      </c>
      <c r="D332" s="1201">
        <v>88.8</v>
      </c>
      <c r="E332" s="1201">
        <v>90.4</v>
      </c>
      <c r="F332" s="1201">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106.98571428571427</v>
      </c>
      <c r="V332" s="589">
        <f t="shared" si="125"/>
        <v>109.62857142857142</v>
      </c>
      <c r="W332" s="589">
        <f t="shared" si="126"/>
        <v>101.45714285714287</v>
      </c>
      <c r="X332" s="589"/>
      <c r="Y332" s="589">
        <f t="shared" si="118"/>
        <v>-3.5285714285714391</v>
      </c>
      <c r="Z332" s="589">
        <f t="shared" si="119"/>
        <v>-5.1571428571428726</v>
      </c>
      <c r="AA332" s="590">
        <f t="shared" si="120"/>
        <v>-0.37142857142855235</v>
      </c>
    </row>
    <row r="333" spans="1:27" ht="17.25" customHeight="1">
      <c r="A333" s="778"/>
      <c r="B333" s="778"/>
      <c r="C333" s="779">
        <v>6</v>
      </c>
      <c r="D333" s="1201">
        <v>86.5</v>
      </c>
      <c r="E333" s="1201">
        <v>88.4</v>
      </c>
      <c r="F333" s="1201">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102.3142857142857</v>
      </c>
      <c r="V333" s="589">
        <f t="shared" si="125"/>
        <v>105.08571428571427</v>
      </c>
      <c r="W333" s="589">
        <f t="shared" si="126"/>
        <v>101.60000000000001</v>
      </c>
      <c r="X333" s="589"/>
      <c r="Y333" s="589">
        <f t="shared" si="118"/>
        <v>-4.6714285714285637</v>
      </c>
      <c r="Z333" s="589">
        <f t="shared" si="119"/>
        <v>-4.5428571428571445</v>
      </c>
      <c r="AA333" s="590">
        <f t="shared" si="120"/>
        <v>0.1428571428571388</v>
      </c>
    </row>
    <row r="334" spans="1:27" ht="17.25" customHeight="1">
      <c r="A334" s="778"/>
      <c r="B334" s="778"/>
      <c r="C334" s="779">
        <v>7</v>
      </c>
      <c r="D334" s="1201">
        <v>91.7</v>
      </c>
      <c r="E334" s="1201">
        <v>90.1</v>
      </c>
      <c r="F334" s="1201">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99.328571428571436</v>
      </c>
      <c r="V334" s="589">
        <f t="shared" si="125"/>
        <v>101.8142857142857</v>
      </c>
      <c r="W334" s="589">
        <f t="shared" si="126"/>
        <v>101.67142857142858</v>
      </c>
      <c r="X334" s="589"/>
      <c r="Y334" s="589">
        <f t="shared" si="118"/>
        <v>-2.9857142857142662</v>
      </c>
      <c r="Z334" s="589">
        <f t="shared" si="119"/>
        <v>-3.2714285714285722</v>
      </c>
      <c r="AA334" s="590">
        <f t="shared" si="120"/>
        <v>7.1428571428569398E-2</v>
      </c>
    </row>
    <row r="335" spans="1:27" ht="17.25" customHeight="1">
      <c r="A335" s="778"/>
      <c r="B335" s="778"/>
      <c r="C335" s="779">
        <v>8</v>
      </c>
      <c r="D335" s="1201">
        <v>96.3</v>
      </c>
      <c r="E335" s="1201">
        <v>92.1</v>
      </c>
      <c r="F335" s="1201">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-2.1857142857142975</v>
      </c>
      <c r="Z335" s="589">
        <f t="shared" si="119"/>
        <v>-2.4142857142856968</v>
      </c>
      <c r="AA335" s="590">
        <f t="shared" si="120"/>
        <v>-0.87142857142858077</v>
      </c>
    </row>
    <row r="336" spans="1:27" ht="17.25" customHeight="1">
      <c r="A336" s="778"/>
      <c r="B336" s="778"/>
      <c r="C336" s="779">
        <v>9</v>
      </c>
      <c r="D336" s="1201">
        <v>98.4</v>
      </c>
      <c r="E336" s="1201">
        <v>93.1</v>
      </c>
      <c r="F336" s="1201">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201">
        <v>101.8</v>
      </c>
      <c r="E337" s="1201">
        <v>97.8</v>
      </c>
      <c r="F337" s="1201">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201">
        <v>102</v>
      </c>
      <c r="E338" s="1201">
        <v>100.9</v>
      </c>
      <c r="F338" s="1201">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5">
        <v>106.2</v>
      </c>
      <c r="E339" s="1205">
        <v>103.5</v>
      </c>
      <c r="F339" s="1205">
        <v>94.1</v>
      </c>
      <c r="G339" s="592"/>
      <c r="H339" s="592">
        <v>100</v>
      </c>
      <c r="I339" s="593">
        <f t="shared" si="127"/>
        <v>4.2000000000000028</v>
      </c>
      <c r="J339" s="593">
        <f t="shared" si="128"/>
        <v>2.5999999999999943</v>
      </c>
      <c r="K339" s="593">
        <f t="shared" si="129"/>
        <v>-3.7000000000000028</v>
      </c>
      <c r="L339" s="594"/>
      <c r="M339" s="594">
        <f t="shared" si="130"/>
        <v>103.33333333333333</v>
      </c>
      <c r="N339" s="594">
        <f t="shared" si="131"/>
        <v>100.73333333333333</v>
      </c>
      <c r="O339" s="594">
        <f t="shared" si="132"/>
        <v>97.233333333333334</v>
      </c>
      <c r="P339" s="593"/>
      <c r="Q339" s="594">
        <f t="shared" si="115"/>
        <v>2.5999999999999943</v>
      </c>
      <c r="R339" s="594">
        <f t="shared" si="116"/>
        <v>3.4666666666666828</v>
      </c>
      <c r="S339" s="594">
        <f t="shared" si="117"/>
        <v>-1.63333333333334</v>
      </c>
      <c r="T339" s="594"/>
      <c r="U339" s="594">
        <f t="shared" si="133"/>
        <v>97.557142857142864</v>
      </c>
      <c r="V339" s="594">
        <f t="shared" si="134"/>
        <v>95.128571428571448</v>
      </c>
      <c r="W339" s="594">
        <f t="shared" si="135"/>
        <v>99.071428571428569</v>
      </c>
      <c r="X339" s="594"/>
      <c r="Y339" s="594">
        <f t="shared" si="118"/>
        <v>2.4857142857142946</v>
      </c>
      <c r="Z339" s="594">
        <f t="shared" si="119"/>
        <v>1.871428571428595</v>
      </c>
      <c r="AA339" s="595">
        <f t="shared" si="120"/>
        <v>-0.48571428571426623</v>
      </c>
    </row>
    <row r="340" spans="1:27" ht="17.25" customHeight="1">
      <c r="A340" s="479">
        <v>3</v>
      </c>
      <c r="B340" s="760">
        <v>21</v>
      </c>
      <c r="C340" s="957">
        <v>1</v>
      </c>
      <c r="D340" s="1207">
        <v>109.2</v>
      </c>
      <c r="E340" s="1207">
        <v>114.6</v>
      </c>
      <c r="F340" s="1207">
        <v>98.3</v>
      </c>
      <c r="G340" s="597"/>
      <c r="H340" s="582">
        <v>100</v>
      </c>
      <c r="I340" s="583">
        <f t="shared" si="127"/>
        <v>3</v>
      </c>
      <c r="J340" s="583">
        <f t="shared" si="128"/>
        <v>11.099999999999994</v>
      </c>
      <c r="K340" s="583">
        <f t="shared" si="129"/>
        <v>4.2000000000000028</v>
      </c>
      <c r="L340" s="585"/>
      <c r="M340" s="585">
        <f t="shared" si="130"/>
        <v>105.8</v>
      </c>
      <c r="N340" s="585">
        <f t="shared" si="131"/>
        <v>106.33333333333333</v>
      </c>
      <c r="O340" s="585">
        <f t="shared" si="132"/>
        <v>96.733333333333334</v>
      </c>
      <c r="P340" s="583"/>
      <c r="Q340" s="585">
        <f t="shared" si="115"/>
        <v>2.4666666666666686</v>
      </c>
      <c r="R340" s="585">
        <f t="shared" si="116"/>
        <v>5.5999999999999943</v>
      </c>
      <c r="S340" s="585">
        <f t="shared" si="117"/>
        <v>-0.5</v>
      </c>
      <c r="T340" s="585"/>
      <c r="U340" s="585">
        <f t="shared" si="133"/>
        <v>100.8</v>
      </c>
      <c r="V340" s="585">
        <f t="shared" si="134"/>
        <v>98.871428571428581</v>
      </c>
      <c r="W340" s="585">
        <f t="shared" si="135"/>
        <v>98.51428571428572</v>
      </c>
      <c r="X340" s="585"/>
      <c r="Y340" s="585">
        <f t="shared" si="118"/>
        <v>3.2428571428571331</v>
      </c>
      <c r="Z340" s="585">
        <f t="shared" si="119"/>
        <v>3.7428571428571331</v>
      </c>
      <c r="AA340" s="586">
        <f t="shared" si="120"/>
        <v>-0.55714285714284983</v>
      </c>
    </row>
    <row r="341" spans="1:27" ht="17.25" customHeight="1">
      <c r="A341" s="778"/>
      <c r="B341" s="778"/>
      <c r="C341" s="779">
        <v>2</v>
      </c>
      <c r="D341" s="1207">
        <v>109</v>
      </c>
      <c r="E341" s="1207">
        <v>113.1</v>
      </c>
      <c r="F341" s="1207">
        <v>97</v>
      </c>
      <c r="G341" s="597"/>
      <c r="H341" s="588">
        <v>100</v>
      </c>
      <c r="I341" s="584">
        <f t="shared" si="127"/>
        <v>-0.20000000000000284</v>
      </c>
      <c r="J341" s="584">
        <f t="shared" si="128"/>
        <v>-1.5</v>
      </c>
      <c r="K341" s="584">
        <f t="shared" si="129"/>
        <v>-1.2999999999999972</v>
      </c>
      <c r="L341" s="589"/>
      <c r="M341" s="589">
        <f t="shared" si="130"/>
        <v>108.13333333333333</v>
      </c>
      <c r="N341" s="589">
        <f t="shared" si="131"/>
        <v>110.39999999999999</v>
      </c>
      <c r="O341" s="589">
        <f t="shared" si="132"/>
        <v>96.466666666666654</v>
      </c>
      <c r="P341" s="584"/>
      <c r="Q341" s="589">
        <f t="shared" si="115"/>
        <v>2.3333333333333286</v>
      </c>
      <c r="R341" s="589">
        <f t="shared" si="116"/>
        <v>4.0666666666666629</v>
      </c>
      <c r="S341" s="589">
        <f t="shared" si="117"/>
        <v>-0.26666666666667993</v>
      </c>
      <c r="T341" s="589"/>
      <c r="U341" s="589">
        <f t="shared" si="133"/>
        <v>103.27142857142857</v>
      </c>
      <c r="V341" s="589">
        <f t="shared" si="134"/>
        <v>102.15714285714286</v>
      </c>
      <c r="W341" s="589">
        <f t="shared" si="135"/>
        <v>97.657142857142844</v>
      </c>
      <c r="X341" s="589"/>
      <c r="Y341" s="589">
        <f t="shared" si="118"/>
        <v>2.4714285714285751</v>
      </c>
      <c r="Z341" s="589">
        <f t="shared" si="119"/>
        <v>3.2857142857142776</v>
      </c>
      <c r="AA341" s="590">
        <f t="shared" si="120"/>
        <v>-0.85714285714287541</v>
      </c>
    </row>
    <row r="342" spans="1:27" ht="17.25" customHeight="1">
      <c r="A342" s="778"/>
      <c r="B342" s="778"/>
      <c r="C342" s="779">
        <v>3</v>
      </c>
      <c r="D342" s="1201">
        <v>109.7</v>
      </c>
      <c r="E342" s="1201">
        <v>114.7</v>
      </c>
      <c r="F342" s="1201">
        <v>103.2</v>
      </c>
      <c r="G342" s="588"/>
      <c r="H342" s="588">
        <v>100</v>
      </c>
      <c r="I342" s="584">
        <f t="shared" si="127"/>
        <v>0.70000000000000284</v>
      </c>
      <c r="J342" s="584">
        <f t="shared" si="128"/>
        <v>1.6000000000000085</v>
      </c>
      <c r="K342" s="584">
        <f t="shared" si="129"/>
        <v>6.2000000000000028</v>
      </c>
      <c r="L342" s="589"/>
      <c r="M342" s="589">
        <f t="shared" si="130"/>
        <v>109.3</v>
      </c>
      <c r="N342" s="589">
        <f t="shared" si="131"/>
        <v>114.13333333333333</v>
      </c>
      <c r="O342" s="589">
        <f t="shared" si="132"/>
        <v>99.5</v>
      </c>
      <c r="P342" s="584"/>
      <c r="Q342" s="589">
        <f t="shared" si="115"/>
        <v>1.1666666666666714</v>
      </c>
      <c r="R342" s="589">
        <f t="shared" si="116"/>
        <v>3.7333333333333343</v>
      </c>
      <c r="S342" s="589">
        <f t="shared" si="117"/>
        <v>3.0333333333333456</v>
      </c>
      <c r="T342" s="589"/>
      <c r="U342" s="589">
        <f t="shared" si="133"/>
        <v>105.1857142857143</v>
      </c>
      <c r="V342" s="589">
        <f t="shared" si="134"/>
        <v>105.38571428571429</v>
      </c>
      <c r="W342" s="589">
        <f t="shared" si="135"/>
        <v>98.45714285714287</v>
      </c>
      <c r="X342" s="589"/>
      <c r="Y342" s="589">
        <f t="shared" si="118"/>
        <v>1.9142857142857252</v>
      </c>
      <c r="Z342" s="589">
        <f t="shared" si="119"/>
        <v>3.2285714285714278</v>
      </c>
      <c r="AA342" s="590">
        <f t="shared" si="120"/>
        <v>0.80000000000002558</v>
      </c>
    </row>
    <row r="343" spans="1:27" ht="16.5" customHeight="1">
      <c r="A343" s="778"/>
      <c r="B343" s="778"/>
      <c r="C343" s="779">
        <v>4</v>
      </c>
      <c r="D343" s="1201">
        <v>113.9</v>
      </c>
      <c r="E343" s="1201">
        <v>120.7</v>
      </c>
      <c r="F343" s="1201">
        <v>105.3</v>
      </c>
      <c r="G343" s="588"/>
      <c r="H343" s="588">
        <v>100</v>
      </c>
      <c r="I343" s="584">
        <f t="shared" si="127"/>
        <v>4.2000000000000028</v>
      </c>
      <c r="J343" s="584">
        <f t="shared" si="128"/>
        <v>6</v>
      </c>
      <c r="K343" s="584">
        <f t="shared" si="129"/>
        <v>2.0999999999999943</v>
      </c>
      <c r="L343" s="589"/>
      <c r="M343" s="589">
        <f t="shared" si="130"/>
        <v>110.86666666666667</v>
      </c>
      <c r="N343" s="589">
        <f t="shared" si="131"/>
        <v>116.16666666666667</v>
      </c>
      <c r="O343" s="589">
        <f t="shared" si="132"/>
        <v>101.83333333333333</v>
      </c>
      <c r="P343" s="584"/>
      <c r="Q343" s="589">
        <f t="shared" si="115"/>
        <v>1.5666666666666771</v>
      </c>
      <c r="R343" s="589">
        <f t="shared" si="116"/>
        <v>2.0333333333333456</v>
      </c>
      <c r="S343" s="589">
        <f t="shared" si="117"/>
        <v>2.3333333333333286</v>
      </c>
      <c r="T343" s="589"/>
      <c r="U343" s="589">
        <f t="shared" si="133"/>
        <v>107.4</v>
      </c>
      <c r="V343" s="589">
        <f t="shared" si="134"/>
        <v>109.32857142857144</v>
      </c>
      <c r="W343" s="589">
        <f t="shared" si="135"/>
        <v>99.357142857142861</v>
      </c>
      <c r="X343" s="589"/>
      <c r="Y343" s="589">
        <f t="shared" si="118"/>
        <v>2.2142857142857082</v>
      </c>
      <c r="Z343" s="589">
        <f t="shared" si="119"/>
        <v>3.9428571428571502</v>
      </c>
      <c r="AA343" s="590">
        <f t="shared" si="120"/>
        <v>0.89999999999999147</v>
      </c>
    </row>
    <row r="344" spans="1:27" ht="17.25" customHeight="1">
      <c r="A344" s="778"/>
      <c r="B344" s="778"/>
      <c r="C344" s="779">
        <v>5</v>
      </c>
      <c r="D344" s="1201">
        <v>113.3</v>
      </c>
      <c r="E344" s="1201">
        <v>122.1</v>
      </c>
      <c r="F344" s="1201">
        <v>102.5</v>
      </c>
      <c r="G344" s="588"/>
      <c r="H344" s="588">
        <v>100</v>
      </c>
      <c r="I344" s="584">
        <f t="shared" si="127"/>
        <v>-0.60000000000000853</v>
      </c>
      <c r="J344" s="584">
        <f t="shared" si="128"/>
        <v>1.3999999999999915</v>
      </c>
      <c r="K344" s="584">
        <f t="shared" si="129"/>
        <v>-2.7999999999999972</v>
      </c>
      <c r="L344" s="589"/>
      <c r="M344" s="589">
        <f t="shared" si="130"/>
        <v>112.30000000000001</v>
      </c>
      <c r="N344" s="589">
        <f t="shared" si="131"/>
        <v>119.16666666666667</v>
      </c>
      <c r="O344" s="589">
        <f t="shared" si="132"/>
        <v>103.66666666666667</v>
      </c>
      <c r="P344" s="584"/>
      <c r="Q344" s="589">
        <f t="shared" si="115"/>
        <v>1.4333333333333371</v>
      </c>
      <c r="R344" s="589">
        <f t="shared" si="116"/>
        <v>3</v>
      </c>
      <c r="S344" s="589">
        <f t="shared" si="117"/>
        <v>1.8333333333333428</v>
      </c>
      <c r="T344" s="589"/>
      <c r="U344" s="589">
        <f t="shared" si="133"/>
        <v>109.04285714285713</v>
      </c>
      <c r="V344" s="589">
        <f t="shared" si="134"/>
        <v>112.80000000000003</v>
      </c>
      <c r="W344" s="589">
        <f t="shared" si="135"/>
        <v>99.742857142857133</v>
      </c>
      <c r="X344" s="589"/>
      <c r="Y344" s="589">
        <f t="shared" si="118"/>
        <v>1.6428571428571246</v>
      </c>
      <c r="Z344" s="589">
        <f t="shared" si="119"/>
        <v>3.4714285714285893</v>
      </c>
      <c r="AA344" s="590">
        <f t="shared" si="120"/>
        <v>0.38571428571427191</v>
      </c>
    </row>
    <row r="345" spans="1:27" ht="17.25" customHeight="1">
      <c r="A345" s="778"/>
      <c r="B345" s="778"/>
      <c r="C345" s="779">
        <v>6</v>
      </c>
      <c r="D345" s="1201">
        <v>109.3</v>
      </c>
      <c r="E345" s="1201">
        <v>130.80000000000001</v>
      </c>
      <c r="F345" s="1201">
        <v>103.7</v>
      </c>
      <c r="G345" s="588"/>
      <c r="H345" s="588">
        <v>100</v>
      </c>
      <c r="I345" s="584">
        <f t="shared" si="127"/>
        <v>-4</v>
      </c>
      <c r="J345" s="584">
        <f t="shared" si="128"/>
        <v>8.7000000000000171</v>
      </c>
      <c r="K345" s="584">
        <f t="shared" si="129"/>
        <v>1.2000000000000028</v>
      </c>
      <c r="L345" s="589"/>
      <c r="M345" s="589">
        <f t="shared" si="130"/>
        <v>112.16666666666667</v>
      </c>
      <c r="N345" s="589">
        <f t="shared" si="131"/>
        <v>124.53333333333335</v>
      </c>
      <c r="O345" s="589">
        <f t="shared" si="132"/>
        <v>103.83333333333333</v>
      </c>
      <c r="P345" s="584"/>
      <c r="Q345" s="589">
        <f t="shared" si="115"/>
        <v>-0.13333333333333997</v>
      </c>
      <c r="R345" s="589">
        <f t="shared" si="116"/>
        <v>5.3666666666666742</v>
      </c>
      <c r="S345" s="589">
        <f t="shared" si="117"/>
        <v>0.16666666666665719</v>
      </c>
      <c r="T345" s="589"/>
      <c r="U345" s="589">
        <f t="shared" si="133"/>
        <v>110.08571428571427</v>
      </c>
      <c r="V345" s="589">
        <f t="shared" si="134"/>
        <v>117.07142857142857</v>
      </c>
      <c r="W345" s="589">
        <f t="shared" si="135"/>
        <v>100.58571428571429</v>
      </c>
      <c r="X345" s="589"/>
      <c r="Y345" s="589">
        <f t="shared" si="118"/>
        <v>1.0428571428571445</v>
      </c>
      <c r="Z345" s="589">
        <f t="shared" si="119"/>
        <v>4.2714285714285438</v>
      </c>
      <c r="AA345" s="590">
        <f t="shared" si="120"/>
        <v>0.84285714285715585</v>
      </c>
    </row>
    <row r="346" spans="1:27" ht="17.25" customHeight="1">
      <c r="A346" s="778"/>
      <c r="B346" s="778"/>
      <c r="C346" s="779">
        <v>7</v>
      </c>
      <c r="D346" s="1201">
        <v>114.3</v>
      </c>
      <c r="E346" s="1201">
        <v>132.30000000000001</v>
      </c>
      <c r="F346" s="1201">
        <v>101.4</v>
      </c>
      <c r="G346" s="588"/>
      <c r="H346" s="588">
        <v>100</v>
      </c>
      <c r="I346" s="584">
        <f t="shared" si="127"/>
        <v>5</v>
      </c>
      <c r="J346" s="584">
        <f t="shared" si="128"/>
        <v>1.5</v>
      </c>
      <c r="K346" s="584">
        <f t="shared" si="129"/>
        <v>-2.2999999999999972</v>
      </c>
      <c r="L346" s="589"/>
      <c r="M346" s="589">
        <f t="shared" si="130"/>
        <v>112.3</v>
      </c>
      <c r="N346" s="589">
        <f t="shared" si="131"/>
        <v>128.4</v>
      </c>
      <c r="O346" s="589">
        <f t="shared" si="132"/>
        <v>102.53333333333335</v>
      </c>
      <c r="P346" s="584"/>
      <c r="Q346" s="589">
        <f t="shared" si="115"/>
        <v>0.13333333333332575</v>
      </c>
      <c r="R346" s="589">
        <f t="shared" si="116"/>
        <v>3.86666666666666</v>
      </c>
      <c r="S346" s="589">
        <f t="shared" si="117"/>
        <v>-1.2999999999999829</v>
      </c>
      <c r="T346" s="589"/>
      <c r="U346" s="589">
        <f t="shared" si="133"/>
        <v>111.24285714285712</v>
      </c>
      <c r="V346" s="589">
        <f t="shared" si="134"/>
        <v>121.18571428571428</v>
      </c>
      <c r="W346" s="589">
        <f t="shared" si="135"/>
        <v>101.62857142857142</v>
      </c>
      <c r="X346" s="589"/>
      <c r="Y346" s="589">
        <f t="shared" si="118"/>
        <v>1.1571428571428442</v>
      </c>
      <c r="Z346" s="589">
        <f t="shared" si="119"/>
        <v>4.1142857142857139</v>
      </c>
      <c r="AA346" s="590">
        <f t="shared" si="120"/>
        <v>1.0428571428571303</v>
      </c>
    </row>
    <row r="347" spans="1:27" ht="17.25" customHeight="1">
      <c r="A347" s="778"/>
      <c r="B347" s="778"/>
      <c r="C347" s="779">
        <v>8</v>
      </c>
      <c r="D347" s="1201">
        <v>113.7</v>
      </c>
      <c r="E347" s="1201">
        <v>139.30000000000001</v>
      </c>
      <c r="F347" s="1201">
        <v>101.7</v>
      </c>
      <c r="G347" s="588"/>
      <c r="H347" s="588">
        <v>100</v>
      </c>
      <c r="I347" s="584">
        <f t="shared" si="127"/>
        <v>-0.59999999999999432</v>
      </c>
      <c r="J347" s="584">
        <f t="shared" si="128"/>
        <v>7</v>
      </c>
      <c r="K347" s="584">
        <f t="shared" si="129"/>
        <v>0.29999999999999716</v>
      </c>
      <c r="L347" s="589"/>
      <c r="M347" s="589">
        <f t="shared" si="130"/>
        <v>112.43333333333334</v>
      </c>
      <c r="N347" s="589">
        <f t="shared" si="131"/>
        <v>134.13333333333335</v>
      </c>
      <c r="O347" s="589">
        <f t="shared" si="132"/>
        <v>102.26666666666667</v>
      </c>
      <c r="P347" s="584"/>
      <c r="Q347" s="589">
        <f t="shared" si="115"/>
        <v>0.13333333333333997</v>
      </c>
      <c r="R347" s="589">
        <f t="shared" si="116"/>
        <v>5.7333333333333485</v>
      </c>
      <c r="S347" s="589">
        <f t="shared" si="117"/>
        <v>-0.26666666666667993</v>
      </c>
      <c r="T347" s="589"/>
      <c r="U347" s="589">
        <f t="shared" si="133"/>
        <v>111.88571428571429</v>
      </c>
      <c r="V347" s="589">
        <f t="shared" si="134"/>
        <v>124.71428571428571</v>
      </c>
      <c r="W347" s="589">
        <f t="shared" si="135"/>
        <v>102.11428571428573</v>
      </c>
      <c r="X347" s="589"/>
      <c r="Y347" s="589">
        <f t="shared" si="118"/>
        <v>0.64285714285716722</v>
      </c>
      <c r="Z347" s="589">
        <f t="shared" si="119"/>
        <v>3.5285714285714249</v>
      </c>
      <c r="AA347" s="590">
        <f t="shared" si="120"/>
        <v>0.48571428571430886</v>
      </c>
    </row>
    <row r="348" spans="1:27" ht="17.25" customHeight="1">
      <c r="A348" s="778"/>
      <c r="B348" s="778"/>
      <c r="C348" s="779">
        <v>9</v>
      </c>
      <c r="D348" s="1201">
        <v>107.7</v>
      </c>
      <c r="E348" s="1201">
        <v>135.6</v>
      </c>
      <c r="F348" s="1201">
        <v>101.8</v>
      </c>
      <c r="G348" s="588"/>
      <c r="H348" s="588">
        <v>100</v>
      </c>
      <c r="I348" s="584">
        <f t="shared" si="127"/>
        <v>-6</v>
      </c>
      <c r="J348" s="584">
        <f t="shared" si="128"/>
        <v>-3.7000000000000171</v>
      </c>
      <c r="K348" s="584">
        <f t="shared" si="129"/>
        <v>9.9999999999994316E-2</v>
      </c>
      <c r="L348" s="589"/>
      <c r="M348" s="589">
        <f t="shared" si="130"/>
        <v>111.89999999999999</v>
      </c>
      <c r="N348" s="589">
        <f t="shared" si="131"/>
        <v>135.73333333333335</v>
      </c>
      <c r="O348" s="589">
        <f t="shared" si="132"/>
        <v>101.63333333333334</v>
      </c>
      <c r="P348" s="584"/>
      <c r="Q348" s="589">
        <f t="shared" si="115"/>
        <v>-0.53333333333334565</v>
      </c>
      <c r="R348" s="589">
        <f t="shared" si="116"/>
        <v>1.5999999999999943</v>
      </c>
      <c r="S348" s="589">
        <f t="shared" si="117"/>
        <v>-0.63333333333332575</v>
      </c>
      <c r="T348" s="589"/>
      <c r="U348" s="589">
        <f t="shared" si="133"/>
        <v>111.70000000000002</v>
      </c>
      <c r="V348" s="589">
        <f t="shared" si="134"/>
        <v>127.92857142857144</v>
      </c>
      <c r="W348" s="589">
        <f t="shared" si="135"/>
        <v>102.8</v>
      </c>
      <c r="X348" s="589"/>
      <c r="Y348" s="589">
        <f t="shared" si="118"/>
        <v>-0.18571428571426907</v>
      </c>
      <c r="Z348" s="589">
        <f t="shared" si="119"/>
        <v>3.2142857142857366</v>
      </c>
      <c r="AA348" s="590">
        <f t="shared" si="120"/>
        <v>0.68571428571426907</v>
      </c>
    </row>
    <row r="349" spans="1:27" ht="17.25" customHeight="1">
      <c r="A349" s="778"/>
      <c r="B349" s="778"/>
      <c r="C349" s="779">
        <v>10</v>
      </c>
      <c r="D349" s="1201">
        <v>109.2</v>
      </c>
      <c r="E349" s="1201">
        <v>134.1</v>
      </c>
      <c r="F349" s="1201">
        <v>104</v>
      </c>
      <c r="G349" s="588"/>
      <c r="H349" s="588">
        <v>100</v>
      </c>
      <c r="I349" s="584">
        <f t="shared" si="127"/>
        <v>1.5</v>
      </c>
      <c r="J349" s="584">
        <f t="shared" si="128"/>
        <v>-1.5</v>
      </c>
      <c r="K349" s="584">
        <f t="shared" si="129"/>
        <v>2.2000000000000028</v>
      </c>
      <c r="L349" s="589"/>
      <c r="M349" s="589">
        <f t="shared" si="130"/>
        <v>110.2</v>
      </c>
      <c r="N349" s="589">
        <f t="shared" si="131"/>
        <v>136.33333333333334</v>
      </c>
      <c r="O349" s="589">
        <f t="shared" si="132"/>
        <v>102.5</v>
      </c>
      <c r="P349" s="584"/>
      <c r="Q349" s="589">
        <f t="shared" si="115"/>
        <v>-1.6999999999999886</v>
      </c>
      <c r="R349" s="589">
        <f t="shared" si="116"/>
        <v>0.59999999999999432</v>
      </c>
      <c r="S349" s="589">
        <f t="shared" si="117"/>
        <v>0.86666666666666003</v>
      </c>
      <c r="T349" s="589"/>
      <c r="U349" s="589">
        <f t="shared" si="133"/>
        <v>111.62857142857145</v>
      </c>
      <c r="V349" s="589">
        <f t="shared" si="134"/>
        <v>130.70000000000002</v>
      </c>
      <c r="W349" s="589">
        <f t="shared" si="135"/>
        <v>102.91428571428571</v>
      </c>
      <c r="X349" s="589"/>
      <c r="Y349" s="589">
        <f t="shared" si="118"/>
        <v>-7.1428571428569398E-2</v>
      </c>
      <c r="Z349" s="589">
        <f t="shared" si="119"/>
        <v>2.7714285714285722</v>
      </c>
      <c r="AA349" s="590">
        <f t="shared" si="120"/>
        <v>0.11428571428571388</v>
      </c>
    </row>
    <row r="350" spans="1:27" ht="17.25" customHeight="1">
      <c r="A350" s="778"/>
      <c r="B350" s="778"/>
      <c r="C350" s="779">
        <v>11</v>
      </c>
      <c r="D350" s="1201">
        <v>114.2</v>
      </c>
      <c r="E350" s="1201">
        <v>136.30000000000001</v>
      </c>
      <c r="F350" s="1201">
        <v>104.5</v>
      </c>
      <c r="G350" s="588"/>
      <c r="H350" s="588">
        <v>100</v>
      </c>
      <c r="I350" s="584">
        <f t="shared" si="127"/>
        <v>5</v>
      </c>
      <c r="J350" s="584">
        <f t="shared" si="128"/>
        <v>2.2000000000000171</v>
      </c>
      <c r="K350" s="584">
        <f t="shared" si="129"/>
        <v>0.5</v>
      </c>
      <c r="L350" s="589"/>
      <c r="M350" s="589">
        <f t="shared" si="130"/>
        <v>110.36666666666667</v>
      </c>
      <c r="N350" s="589">
        <f t="shared" si="131"/>
        <v>135.33333333333334</v>
      </c>
      <c r="O350" s="589">
        <f t="shared" si="132"/>
        <v>103.43333333333334</v>
      </c>
      <c r="P350" s="584"/>
      <c r="Q350" s="589">
        <f t="shared" si="115"/>
        <v>0.1666666666666714</v>
      </c>
      <c r="R350" s="589">
        <f t="shared" si="116"/>
        <v>-1</v>
      </c>
      <c r="S350" s="589">
        <f t="shared" si="117"/>
        <v>0.93333333333333712</v>
      </c>
      <c r="T350" s="589"/>
      <c r="U350" s="589">
        <f t="shared" si="133"/>
        <v>111.67142857142858</v>
      </c>
      <c r="V350" s="589">
        <f t="shared" si="134"/>
        <v>132.92857142857142</v>
      </c>
      <c r="W350" s="589">
        <f t="shared" si="135"/>
        <v>102.8</v>
      </c>
      <c r="X350" s="589"/>
      <c r="Y350" s="589">
        <f t="shared" si="118"/>
        <v>4.285714285713027E-2</v>
      </c>
      <c r="Z350" s="589">
        <f t="shared" si="119"/>
        <v>2.2285714285713993</v>
      </c>
      <c r="AA350" s="590">
        <f t="shared" si="120"/>
        <v>-0.11428571428571388</v>
      </c>
    </row>
    <row r="351" spans="1:27" ht="17.25" customHeight="1">
      <c r="A351" s="778"/>
      <c r="B351" s="778"/>
      <c r="C351" s="779">
        <v>12</v>
      </c>
      <c r="D351" s="1205">
        <v>118.3</v>
      </c>
      <c r="E351" s="1205">
        <v>143.1</v>
      </c>
      <c r="F351" s="1205">
        <v>105.2</v>
      </c>
      <c r="G351" s="592"/>
      <c r="H351" s="592">
        <v>100</v>
      </c>
      <c r="I351" s="593">
        <f t="shared" si="127"/>
        <v>4.0999999999999943</v>
      </c>
      <c r="J351" s="593">
        <f t="shared" si="128"/>
        <v>6.7999999999999829</v>
      </c>
      <c r="K351" s="593">
        <f t="shared" si="129"/>
        <v>0.70000000000000284</v>
      </c>
      <c r="L351" s="594"/>
      <c r="M351" s="594">
        <f t="shared" si="130"/>
        <v>113.89999999999999</v>
      </c>
      <c r="N351" s="594">
        <f t="shared" si="131"/>
        <v>137.83333333333334</v>
      </c>
      <c r="O351" s="594">
        <f t="shared" si="132"/>
        <v>104.56666666666666</v>
      </c>
      <c r="P351" s="593"/>
      <c r="Q351" s="594">
        <f t="shared" si="115"/>
        <v>3.5333333333333172</v>
      </c>
      <c r="R351" s="594">
        <f t="shared" si="116"/>
        <v>2.5</v>
      </c>
      <c r="S351" s="594">
        <f t="shared" si="117"/>
        <v>1.1333333333333258</v>
      </c>
      <c r="T351" s="594"/>
      <c r="U351" s="594">
        <f t="shared" si="133"/>
        <v>112.38571428571429</v>
      </c>
      <c r="V351" s="594">
        <f t="shared" si="134"/>
        <v>135.92857142857144</v>
      </c>
      <c r="W351" s="594">
        <f t="shared" si="135"/>
        <v>103.1857142857143</v>
      </c>
      <c r="X351" s="594"/>
      <c r="Y351" s="594">
        <f t="shared" si="118"/>
        <v>0.7142857142857082</v>
      </c>
      <c r="Z351" s="594">
        <f t="shared" si="119"/>
        <v>3.0000000000000284</v>
      </c>
      <c r="AA351" s="595">
        <f t="shared" si="120"/>
        <v>0.38571428571430033</v>
      </c>
    </row>
    <row r="352" spans="1:27" ht="17.25" customHeight="1">
      <c r="A352" s="479">
        <v>4</v>
      </c>
      <c r="B352" s="760">
        <v>22</v>
      </c>
      <c r="C352" s="957">
        <v>1</v>
      </c>
      <c r="D352" s="1207">
        <v>112.8</v>
      </c>
      <c r="E352" s="1207">
        <v>149</v>
      </c>
      <c r="F352" s="1207">
        <v>105.8</v>
      </c>
      <c r="G352" s="597"/>
      <c r="H352" s="582">
        <v>100</v>
      </c>
      <c r="I352" s="583">
        <f t="shared" si="127"/>
        <v>-5.5</v>
      </c>
      <c r="J352" s="583">
        <f t="shared" si="128"/>
        <v>5.9000000000000057</v>
      </c>
      <c r="K352" s="583">
        <f t="shared" si="129"/>
        <v>0.59999999999999432</v>
      </c>
      <c r="L352" s="585"/>
      <c r="M352" s="585">
        <f t="shared" si="130"/>
        <v>115.10000000000001</v>
      </c>
      <c r="N352" s="585">
        <f t="shared" si="131"/>
        <v>142.79999999999998</v>
      </c>
      <c r="O352" s="585">
        <f t="shared" si="132"/>
        <v>105.16666666666667</v>
      </c>
      <c r="P352" s="583"/>
      <c r="Q352" s="585">
        <f t="shared" si="115"/>
        <v>1.2000000000000171</v>
      </c>
      <c r="R352" s="585">
        <f t="shared" si="116"/>
        <v>4.9666666666666401</v>
      </c>
      <c r="S352" s="585">
        <f t="shared" si="117"/>
        <v>0.60000000000000853</v>
      </c>
      <c r="T352" s="585"/>
      <c r="U352" s="585">
        <f t="shared" si="133"/>
        <v>112.88571428571427</v>
      </c>
      <c r="V352" s="585">
        <f t="shared" si="134"/>
        <v>138.52857142857144</v>
      </c>
      <c r="W352" s="585">
        <f t="shared" si="135"/>
        <v>103.48571428571429</v>
      </c>
      <c r="X352" s="585"/>
      <c r="Y352" s="585">
        <f t="shared" si="118"/>
        <v>0.49999999999998579</v>
      </c>
      <c r="Z352" s="585">
        <f t="shared" si="119"/>
        <v>2.5999999999999943</v>
      </c>
      <c r="AA352" s="586">
        <f t="shared" si="120"/>
        <v>0.29999999999999716</v>
      </c>
    </row>
    <row r="353" spans="1:27" ht="17.25" customHeight="1">
      <c r="A353" s="778"/>
      <c r="B353" s="778"/>
      <c r="C353" s="779">
        <v>2</v>
      </c>
      <c r="D353" s="1207">
        <v>108.2</v>
      </c>
      <c r="E353" s="1207">
        <v>148.4</v>
      </c>
      <c r="F353" s="1207">
        <v>102.4</v>
      </c>
      <c r="G353" s="597"/>
      <c r="H353" s="588">
        <v>100</v>
      </c>
      <c r="I353" s="584">
        <f t="shared" si="127"/>
        <v>-4.5999999999999943</v>
      </c>
      <c r="J353" s="584">
        <f t="shared" si="128"/>
        <v>-0.59999999999999432</v>
      </c>
      <c r="K353" s="584">
        <f t="shared" si="129"/>
        <v>-3.3999999999999915</v>
      </c>
      <c r="L353" s="589"/>
      <c r="M353" s="589">
        <f t="shared" si="130"/>
        <v>113.10000000000001</v>
      </c>
      <c r="N353" s="589">
        <f t="shared" si="131"/>
        <v>146.83333333333334</v>
      </c>
      <c r="O353" s="589">
        <f t="shared" si="132"/>
        <v>104.46666666666665</v>
      </c>
      <c r="P353" s="584"/>
      <c r="Q353" s="589">
        <f t="shared" ref="Q353:S354" si="136">M353-M352</f>
        <v>-2</v>
      </c>
      <c r="R353" s="589">
        <f t="shared" si="136"/>
        <v>4.0333333333333599</v>
      </c>
      <c r="S353" s="589">
        <f t="shared" si="136"/>
        <v>-0.70000000000001705</v>
      </c>
      <c r="T353" s="589"/>
      <c r="U353" s="589">
        <f t="shared" si="133"/>
        <v>112.01428571428572</v>
      </c>
      <c r="V353" s="589">
        <f t="shared" si="134"/>
        <v>140.82857142857142</v>
      </c>
      <c r="W353" s="589">
        <f t="shared" si="135"/>
        <v>103.62857142857142</v>
      </c>
      <c r="X353" s="589"/>
      <c r="Y353" s="589">
        <f t="shared" ref="Y353:AA354" si="137">U353-U352</f>
        <v>-0.87142857142855235</v>
      </c>
      <c r="Z353" s="589">
        <f t="shared" si="137"/>
        <v>2.2999999999999829</v>
      </c>
      <c r="AA353" s="590">
        <f t="shared" si="137"/>
        <v>0.14285714285712459</v>
      </c>
    </row>
    <row r="354" spans="1:27" ht="17.25" customHeight="1">
      <c r="A354" s="778"/>
      <c r="B354" s="778"/>
      <c r="C354" s="779">
        <v>3</v>
      </c>
      <c r="D354" s="1201">
        <v>110.1</v>
      </c>
      <c r="E354" s="1201">
        <v>149.4</v>
      </c>
      <c r="F354" s="1201">
        <v>110.4</v>
      </c>
      <c r="G354" s="588"/>
      <c r="H354" s="588">
        <v>100</v>
      </c>
      <c r="I354" s="584">
        <f t="shared" si="127"/>
        <v>1.8999999999999915</v>
      </c>
      <c r="J354" s="584">
        <f t="shared" si="128"/>
        <v>1</v>
      </c>
      <c r="K354" s="584">
        <f t="shared" si="129"/>
        <v>8</v>
      </c>
      <c r="L354" s="589"/>
      <c r="M354" s="589">
        <f t="shared" si="130"/>
        <v>110.36666666666667</v>
      </c>
      <c r="N354" s="589">
        <f t="shared" si="131"/>
        <v>148.93333333333331</v>
      </c>
      <c r="O354" s="589">
        <f t="shared" si="132"/>
        <v>106.2</v>
      </c>
      <c r="P354" s="584"/>
      <c r="Q354" s="589">
        <f t="shared" si="136"/>
        <v>-2.7333333333333343</v>
      </c>
      <c r="R354" s="589">
        <f t="shared" si="136"/>
        <v>2.0999999999999659</v>
      </c>
      <c r="S354" s="589">
        <f t="shared" si="136"/>
        <v>1.7333333333333485</v>
      </c>
      <c r="T354" s="589"/>
      <c r="U354" s="589">
        <f t="shared" si="133"/>
        <v>111.50000000000001</v>
      </c>
      <c r="V354" s="589">
        <f t="shared" si="134"/>
        <v>142.27142857142857</v>
      </c>
      <c r="W354" s="589">
        <f t="shared" si="135"/>
        <v>104.87142857142855</v>
      </c>
      <c r="X354" s="589"/>
      <c r="Y354" s="589">
        <f t="shared" si="137"/>
        <v>-0.51428571428570535</v>
      </c>
      <c r="Z354" s="589">
        <f t="shared" si="137"/>
        <v>1.4428571428571502</v>
      </c>
      <c r="AA354" s="590">
        <f t="shared" si="137"/>
        <v>1.2428571428571331</v>
      </c>
    </row>
    <row r="355" spans="1:27" ht="16.5" customHeight="1">
      <c r="A355" s="778"/>
      <c r="B355" s="778"/>
      <c r="C355" s="779">
        <v>4</v>
      </c>
      <c r="D355" s="1201">
        <v>115.6</v>
      </c>
      <c r="E355" s="1201">
        <v>147.30000000000001</v>
      </c>
      <c r="F355" s="1201">
        <v>107.1</v>
      </c>
      <c r="G355" s="588"/>
      <c r="H355" s="588">
        <v>100</v>
      </c>
      <c r="I355" s="584">
        <f t="shared" si="127"/>
        <v>5.5</v>
      </c>
      <c r="J355" s="584">
        <f t="shared" si="128"/>
        <v>-2.0999999999999943</v>
      </c>
      <c r="K355" s="584">
        <f t="shared" si="129"/>
        <v>-3.3000000000000114</v>
      </c>
      <c r="L355" s="589"/>
      <c r="M355" s="589">
        <f t="shared" si="130"/>
        <v>111.3</v>
      </c>
      <c r="N355" s="589">
        <f t="shared" si="131"/>
        <v>148.36666666666667</v>
      </c>
      <c r="O355" s="589">
        <f t="shared" si="132"/>
        <v>106.63333333333333</v>
      </c>
      <c r="P355" s="584"/>
      <c r="Q355" s="589">
        <f t="shared" ref="Q355:S356" si="138">M355-M354</f>
        <v>0.93333333333332291</v>
      </c>
      <c r="R355" s="589">
        <f t="shared" si="138"/>
        <v>-0.56666666666663446</v>
      </c>
      <c r="S355" s="589">
        <f t="shared" si="138"/>
        <v>0.43333333333332291</v>
      </c>
      <c r="T355" s="589"/>
      <c r="U355" s="589">
        <f t="shared" si="133"/>
        <v>112.62857142857145</v>
      </c>
      <c r="V355" s="589">
        <f t="shared" si="134"/>
        <v>143.94285714285712</v>
      </c>
      <c r="W355" s="589">
        <f t="shared" si="135"/>
        <v>105.62857142857142</v>
      </c>
      <c r="X355" s="589"/>
      <c r="Y355" s="589">
        <f t="shared" ref="Y355:AA356" si="139">U355-U354</f>
        <v>1.1285714285714334</v>
      </c>
      <c r="Z355" s="589">
        <f t="shared" si="139"/>
        <v>1.6714285714285495</v>
      </c>
      <c r="AA355" s="590">
        <f t="shared" si="139"/>
        <v>0.75714285714286689</v>
      </c>
    </row>
    <row r="356" spans="1:27" ht="17.25" customHeight="1">
      <c r="A356" s="778"/>
      <c r="B356" s="778"/>
      <c r="C356" s="779">
        <v>5</v>
      </c>
      <c r="D356" s="1201">
        <v>119.4</v>
      </c>
      <c r="E356" s="1201">
        <v>151.5</v>
      </c>
      <c r="F356" s="1201">
        <v>117.2</v>
      </c>
      <c r="G356" s="588"/>
      <c r="H356" s="588">
        <v>100</v>
      </c>
      <c r="I356" s="584">
        <f t="shared" si="127"/>
        <v>3.8000000000000114</v>
      </c>
      <c r="J356" s="584">
        <f t="shared" si="128"/>
        <v>4.1999999999999886</v>
      </c>
      <c r="K356" s="584">
        <f t="shared" si="129"/>
        <v>10.100000000000009</v>
      </c>
      <c r="L356" s="589"/>
      <c r="M356" s="589">
        <f t="shared" si="130"/>
        <v>115.03333333333335</v>
      </c>
      <c r="N356" s="589">
        <f t="shared" si="131"/>
        <v>149.4</v>
      </c>
      <c r="O356" s="589">
        <f t="shared" si="132"/>
        <v>111.56666666666666</v>
      </c>
      <c r="P356" s="584"/>
      <c r="Q356" s="589">
        <f t="shared" si="138"/>
        <v>3.7333333333333485</v>
      </c>
      <c r="R356" s="589">
        <f t="shared" si="138"/>
        <v>1.0333333333333314</v>
      </c>
      <c r="S356" s="589">
        <f t="shared" si="138"/>
        <v>4.9333333333333371</v>
      </c>
      <c r="T356" s="589"/>
      <c r="U356" s="589">
        <f t="shared" si="133"/>
        <v>114.08571428571429</v>
      </c>
      <c r="V356" s="589">
        <f t="shared" si="134"/>
        <v>146.42857142857142</v>
      </c>
      <c r="W356" s="589">
        <f t="shared" si="135"/>
        <v>107.51428571428572</v>
      </c>
      <c r="X356" s="589"/>
      <c r="Y356" s="589">
        <f t="shared" si="139"/>
        <v>1.4571428571428413</v>
      </c>
      <c r="Z356" s="589">
        <f t="shared" si="139"/>
        <v>2.4857142857142946</v>
      </c>
      <c r="AA356" s="590">
        <f t="shared" si="139"/>
        <v>1.8857142857143003</v>
      </c>
    </row>
    <row r="357" spans="1:27" ht="17.25" customHeight="1">
      <c r="A357" s="778"/>
      <c r="B357" s="778"/>
      <c r="C357" s="779">
        <v>6</v>
      </c>
      <c r="D357" s="1201">
        <v>121.4</v>
      </c>
      <c r="E357" s="1201">
        <v>151</v>
      </c>
      <c r="F357" s="1201">
        <v>113.5</v>
      </c>
      <c r="G357" s="588"/>
      <c r="H357" s="588">
        <v>100</v>
      </c>
      <c r="I357" s="584">
        <f t="shared" si="127"/>
        <v>2</v>
      </c>
      <c r="J357" s="584">
        <f t="shared" si="128"/>
        <v>-0.5</v>
      </c>
      <c r="K357" s="584">
        <f t="shared" si="129"/>
        <v>-3.7000000000000028</v>
      </c>
      <c r="L357" s="589"/>
      <c r="M357" s="589">
        <f t="shared" si="130"/>
        <v>118.8</v>
      </c>
      <c r="N357" s="589">
        <f t="shared" si="131"/>
        <v>149.93333333333334</v>
      </c>
      <c r="O357" s="589">
        <f t="shared" si="132"/>
        <v>112.60000000000001</v>
      </c>
      <c r="P357" s="584"/>
      <c r="Q357" s="589">
        <f t="shared" ref="Q357:S358" si="140">M357-M356</f>
        <v>3.7666666666666515</v>
      </c>
      <c r="R357" s="589">
        <f t="shared" si="140"/>
        <v>0.53333333333333144</v>
      </c>
      <c r="S357" s="589">
        <f t="shared" si="140"/>
        <v>1.0333333333333456</v>
      </c>
      <c r="T357" s="589"/>
      <c r="U357" s="589">
        <f t="shared" si="133"/>
        <v>115.11428571428571</v>
      </c>
      <c r="V357" s="589">
        <f t="shared" si="134"/>
        <v>148.52857142857144</v>
      </c>
      <c r="W357" s="589">
        <f t="shared" si="135"/>
        <v>108.8</v>
      </c>
      <c r="X357" s="589"/>
      <c r="Y357" s="589">
        <f t="shared" ref="Y357:AA358" si="141">U357-U356</f>
        <v>1.0285714285714249</v>
      </c>
      <c r="Z357" s="589">
        <f t="shared" si="141"/>
        <v>2.1000000000000227</v>
      </c>
      <c r="AA357" s="590">
        <f t="shared" si="141"/>
        <v>1.2857142857142776</v>
      </c>
    </row>
    <row r="358" spans="1:27" ht="17.25" customHeight="1">
      <c r="A358" s="778"/>
      <c r="B358" s="778"/>
      <c r="C358" s="779">
        <v>7</v>
      </c>
      <c r="D358" s="1201">
        <v>122.9</v>
      </c>
      <c r="E358" s="1201">
        <v>157.6</v>
      </c>
      <c r="F358" s="1201">
        <v>120.6</v>
      </c>
      <c r="G358" s="588"/>
      <c r="H358" s="588">
        <v>100</v>
      </c>
      <c r="I358" s="584">
        <f t="shared" si="127"/>
        <v>1.5</v>
      </c>
      <c r="J358" s="584">
        <f t="shared" si="128"/>
        <v>6.5999999999999943</v>
      </c>
      <c r="K358" s="584">
        <f t="shared" si="129"/>
        <v>7.0999999999999943</v>
      </c>
      <c r="L358" s="589"/>
      <c r="M358" s="589">
        <f t="shared" si="130"/>
        <v>121.23333333333335</v>
      </c>
      <c r="N358" s="589">
        <f t="shared" si="131"/>
        <v>153.36666666666667</v>
      </c>
      <c r="O358" s="589">
        <f t="shared" si="132"/>
        <v>117.09999999999998</v>
      </c>
      <c r="P358" s="584"/>
      <c r="Q358" s="589">
        <f t="shared" si="140"/>
        <v>2.4333333333333513</v>
      </c>
      <c r="R358" s="589">
        <f t="shared" si="140"/>
        <v>3.4333333333333371</v>
      </c>
      <c r="S358" s="589">
        <f t="shared" si="140"/>
        <v>4.4999999999999716</v>
      </c>
      <c r="T358" s="589"/>
      <c r="U358" s="589">
        <f t="shared" si="133"/>
        <v>115.77142857142857</v>
      </c>
      <c r="V358" s="589">
        <f t="shared" si="134"/>
        <v>150.59999999999997</v>
      </c>
      <c r="W358" s="589">
        <f t="shared" si="135"/>
        <v>111.00000000000001</v>
      </c>
      <c r="X358" s="589"/>
      <c r="Y358" s="589">
        <f t="shared" si="141"/>
        <v>0.65714285714285836</v>
      </c>
      <c r="Z358" s="589">
        <f t="shared" si="141"/>
        <v>2.0714285714285268</v>
      </c>
      <c r="AA358" s="590">
        <f t="shared" si="141"/>
        <v>2.2000000000000171</v>
      </c>
    </row>
    <row r="359" spans="1:27" ht="17.25" customHeight="1">
      <c r="A359" s="778"/>
      <c r="B359" s="778"/>
      <c r="C359" s="779">
        <v>8</v>
      </c>
      <c r="D359" s="1201">
        <v>120.7</v>
      </c>
      <c r="E359" s="1201">
        <v>154.80000000000001</v>
      </c>
      <c r="F359" s="1201">
        <v>116.8</v>
      </c>
      <c r="G359" s="588"/>
      <c r="H359" s="588">
        <v>100</v>
      </c>
      <c r="I359" s="584">
        <f t="shared" si="127"/>
        <v>-2.2000000000000028</v>
      </c>
      <c r="J359" s="584">
        <f t="shared" si="128"/>
        <v>-2.7999999999999829</v>
      </c>
      <c r="K359" s="584">
        <f t="shared" si="129"/>
        <v>-3.7999999999999972</v>
      </c>
      <c r="L359" s="589"/>
      <c r="M359" s="589">
        <f t="shared" si="130"/>
        <v>121.66666666666667</v>
      </c>
      <c r="N359" s="589">
        <f t="shared" si="131"/>
        <v>154.46666666666667</v>
      </c>
      <c r="O359" s="589">
        <f t="shared" si="132"/>
        <v>116.96666666666665</v>
      </c>
      <c r="P359" s="584"/>
      <c r="Q359" s="589">
        <f t="shared" ref="Q359:S360" si="142">M359-M358</f>
        <v>0.43333333333332291</v>
      </c>
      <c r="R359" s="589">
        <f t="shared" si="142"/>
        <v>1.0999999999999943</v>
      </c>
      <c r="S359" s="589">
        <f t="shared" si="142"/>
        <v>-0.13333333333332575</v>
      </c>
      <c r="T359" s="589"/>
      <c r="U359" s="589">
        <f t="shared" si="133"/>
        <v>116.89999999999999</v>
      </c>
      <c r="V359" s="589">
        <f t="shared" si="134"/>
        <v>151.42857142857142</v>
      </c>
      <c r="W359" s="589">
        <f t="shared" si="135"/>
        <v>112.57142857142856</v>
      </c>
      <c r="X359" s="589"/>
      <c r="Y359" s="589">
        <f t="shared" ref="Y359:AA360" si="143">U359-U358</f>
        <v>1.1285714285714192</v>
      </c>
      <c r="Z359" s="589">
        <f t="shared" si="143"/>
        <v>0.8285714285714505</v>
      </c>
      <c r="AA359" s="590">
        <f t="shared" si="143"/>
        <v>1.571428571428541</v>
      </c>
    </row>
    <row r="360" spans="1:27" ht="17.25" customHeight="1">
      <c r="A360" s="778"/>
      <c r="B360" s="778"/>
      <c r="C360" s="779">
        <v>9</v>
      </c>
      <c r="D360" s="1201">
        <v>121.5</v>
      </c>
      <c r="E360" s="1201">
        <v>159.30000000000001</v>
      </c>
      <c r="F360" s="1201">
        <v>118.6</v>
      </c>
      <c r="G360" s="588"/>
      <c r="H360" s="588">
        <v>100</v>
      </c>
      <c r="I360" s="584">
        <f t="shared" si="127"/>
        <v>0.79999999999999716</v>
      </c>
      <c r="J360" s="584">
        <f t="shared" si="128"/>
        <v>4.5</v>
      </c>
      <c r="K360" s="584">
        <f t="shared" si="129"/>
        <v>1.7999999999999972</v>
      </c>
      <c r="L360" s="589"/>
      <c r="M360" s="589">
        <f t="shared" si="130"/>
        <v>121.7</v>
      </c>
      <c r="N360" s="589">
        <f t="shared" si="131"/>
        <v>157.23333333333332</v>
      </c>
      <c r="O360" s="589">
        <f t="shared" si="132"/>
        <v>118.66666666666667</v>
      </c>
      <c r="P360" s="584"/>
      <c r="Q360" s="589">
        <f t="shared" si="142"/>
        <v>3.3333333333331439E-2</v>
      </c>
      <c r="R360" s="589">
        <f t="shared" si="142"/>
        <v>2.7666666666666515</v>
      </c>
      <c r="S360" s="589">
        <f t="shared" si="142"/>
        <v>1.7000000000000171</v>
      </c>
      <c r="T360" s="589"/>
      <c r="U360" s="589">
        <f t="shared" si="133"/>
        <v>118.8</v>
      </c>
      <c r="V360" s="589">
        <f t="shared" si="134"/>
        <v>152.98571428571429</v>
      </c>
      <c r="W360" s="589">
        <f t="shared" si="135"/>
        <v>114.88571428571427</v>
      </c>
      <c r="X360" s="589"/>
      <c r="Y360" s="589">
        <f t="shared" si="143"/>
        <v>1.9000000000000057</v>
      </c>
      <c r="Z360" s="589">
        <f t="shared" si="143"/>
        <v>1.5571428571428783</v>
      </c>
      <c r="AA360" s="590">
        <f t="shared" si="143"/>
        <v>2.3142857142857167</v>
      </c>
    </row>
    <row r="361" spans="1:27" ht="17.25" customHeight="1">
      <c r="A361" s="778"/>
      <c r="B361" s="778"/>
      <c r="C361" s="779">
        <v>10</v>
      </c>
      <c r="D361" s="1201">
        <v>126.9</v>
      </c>
      <c r="E361" s="1201">
        <v>147.80000000000001</v>
      </c>
      <c r="F361" s="1201">
        <v>118</v>
      </c>
      <c r="G361" s="588"/>
      <c r="H361" s="588">
        <v>100</v>
      </c>
      <c r="I361" s="584">
        <f t="shared" si="127"/>
        <v>5.4000000000000057</v>
      </c>
      <c r="J361" s="584">
        <f t="shared" si="128"/>
        <v>-11.5</v>
      </c>
      <c r="K361" s="584">
        <f t="shared" si="129"/>
        <v>-0.59999999999999432</v>
      </c>
      <c r="L361" s="589"/>
      <c r="M361" s="589">
        <f t="shared" si="130"/>
        <v>123.03333333333335</v>
      </c>
      <c r="N361" s="589">
        <f t="shared" si="131"/>
        <v>153.96666666666667</v>
      </c>
      <c r="O361" s="589">
        <f t="shared" si="132"/>
        <v>117.8</v>
      </c>
      <c r="P361" s="584"/>
      <c r="Q361" s="589">
        <f t="shared" ref="Q361:S362" si="144">M361-M360</f>
        <v>1.3333333333333428</v>
      </c>
      <c r="R361" s="589">
        <f t="shared" si="144"/>
        <v>-3.2666666666666515</v>
      </c>
      <c r="S361" s="589">
        <f t="shared" si="144"/>
        <v>-0.86666666666667425</v>
      </c>
      <c r="T361" s="589"/>
      <c r="U361" s="589">
        <f t="shared" si="133"/>
        <v>121.2</v>
      </c>
      <c r="V361" s="589">
        <f t="shared" si="134"/>
        <v>152.75714285714284</v>
      </c>
      <c r="W361" s="589">
        <f t="shared" si="135"/>
        <v>115.97142857142856</v>
      </c>
      <c r="X361" s="589"/>
      <c r="Y361" s="589">
        <f t="shared" ref="Y361:AA362" si="145">U361-U360</f>
        <v>2.4000000000000057</v>
      </c>
      <c r="Z361" s="589">
        <f t="shared" si="145"/>
        <v>-0.22857142857145618</v>
      </c>
      <c r="AA361" s="590">
        <f t="shared" si="145"/>
        <v>1.085714285714289</v>
      </c>
    </row>
    <row r="362" spans="1:27" ht="17.25" customHeight="1">
      <c r="A362" s="778"/>
      <c r="B362" s="778"/>
      <c r="C362" s="779">
        <v>11</v>
      </c>
      <c r="D362" s="1201">
        <v>125.2</v>
      </c>
      <c r="E362" s="1201">
        <v>153.9</v>
      </c>
      <c r="F362" s="1201">
        <v>120.7</v>
      </c>
      <c r="G362" s="588"/>
      <c r="H362" s="588">
        <v>100</v>
      </c>
      <c r="I362" s="584">
        <f t="shared" si="127"/>
        <v>-1.7000000000000028</v>
      </c>
      <c r="J362" s="584">
        <f t="shared" si="128"/>
        <v>6.0999999999999943</v>
      </c>
      <c r="K362" s="584">
        <f t="shared" si="129"/>
        <v>2.7000000000000028</v>
      </c>
      <c r="L362" s="589"/>
      <c r="M362" s="589">
        <f t="shared" si="130"/>
        <v>124.53333333333335</v>
      </c>
      <c r="N362" s="589">
        <f t="shared" si="131"/>
        <v>153.66666666666666</v>
      </c>
      <c r="O362" s="589">
        <f t="shared" si="132"/>
        <v>119.10000000000001</v>
      </c>
      <c r="P362" s="584"/>
      <c r="Q362" s="589">
        <f t="shared" si="144"/>
        <v>1.5</v>
      </c>
      <c r="R362" s="589">
        <f t="shared" si="144"/>
        <v>-0.30000000000001137</v>
      </c>
      <c r="S362" s="589">
        <f t="shared" si="144"/>
        <v>1.3000000000000114</v>
      </c>
      <c r="T362" s="589"/>
      <c r="U362" s="589">
        <f t="shared" si="133"/>
        <v>122.57142857142858</v>
      </c>
      <c r="V362" s="589">
        <f t="shared" si="134"/>
        <v>153.70000000000002</v>
      </c>
      <c r="W362" s="589">
        <f t="shared" si="135"/>
        <v>117.91428571428571</v>
      </c>
      <c r="X362" s="589"/>
      <c r="Y362" s="589">
        <f t="shared" si="145"/>
        <v>1.3714285714285808</v>
      </c>
      <c r="Z362" s="589">
        <f t="shared" si="145"/>
        <v>0.94285714285717859</v>
      </c>
      <c r="AA362" s="590">
        <f t="shared" si="145"/>
        <v>1.9428571428571502</v>
      </c>
    </row>
    <row r="363" spans="1:27" ht="17.25" customHeight="1">
      <c r="A363" s="778"/>
      <c r="B363" s="778"/>
      <c r="C363" s="779">
        <v>12</v>
      </c>
      <c r="D363" s="1205">
        <v>127.4</v>
      </c>
      <c r="E363" s="1205">
        <v>147.5</v>
      </c>
      <c r="F363" s="1205">
        <v>125.1</v>
      </c>
      <c r="G363" s="592"/>
      <c r="H363" s="592">
        <v>100</v>
      </c>
      <c r="I363" s="593">
        <f t="shared" si="127"/>
        <v>2.2000000000000028</v>
      </c>
      <c r="J363" s="593">
        <f t="shared" si="128"/>
        <v>-6.4000000000000057</v>
      </c>
      <c r="K363" s="593">
        <f t="shared" si="129"/>
        <v>4.3999999999999915</v>
      </c>
      <c r="L363" s="594"/>
      <c r="M363" s="594">
        <f t="shared" si="130"/>
        <v>126.5</v>
      </c>
      <c r="N363" s="594">
        <f t="shared" si="131"/>
        <v>149.73333333333335</v>
      </c>
      <c r="O363" s="594">
        <f t="shared" si="132"/>
        <v>121.26666666666665</v>
      </c>
      <c r="P363" s="593"/>
      <c r="Q363" s="594">
        <f t="shared" ref="Q363:S364" si="146">M363-M362</f>
        <v>1.9666666666666544</v>
      </c>
      <c r="R363" s="594">
        <f t="shared" si="146"/>
        <v>-3.9333333333333087</v>
      </c>
      <c r="S363" s="594">
        <f t="shared" si="146"/>
        <v>2.166666666666643</v>
      </c>
      <c r="T363" s="594"/>
      <c r="U363" s="594">
        <f t="shared" si="133"/>
        <v>123.71428571428571</v>
      </c>
      <c r="V363" s="594">
        <f t="shared" si="134"/>
        <v>153.12857142857143</v>
      </c>
      <c r="W363" s="594">
        <f t="shared" si="135"/>
        <v>119.04285714285716</v>
      </c>
      <c r="X363" s="594"/>
      <c r="Y363" s="594">
        <f t="shared" ref="Y363:AA364" si="147">U363-U362</f>
        <v>1.1428571428571246</v>
      </c>
      <c r="Z363" s="594">
        <f t="shared" si="147"/>
        <v>-0.57142857142858361</v>
      </c>
      <c r="AA363" s="595">
        <f t="shared" si="147"/>
        <v>1.1285714285714477</v>
      </c>
    </row>
    <row r="364" spans="1:27" ht="17.25" customHeight="1">
      <c r="A364" s="479">
        <v>5</v>
      </c>
      <c r="B364" s="760">
        <v>23</v>
      </c>
      <c r="C364" s="957">
        <v>1</v>
      </c>
      <c r="D364" s="1207">
        <v>128.1</v>
      </c>
      <c r="E364" s="1207">
        <v>149.5</v>
      </c>
      <c r="F364" s="1207">
        <v>126</v>
      </c>
      <c r="G364" s="597"/>
      <c r="H364" s="582">
        <v>100</v>
      </c>
      <c r="I364" s="583">
        <f t="shared" si="127"/>
        <v>0.69999999999998863</v>
      </c>
      <c r="J364" s="583">
        <f t="shared" si="128"/>
        <v>2</v>
      </c>
      <c r="K364" s="583">
        <f t="shared" si="129"/>
        <v>0.90000000000000568</v>
      </c>
      <c r="L364" s="585"/>
      <c r="M364" s="585">
        <f t="shared" si="130"/>
        <v>126.90000000000002</v>
      </c>
      <c r="N364" s="585">
        <f t="shared" si="131"/>
        <v>150.29999999999998</v>
      </c>
      <c r="O364" s="585">
        <f t="shared" si="132"/>
        <v>123.93333333333334</v>
      </c>
      <c r="P364" s="583"/>
      <c r="Q364" s="585">
        <f t="shared" si="146"/>
        <v>0.4000000000000199</v>
      </c>
      <c r="R364" s="585">
        <f t="shared" si="146"/>
        <v>0.56666666666663446</v>
      </c>
      <c r="S364" s="585">
        <f t="shared" si="146"/>
        <v>2.6666666666666856</v>
      </c>
      <c r="T364" s="585"/>
      <c r="U364" s="585">
        <f t="shared" si="133"/>
        <v>124.67142857142858</v>
      </c>
      <c r="V364" s="585">
        <f t="shared" si="134"/>
        <v>152.91428571428574</v>
      </c>
      <c r="W364" s="585">
        <f t="shared" si="135"/>
        <v>120.82857142857144</v>
      </c>
      <c r="X364" s="585"/>
      <c r="Y364" s="585">
        <f t="shared" si="147"/>
        <v>0.95714285714286973</v>
      </c>
      <c r="Z364" s="585">
        <f t="shared" si="147"/>
        <v>-0.21428571428569398</v>
      </c>
      <c r="AA364" s="586">
        <f t="shared" si="147"/>
        <v>1.7857142857142776</v>
      </c>
    </row>
    <row r="365" spans="1:27" ht="17.25" customHeight="1">
      <c r="A365" s="778"/>
      <c r="B365" s="778"/>
      <c r="C365" s="779">
        <v>2</v>
      </c>
      <c r="D365" s="1207">
        <v>130.9</v>
      </c>
      <c r="E365" s="1207">
        <v>148.69999999999999</v>
      </c>
      <c r="F365" s="1207">
        <v>125.6</v>
      </c>
      <c r="G365" s="597"/>
      <c r="H365" s="588">
        <v>100</v>
      </c>
      <c r="I365" s="584">
        <f t="shared" si="127"/>
        <v>2.8000000000000114</v>
      </c>
      <c r="J365" s="584">
        <f t="shared" si="128"/>
        <v>-0.80000000000001137</v>
      </c>
      <c r="K365" s="584">
        <f t="shared" si="129"/>
        <v>-0.40000000000000568</v>
      </c>
      <c r="L365" s="589"/>
      <c r="M365" s="589">
        <f t="shared" si="130"/>
        <v>128.79999999999998</v>
      </c>
      <c r="N365" s="589">
        <f t="shared" si="131"/>
        <v>148.56666666666666</v>
      </c>
      <c r="O365" s="589">
        <f t="shared" si="132"/>
        <v>125.56666666666666</v>
      </c>
      <c r="P365" s="584"/>
      <c r="Q365" s="589">
        <f t="shared" ref="Q365:S366" si="148">M365-M364</f>
        <v>1.8999999999999631</v>
      </c>
      <c r="R365" s="589">
        <f t="shared" si="148"/>
        <v>-1.7333333333333201</v>
      </c>
      <c r="S365" s="589">
        <f t="shared" si="148"/>
        <v>1.6333333333333258</v>
      </c>
      <c r="T365" s="589"/>
      <c r="U365" s="589">
        <f t="shared" si="133"/>
        <v>125.81428571428572</v>
      </c>
      <c r="V365" s="589">
        <f t="shared" si="134"/>
        <v>151.64285714285714</v>
      </c>
      <c r="W365" s="589">
        <f t="shared" si="135"/>
        <v>121.54285714285713</v>
      </c>
      <c r="X365" s="589"/>
      <c r="Y365" s="589">
        <f t="shared" ref="Y365:AA366" si="149">U365-U364</f>
        <v>1.1428571428571388</v>
      </c>
      <c r="Z365" s="589">
        <f t="shared" si="149"/>
        <v>-1.2714285714286007</v>
      </c>
      <c r="AA365" s="590">
        <f t="shared" si="149"/>
        <v>0.71428571428569398</v>
      </c>
    </row>
    <row r="366" spans="1:27" ht="17.25" customHeight="1">
      <c r="A366" s="778"/>
      <c r="B366" s="778"/>
      <c r="C366" s="779">
        <v>3</v>
      </c>
      <c r="D366" s="1201">
        <v>124</v>
      </c>
      <c r="E366" s="1201">
        <v>144.80000000000001</v>
      </c>
      <c r="F366" s="1201">
        <v>123.7</v>
      </c>
      <c r="G366" s="588"/>
      <c r="H366" s="588">
        <v>100</v>
      </c>
      <c r="I366" s="584">
        <f t="shared" si="127"/>
        <v>-6.9000000000000057</v>
      </c>
      <c r="J366" s="584">
        <f t="shared" si="128"/>
        <v>-3.8999999999999773</v>
      </c>
      <c r="K366" s="584">
        <f t="shared" si="129"/>
        <v>-1.8999999999999915</v>
      </c>
      <c r="L366" s="589"/>
      <c r="M366" s="589">
        <f t="shared" si="130"/>
        <v>127.66666666666667</v>
      </c>
      <c r="N366" s="589">
        <f t="shared" si="131"/>
        <v>147.66666666666666</v>
      </c>
      <c r="O366" s="589">
        <f t="shared" si="132"/>
        <v>125.10000000000001</v>
      </c>
      <c r="P366" s="584"/>
      <c r="Q366" s="589">
        <f t="shared" si="148"/>
        <v>-1.1333333333333115</v>
      </c>
      <c r="R366" s="589">
        <f t="shared" si="148"/>
        <v>-0.90000000000000568</v>
      </c>
      <c r="S366" s="589">
        <f t="shared" si="148"/>
        <v>-0.46666666666665435</v>
      </c>
      <c r="T366" s="589"/>
      <c r="U366" s="589">
        <f t="shared" si="133"/>
        <v>126.28571428571429</v>
      </c>
      <c r="V366" s="589">
        <f t="shared" si="134"/>
        <v>150.21428571428572</v>
      </c>
      <c r="W366" s="589">
        <f t="shared" si="135"/>
        <v>122.52857142857144</v>
      </c>
      <c r="X366" s="589"/>
      <c r="Y366" s="589">
        <f t="shared" si="149"/>
        <v>0.47142857142857508</v>
      </c>
      <c r="Z366" s="589">
        <f t="shared" si="149"/>
        <v>-1.4285714285714164</v>
      </c>
      <c r="AA366" s="590">
        <f t="shared" si="149"/>
        <v>0.98571428571430886</v>
      </c>
    </row>
    <row r="367" spans="1:27" ht="16.5" customHeight="1">
      <c r="A367" s="778"/>
      <c r="B367" s="778"/>
      <c r="C367" s="779">
        <v>4</v>
      </c>
      <c r="D367" s="1201">
        <v>130</v>
      </c>
      <c r="E367" s="1201">
        <v>141</v>
      </c>
      <c r="F367" s="1201">
        <v>123.1</v>
      </c>
      <c r="G367" s="588"/>
      <c r="H367" s="588">
        <v>100</v>
      </c>
      <c r="I367" s="584">
        <f t="shared" si="127"/>
        <v>6</v>
      </c>
      <c r="J367" s="584">
        <f t="shared" si="128"/>
        <v>-3.8000000000000114</v>
      </c>
      <c r="K367" s="584">
        <f t="shared" si="129"/>
        <v>-0.60000000000000853</v>
      </c>
      <c r="L367" s="589"/>
      <c r="M367" s="589">
        <f t="shared" si="130"/>
        <v>128.29999999999998</v>
      </c>
      <c r="N367" s="589">
        <f t="shared" si="131"/>
        <v>144.83333333333334</v>
      </c>
      <c r="O367" s="589">
        <f t="shared" si="132"/>
        <v>124.13333333333333</v>
      </c>
      <c r="P367" s="584"/>
      <c r="Q367" s="589">
        <f t="shared" ref="Q367:S368" si="150">M367-M366</f>
        <v>0.63333333333331154</v>
      </c>
      <c r="R367" s="589">
        <f t="shared" si="150"/>
        <v>-2.8333333333333144</v>
      </c>
      <c r="S367" s="589">
        <f t="shared" si="150"/>
        <v>-0.96666666666668277</v>
      </c>
      <c r="T367" s="589"/>
      <c r="U367" s="589">
        <f t="shared" si="133"/>
        <v>127.5</v>
      </c>
      <c r="V367" s="589">
        <f t="shared" si="134"/>
        <v>147.6</v>
      </c>
      <c r="W367" s="589">
        <f t="shared" si="135"/>
        <v>123.17142857142858</v>
      </c>
      <c r="X367" s="589"/>
      <c r="Y367" s="589">
        <f t="shared" ref="Y367:AA368" si="151">U367-U366</f>
        <v>1.2142857142857082</v>
      </c>
      <c r="Z367" s="589">
        <f t="shared" si="151"/>
        <v>-2.6142857142857281</v>
      </c>
      <c r="AA367" s="590">
        <f t="shared" si="151"/>
        <v>0.6428571428571388</v>
      </c>
    </row>
    <row r="368" spans="1:27" ht="17.25" customHeight="1">
      <c r="A368" s="778"/>
      <c r="B368" s="778"/>
      <c r="C368" s="779">
        <v>5</v>
      </c>
      <c r="D368" s="1201">
        <v>130.1</v>
      </c>
      <c r="E368" s="1201">
        <v>139.30000000000001</v>
      </c>
      <c r="F368" s="1201">
        <v>121.4</v>
      </c>
      <c r="G368" s="588"/>
      <c r="H368" s="588">
        <v>100</v>
      </c>
      <c r="I368" s="584">
        <f t="shared" si="127"/>
        <v>9.9999999999994316E-2</v>
      </c>
      <c r="J368" s="584">
        <f t="shared" si="128"/>
        <v>-1.6999999999999886</v>
      </c>
      <c r="K368" s="584">
        <f t="shared" si="129"/>
        <v>-1.6999999999999886</v>
      </c>
      <c r="L368" s="589"/>
      <c r="M368" s="589">
        <f t="shared" ref="M368:M384" si="152">AVERAGE(D366:D368)</f>
        <v>128.03333333333333</v>
      </c>
      <c r="N368" s="589">
        <f t="shared" ref="N368:N384" si="153">AVERAGE(E366:E368)</f>
        <v>141.70000000000002</v>
      </c>
      <c r="O368" s="589">
        <f t="shared" ref="O368:O384" si="154">AVERAGE(F366:F368)</f>
        <v>122.73333333333335</v>
      </c>
      <c r="P368" s="584"/>
      <c r="Q368" s="589">
        <f t="shared" si="150"/>
        <v>-0.26666666666665151</v>
      </c>
      <c r="R368" s="589">
        <f t="shared" si="150"/>
        <v>-3.1333333333333258</v>
      </c>
      <c r="S368" s="589">
        <f t="shared" si="150"/>
        <v>-1.3999999999999773</v>
      </c>
      <c r="T368" s="589"/>
      <c r="U368" s="589">
        <f t="shared" ref="U368:U384" si="155">AVERAGE(D362:D368)</f>
        <v>127.95714285714287</v>
      </c>
      <c r="V368" s="589">
        <f t="shared" ref="V368:V384" si="156">AVERAGE(E362:E368)</f>
        <v>146.38571428571427</v>
      </c>
      <c r="W368" s="589">
        <f t="shared" ref="W368:W384" si="157">AVERAGE(F362:F368)</f>
        <v>123.65714285714286</v>
      </c>
      <c r="X368" s="589"/>
      <c r="Y368" s="589">
        <f t="shared" si="151"/>
        <v>0.45714285714286973</v>
      </c>
      <c r="Z368" s="589">
        <f t="shared" si="151"/>
        <v>-1.2142857142857224</v>
      </c>
      <c r="AA368" s="590">
        <f t="shared" si="151"/>
        <v>0.48571428571428044</v>
      </c>
    </row>
    <row r="369" spans="1:28" ht="17.25" customHeight="1">
      <c r="A369" s="778"/>
      <c r="B369" s="778"/>
      <c r="C369" s="779">
        <v>6</v>
      </c>
      <c r="D369" s="1201">
        <v>139.80000000000001</v>
      </c>
      <c r="E369" s="1201">
        <v>140.6</v>
      </c>
      <c r="F369" s="1201">
        <v>119.4</v>
      </c>
      <c r="G369" s="588"/>
      <c r="H369" s="588">
        <v>100</v>
      </c>
      <c r="I369" s="584">
        <f t="shared" si="127"/>
        <v>9.7000000000000171</v>
      </c>
      <c r="J369" s="584">
        <f t="shared" si="128"/>
        <v>1.2999999999999829</v>
      </c>
      <c r="K369" s="584">
        <f t="shared" si="129"/>
        <v>-2</v>
      </c>
      <c r="L369" s="589"/>
      <c r="M369" s="589">
        <f t="shared" si="152"/>
        <v>133.30000000000001</v>
      </c>
      <c r="N369" s="589">
        <f t="shared" si="153"/>
        <v>140.29999999999998</v>
      </c>
      <c r="O369" s="589">
        <f t="shared" si="154"/>
        <v>121.3</v>
      </c>
      <c r="P369" s="584"/>
      <c r="Q369" s="589">
        <f t="shared" ref="Q369:S370" si="158">M369-M368</f>
        <v>5.2666666666666799</v>
      </c>
      <c r="R369" s="589">
        <f t="shared" si="158"/>
        <v>-1.4000000000000341</v>
      </c>
      <c r="S369" s="589">
        <f t="shared" si="158"/>
        <v>-1.4333333333333513</v>
      </c>
      <c r="T369" s="589"/>
      <c r="U369" s="589">
        <f t="shared" si="155"/>
        <v>130.04285714285714</v>
      </c>
      <c r="V369" s="589">
        <f t="shared" si="156"/>
        <v>144.48571428571429</v>
      </c>
      <c r="W369" s="589">
        <f t="shared" si="157"/>
        <v>123.47142857142856</v>
      </c>
      <c r="X369" s="589"/>
      <c r="Y369" s="589">
        <f t="shared" ref="Y369:AA370" si="159">U369-U368</f>
        <v>2.0857142857142748</v>
      </c>
      <c r="Z369" s="589">
        <f t="shared" si="159"/>
        <v>-1.8999999999999773</v>
      </c>
      <c r="AA369" s="590">
        <f t="shared" si="159"/>
        <v>-0.18571428571429749</v>
      </c>
    </row>
    <row r="370" spans="1:28" ht="17.25" customHeight="1">
      <c r="A370" s="778"/>
      <c r="B370" s="778"/>
      <c r="C370" s="779">
        <v>7</v>
      </c>
      <c r="D370" s="1209">
        <v>130.30000000000001</v>
      </c>
      <c r="E370" s="1201">
        <v>134.80000000000001</v>
      </c>
      <c r="F370" s="1201">
        <v>123.1</v>
      </c>
      <c r="G370" s="588"/>
      <c r="H370" s="588">
        <v>100</v>
      </c>
      <c r="I370" s="584">
        <f t="shared" si="127"/>
        <v>-9.5</v>
      </c>
      <c r="J370" s="584">
        <f t="shared" si="128"/>
        <v>-5.7999999999999829</v>
      </c>
      <c r="K370" s="584">
        <f t="shared" si="129"/>
        <v>3.6999999999999886</v>
      </c>
      <c r="L370" s="589"/>
      <c r="M370" s="589">
        <f t="shared" si="152"/>
        <v>133.4</v>
      </c>
      <c r="N370" s="589">
        <f t="shared" si="153"/>
        <v>138.23333333333332</v>
      </c>
      <c r="O370" s="589">
        <f t="shared" si="154"/>
        <v>121.3</v>
      </c>
      <c r="P370" s="584"/>
      <c r="Q370" s="589">
        <f t="shared" si="158"/>
        <v>9.9999999999994316E-2</v>
      </c>
      <c r="R370" s="589">
        <f t="shared" si="158"/>
        <v>-2.0666666666666629</v>
      </c>
      <c r="S370" s="589">
        <f t="shared" si="158"/>
        <v>0</v>
      </c>
      <c r="T370" s="589"/>
      <c r="U370" s="589">
        <f t="shared" si="155"/>
        <v>130.45714285714286</v>
      </c>
      <c r="V370" s="589">
        <f t="shared" si="156"/>
        <v>142.67142857142858</v>
      </c>
      <c r="W370" s="589">
        <f t="shared" si="157"/>
        <v>123.18571428571428</v>
      </c>
      <c r="X370" s="589"/>
      <c r="Y370" s="589">
        <f t="shared" si="159"/>
        <v>0.41428571428571104</v>
      </c>
      <c r="Z370" s="589">
        <f t="shared" si="159"/>
        <v>-1.8142857142857167</v>
      </c>
      <c r="AA370" s="590">
        <f t="shared" si="159"/>
        <v>-0.28571428571427759</v>
      </c>
    </row>
    <row r="371" spans="1:28" ht="17.25" customHeight="1">
      <c r="A371" s="778"/>
      <c r="B371" s="778"/>
      <c r="C371" s="779">
        <v>8</v>
      </c>
      <c r="D371" s="1209">
        <v>131.9</v>
      </c>
      <c r="E371" s="1201">
        <v>129.30000000000001</v>
      </c>
      <c r="F371" s="1201">
        <v>126.2</v>
      </c>
      <c r="G371" s="588"/>
      <c r="H371" s="588">
        <v>100</v>
      </c>
      <c r="I371" s="584">
        <f t="shared" si="127"/>
        <v>1.5999999999999943</v>
      </c>
      <c r="J371" s="584">
        <f t="shared" si="128"/>
        <v>-5.5</v>
      </c>
      <c r="K371" s="584">
        <f t="shared" si="129"/>
        <v>3.1000000000000085</v>
      </c>
      <c r="L371" s="589"/>
      <c r="M371" s="589">
        <f t="shared" si="152"/>
        <v>134</v>
      </c>
      <c r="N371" s="589">
        <f t="shared" si="153"/>
        <v>134.9</v>
      </c>
      <c r="O371" s="589">
        <f t="shared" si="154"/>
        <v>122.89999999999999</v>
      </c>
      <c r="P371" s="584"/>
      <c r="Q371" s="589">
        <f t="shared" ref="Q371:S372" si="160">M371-M370</f>
        <v>0.59999999999999432</v>
      </c>
      <c r="R371" s="589">
        <f t="shared" si="160"/>
        <v>-3.3333333333333144</v>
      </c>
      <c r="S371" s="589">
        <f t="shared" si="160"/>
        <v>1.5999999999999943</v>
      </c>
      <c r="T371" s="589"/>
      <c r="U371" s="589">
        <f t="shared" si="155"/>
        <v>130.99999999999997</v>
      </c>
      <c r="V371" s="589">
        <f t="shared" si="156"/>
        <v>139.78571428571428</v>
      </c>
      <c r="W371" s="589">
        <f t="shared" si="157"/>
        <v>123.21428571428571</v>
      </c>
      <c r="X371" s="589"/>
      <c r="Y371" s="589">
        <f t="shared" ref="Y371:AA372" si="161">U371-U370</f>
        <v>0.54285714285711606</v>
      </c>
      <c r="Z371" s="589">
        <f t="shared" si="161"/>
        <v>-2.8857142857143003</v>
      </c>
      <c r="AA371" s="590">
        <f t="shared" si="161"/>
        <v>2.8571428571424917E-2</v>
      </c>
    </row>
    <row r="372" spans="1:28" ht="17.25" customHeight="1">
      <c r="A372" s="778"/>
      <c r="B372" s="778"/>
      <c r="C372" s="779">
        <v>9</v>
      </c>
      <c r="D372" s="1209">
        <v>139</v>
      </c>
      <c r="E372" s="1201">
        <v>127.9</v>
      </c>
      <c r="F372" s="1201">
        <v>126.3</v>
      </c>
      <c r="G372" s="588"/>
      <c r="H372" s="588">
        <v>100</v>
      </c>
      <c r="I372" s="584">
        <f t="shared" si="127"/>
        <v>7.0999999999999943</v>
      </c>
      <c r="J372" s="584">
        <f t="shared" si="128"/>
        <v>-1.4000000000000057</v>
      </c>
      <c r="K372" s="584">
        <f t="shared" si="129"/>
        <v>9.9999999999994316E-2</v>
      </c>
      <c r="L372" s="589"/>
      <c r="M372" s="589">
        <f t="shared" si="152"/>
        <v>133.73333333333335</v>
      </c>
      <c r="N372" s="589">
        <f t="shared" si="153"/>
        <v>130.66666666666666</v>
      </c>
      <c r="O372" s="589">
        <f t="shared" si="154"/>
        <v>125.2</v>
      </c>
      <c r="P372" s="584"/>
      <c r="Q372" s="589">
        <f t="shared" si="160"/>
        <v>-0.26666666666665151</v>
      </c>
      <c r="R372" s="589">
        <f t="shared" si="160"/>
        <v>-4.2333333333333485</v>
      </c>
      <c r="S372" s="589">
        <f t="shared" si="160"/>
        <v>2.3000000000000114</v>
      </c>
      <c r="T372" s="589"/>
      <c r="U372" s="589">
        <f t="shared" si="155"/>
        <v>132.15714285714287</v>
      </c>
      <c r="V372" s="589">
        <f t="shared" si="156"/>
        <v>136.81428571428572</v>
      </c>
      <c r="W372" s="589">
        <f t="shared" si="157"/>
        <v>123.31428571428572</v>
      </c>
      <c r="X372" s="589"/>
      <c r="Y372" s="589">
        <f t="shared" si="161"/>
        <v>1.157142857142901</v>
      </c>
      <c r="Z372" s="589">
        <f t="shared" si="161"/>
        <v>-2.9714285714285609</v>
      </c>
      <c r="AA372" s="590">
        <f t="shared" si="161"/>
        <v>0.10000000000000853</v>
      </c>
    </row>
    <row r="373" spans="1:28" ht="17.25" customHeight="1">
      <c r="A373" s="778"/>
      <c r="B373" s="778"/>
      <c r="C373" s="779">
        <v>10</v>
      </c>
      <c r="D373" s="1201">
        <v>135</v>
      </c>
      <c r="E373" s="1201">
        <v>127.7</v>
      </c>
      <c r="F373" s="1201">
        <v>128.4</v>
      </c>
      <c r="G373" s="588"/>
      <c r="H373" s="588">
        <v>100</v>
      </c>
      <c r="I373" s="584">
        <f t="shared" si="127"/>
        <v>-4</v>
      </c>
      <c r="J373" s="584">
        <f t="shared" si="128"/>
        <v>-0.20000000000000284</v>
      </c>
      <c r="K373" s="584">
        <f t="shared" si="129"/>
        <v>2.1000000000000085</v>
      </c>
      <c r="L373" s="589"/>
      <c r="M373" s="589">
        <f t="shared" si="152"/>
        <v>135.29999999999998</v>
      </c>
      <c r="N373" s="589">
        <f t="shared" si="153"/>
        <v>128.30000000000001</v>
      </c>
      <c r="O373" s="589">
        <f t="shared" si="154"/>
        <v>126.96666666666665</v>
      </c>
      <c r="P373" s="584"/>
      <c r="Q373" s="589">
        <f t="shared" ref="Q373:S374" si="162">M373-M372</f>
        <v>1.5666666666666345</v>
      </c>
      <c r="R373" s="589">
        <f t="shared" si="162"/>
        <v>-2.3666666666666458</v>
      </c>
      <c r="S373" s="589">
        <f t="shared" si="162"/>
        <v>1.7666666666666515</v>
      </c>
      <c r="T373" s="589"/>
      <c r="U373" s="589">
        <f t="shared" si="155"/>
        <v>133.72857142857143</v>
      </c>
      <c r="V373" s="589">
        <f t="shared" si="156"/>
        <v>134.37142857142857</v>
      </c>
      <c r="W373" s="589">
        <f t="shared" si="157"/>
        <v>123.98571428571428</v>
      </c>
      <c r="X373" s="589"/>
      <c r="Y373" s="589">
        <f t="shared" ref="Y373:AA374" si="163">U373-U372</f>
        <v>1.5714285714285552</v>
      </c>
      <c r="Z373" s="589">
        <f t="shared" si="163"/>
        <v>-2.4428571428571502</v>
      </c>
      <c r="AA373" s="590">
        <f t="shared" si="163"/>
        <v>0.67142857142856371</v>
      </c>
    </row>
    <row r="374" spans="1:28" ht="17.25" customHeight="1">
      <c r="A374" s="778"/>
      <c r="B374" s="778"/>
      <c r="C374" s="779">
        <v>11</v>
      </c>
      <c r="D374" s="1201">
        <v>138</v>
      </c>
      <c r="E374" s="1201">
        <v>124.9</v>
      </c>
      <c r="F374" s="1201">
        <v>123.5</v>
      </c>
      <c r="G374" s="588"/>
      <c r="H374" s="588">
        <v>100</v>
      </c>
      <c r="I374" s="584">
        <f t="shared" si="127"/>
        <v>3</v>
      </c>
      <c r="J374" s="584">
        <f t="shared" si="128"/>
        <v>-2.7999999999999972</v>
      </c>
      <c r="K374" s="584">
        <f t="shared" si="129"/>
        <v>-4.9000000000000057</v>
      </c>
      <c r="L374" s="589"/>
      <c r="M374" s="589">
        <f t="shared" si="152"/>
        <v>137.33333333333334</v>
      </c>
      <c r="N374" s="589">
        <f t="shared" si="153"/>
        <v>126.83333333333333</v>
      </c>
      <c r="O374" s="589">
        <f t="shared" si="154"/>
        <v>126.06666666666666</v>
      </c>
      <c r="P374" s="584"/>
      <c r="Q374" s="589">
        <f t="shared" si="162"/>
        <v>2.0333333333333599</v>
      </c>
      <c r="R374" s="589">
        <f t="shared" si="162"/>
        <v>-1.4666666666666828</v>
      </c>
      <c r="S374" s="589">
        <f t="shared" si="162"/>
        <v>-0.89999999999999147</v>
      </c>
      <c r="T374" s="589"/>
      <c r="U374" s="589">
        <f t="shared" si="155"/>
        <v>134.87142857142857</v>
      </c>
      <c r="V374" s="589">
        <f t="shared" si="156"/>
        <v>132.07142857142858</v>
      </c>
      <c r="W374" s="589">
        <f t="shared" si="157"/>
        <v>124.04285714285713</v>
      </c>
      <c r="X374" s="589"/>
      <c r="Y374" s="589">
        <f t="shared" si="163"/>
        <v>1.1428571428571388</v>
      </c>
      <c r="Z374" s="589">
        <f t="shared" si="163"/>
        <v>-2.2999999999999829</v>
      </c>
      <c r="AA374" s="590">
        <f t="shared" si="163"/>
        <v>5.7142857142849834E-2</v>
      </c>
    </row>
    <row r="375" spans="1:28" ht="17.25" customHeight="1">
      <c r="A375" s="870"/>
      <c r="B375" s="870"/>
      <c r="C375" s="871">
        <v>12</v>
      </c>
      <c r="D375" s="1205">
        <v>138.30000000000001</v>
      </c>
      <c r="E375" s="1205">
        <v>127.9</v>
      </c>
      <c r="F375" s="1205">
        <v>125.7</v>
      </c>
      <c r="G375" s="592"/>
      <c r="H375" s="592">
        <v>100</v>
      </c>
      <c r="I375" s="593">
        <f t="shared" si="127"/>
        <v>0.30000000000001137</v>
      </c>
      <c r="J375" s="593">
        <f t="shared" si="128"/>
        <v>3</v>
      </c>
      <c r="K375" s="593">
        <f t="shared" si="129"/>
        <v>2.2000000000000028</v>
      </c>
      <c r="L375" s="594"/>
      <c r="M375" s="594">
        <f t="shared" si="152"/>
        <v>137.1</v>
      </c>
      <c r="N375" s="594">
        <f t="shared" si="153"/>
        <v>126.83333333333333</v>
      </c>
      <c r="O375" s="594">
        <f t="shared" si="154"/>
        <v>125.86666666666667</v>
      </c>
      <c r="P375" s="593"/>
      <c r="Q375" s="594">
        <f t="shared" ref="Q375:S379" si="164">M375-M374</f>
        <v>-0.23333333333334849</v>
      </c>
      <c r="R375" s="594">
        <f t="shared" si="164"/>
        <v>0</v>
      </c>
      <c r="S375" s="594">
        <f t="shared" si="164"/>
        <v>-0.19999999999998863</v>
      </c>
      <c r="T375" s="594"/>
      <c r="U375" s="594">
        <f t="shared" si="155"/>
        <v>136.04285714285714</v>
      </c>
      <c r="V375" s="594">
        <f t="shared" si="156"/>
        <v>130.44285714285715</v>
      </c>
      <c r="W375" s="594">
        <f t="shared" si="157"/>
        <v>124.65714285714286</v>
      </c>
      <c r="X375" s="594"/>
      <c r="Y375" s="594">
        <f t="shared" ref="Y375:AA379" si="165">U375-U374</f>
        <v>1.1714285714285779</v>
      </c>
      <c r="Z375" s="594">
        <f t="shared" si="165"/>
        <v>-1.6285714285714334</v>
      </c>
      <c r="AA375" s="595">
        <f t="shared" si="165"/>
        <v>0.61428571428572809</v>
      </c>
    </row>
    <row r="376" spans="1:28" ht="17.25" customHeight="1">
      <c r="A376" s="479">
        <v>6</v>
      </c>
      <c r="B376" s="760">
        <v>24</v>
      </c>
      <c r="C376" s="957">
        <v>1</v>
      </c>
      <c r="D376" s="1207">
        <v>126.6</v>
      </c>
      <c r="E376" s="1207">
        <v>123.3</v>
      </c>
      <c r="F376" s="1207">
        <v>118.2</v>
      </c>
      <c r="G376" s="597"/>
      <c r="H376" s="582">
        <v>100</v>
      </c>
      <c r="I376" s="583">
        <f t="shared" si="127"/>
        <v>-11.700000000000017</v>
      </c>
      <c r="J376" s="583">
        <f t="shared" si="128"/>
        <v>-4.6000000000000085</v>
      </c>
      <c r="K376" s="583">
        <f t="shared" si="129"/>
        <v>-7.5</v>
      </c>
      <c r="L376" s="585"/>
      <c r="M376" s="585">
        <f t="shared" si="152"/>
        <v>134.29999999999998</v>
      </c>
      <c r="N376" s="585">
        <f t="shared" si="153"/>
        <v>125.36666666666667</v>
      </c>
      <c r="O376" s="585">
        <f t="shared" si="154"/>
        <v>122.46666666666665</v>
      </c>
      <c r="P376" s="583"/>
      <c r="Q376" s="585">
        <f t="shared" si="164"/>
        <v>-2.8000000000000114</v>
      </c>
      <c r="R376" s="585">
        <f t="shared" si="164"/>
        <v>-1.4666666666666544</v>
      </c>
      <c r="S376" s="585">
        <f t="shared" si="164"/>
        <v>-3.4000000000000199</v>
      </c>
      <c r="T376" s="585"/>
      <c r="U376" s="585">
        <f t="shared" si="155"/>
        <v>134.15714285714287</v>
      </c>
      <c r="V376" s="585">
        <f t="shared" si="156"/>
        <v>127.97142857142856</v>
      </c>
      <c r="W376" s="585">
        <f t="shared" si="157"/>
        <v>124.48571428571429</v>
      </c>
      <c r="X376" s="585"/>
      <c r="Y376" s="585">
        <f t="shared" si="165"/>
        <v>-1.8857142857142719</v>
      </c>
      <c r="Z376" s="585">
        <f t="shared" si="165"/>
        <v>-2.4714285714285893</v>
      </c>
      <c r="AA376" s="586">
        <f t="shared" si="165"/>
        <v>-0.17142857142856371</v>
      </c>
      <c r="AB376" s="214" t="s">
        <v>716</v>
      </c>
    </row>
    <row r="377" spans="1:28" ht="16.5" customHeight="1">
      <c r="A377" s="778"/>
      <c r="B377" s="778"/>
      <c r="C377" s="779">
        <v>2</v>
      </c>
      <c r="D377" s="1201">
        <v>124.6</v>
      </c>
      <c r="E377" s="1201">
        <v>128.19999999999999</v>
      </c>
      <c r="F377" s="1201">
        <v>125.1</v>
      </c>
      <c r="G377" s="588"/>
      <c r="H377" s="588">
        <v>100</v>
      </c>
      <c r="I377" s="584">
        <f t="shared" si="127"/>
        <v>-2</v>
      </c>
      <c r="J377" s="584">
        <f t="shared" si="128"/>
        <v>4.8999999999999915</v>
      </c>
      <c r="K377" s="584">
        <f t="shared" si="129"/>
        <v>6.8999999999999915</v>
      </c>
      <c r="L377" s="589"/>
      <c r="M377" s="589">
        <f t="shared" si="152"/>
        <v>129.83333333333334</v>
      </c>
      <c r="N377" s="589">
        <f t="shared" si="153"/>
        <v>126.46666666666665</v>
      </c>
      <c r="O377" s="589">
        <f t="shared" si="154"/>
        <v>123</v>
      </c>
      <c r="P377" s="584"/>
      <c r="Q377" s="589">
        <f t="shared" si="164"/>
        <v>-4.4666666666666401</v>
      </c>
      <c r="R377" s="589">
        <f t="shared" si="164"/>
        <v>1.0999999999999801</v>
      </c>
      <c r="S377" s="589">
        <f t="shared" si="164"/>
        <v>0.53333333333334565</v>
      </c>
      <c r="T377" s="589"/>
      <c r="U377" s="589">
        <f t="shared" si="155"/>
        <v>133.34285714285716</v>
      </c>
      <c r="V377" s="589">
        <f t="shared" si="156"/>
        <v>127.02857142857144</v>
      </c>
      <c r="W377" s="589">
        <f t="shared" si="157"/>
        <v>124.77142857142859</v>
      </c>
      <c r="X377" s="589"/>
      <c r="Y377" s="589">
        <f t="shared" si="165"/>
        <v>-0.81428571428571672</v>
      </c>
      <c r="Z377" s="589">
        <f t="shared" si="165"/>
        <v>-0.94285714285712174</v>
      </c>
      <c r="AA377" s="590">
        <f t="shared" si="165"/>
        <v>0.2857142857142918</v>
      </c>
    </row>
    <row r="378" spans="1:28" ht="16.5" customHeight="1">
      <c r="A378" s="778"/>
      <c r="B378" s="778"/>
      <c r="C378" s="779">
        <v>3</v>
      </c>
      <c r="D378" s="1201">
        <v>130.80000000000001</v>
      </c>
      <c r="E378" s="1201">
        <v>131.6</v>
      </c>
      <c r="F378" s="1201">
        <v>123.4</v>
      </c>
      <c r="G378" s="588"/>
      <c r="H378" s="588">
        <v>100</v>
      </c>
      <c r="I378" s="584">
        <f t="shared" si="127"/>
        <v>6.2000000000000171</v>
      </c>
      <c r="J378" s="584">
        <f t="shared" si="128"/>
        <v>3.4000000000000057</v>
      </c>
      <c r="K378" s="584">
        <f t="shared" si="129"/>
        <v>-1.6999999999999886</v>
      </c>
      <c r="L378" s="589"/>
      <c r="M378" s="589">
        <f t="shared" si="152"/>
        <v>127.33333333333333</v>
      </c>
      <c r="N378" s="589">
        <f t="shared" si="153"/>
        <v>127.7</v>
      </c>
      <c r="O378" s="589">
        <f t="shared" si="154"/>
        <v>122.23333333333335</v>
      </c>
      <c r="P378" s="584"/>
      <c r="Q378" s="589">
        <f t="shared" si="164"/>
        <v>-2.5000000000000142</v>
      </c>
      <c r="R378" s="589">
        <f t="shared" si="164"/>
        <v>1.2333333333333485</v>
      </c>
      <c r="S378" s="589">
        <f t="shared" si="164"/>
        <v>-0.76666666666665151</v>
      </c>
      <c r="T378" s="589"/>
      <c r="U378" s="589">
        <f t="shared" si="155"/>
        <v>133.18571428571428</v>
      </c>
      <c r="V378" s="589">
        <f t="shared" si="156"/>
        <v>127.35714285714285</v>
      </c>
      <c r="W378" s="589">
        <f t="shared" si="157"/>
        <v>124.37142857142858</v>
      </c>
      <c r="X378" s="589"/>
      <c r="Y378" s="589">
        <f t="shared" si="165"/>
        <v>-0.15714285714287257</v>
      </c>
      <c r="Z378" s="589">
        <f t="shared" si="165"/>
        <v>0.32857142857140786</v>
      </c>
      <c r="AA378" s="590">
        <f t="shared" si="165"/>
        <v>-0.40000000000000568</v>
      </c>
    </row>
    <row r="379" spans="1:28" ht="16.5" customHeight="1">
      <c r="A379" s="778"/>
      <c r="B379" s="778"/>
      <c r="C379" s="779">
        <v>4</v>
      </c>
      <c r="D379" s="1201">
        <v>136.80000000000001</v>
      </c>
      <c r="E379" s="1201">
        <v>135.1</v>
      </c>
      <c r="F379" s="1201">
        <v>121.5</v>
      </c>
      <c r="G379" s="588"/>
      <c r="H379" s="588">
        <v>100</v>
      </c>
      <c r="I379" s="584">
        <f t="shared" si="127"/>
        <v>6</v>
      </c>
      <c r="J379" s="584">
        <f t="shared" si="128"/>
        <v>3.5</v>
      </c>
      <c r="K379" s="584">
        <f t="shared" si="129"/>
        <v>-1.9000000000000057</v>
      </c>
      <c r="L379" s="589"/>
      <c r="M379" s="589">
        <f t="shared" si="152"/>
        <v>130.73333333333335</v>
      </c>
      <c r="N379" s="589">
        <f t="shared" si="153"/>
        <v>131.63333333333333</v>
      </c>
      <c r="O379" s="589">
        <f t="shared" si="154"/>
        <v>123.33333333333333</v>
      </c>
      <c r="P379" s="584"/>
      <c r="Q379" s="589">
        <f t="shared" si="164"/>
        <v>3.4000000000000199</v>
      </c>
      <c r="R379" s="589">
        <f t="shared" si="164"/>
        <v>3.9333333333333229</v>
      </c>
      <c r="S379" s="589">
        <f t="shared" si="164"/>
        <v>1.0999999999999801</v>
      </c>
      <c r="T379" s="589"/>
      <c r="U379" s="589">
        <f t="shared" si="155"/>
        <v>132.87142857142857</v>
      </c>
      <c r="V379" s="589">
        <f t="shared" si="156"/>
        <v>128.3857142857143</v>
      </c>
      <c r="W379" s="589">
        <f t="shared" si="157"/>
        <v>123.68571428571428</v>
      </c>
      <c r="X379" s="589"/>
      <c r="Y379" s="589">
        <f t="shared" si="165"/>
        <v>-0.31428571428571672</v>
      </c>
      <c r="Z379" s="589">
        <f t="shared" si="165"/>
        <v>1.0285714285714533</v>
      </c>
      <c r="AA379" s="590">
        <f t="shared" si="165"/>
        <v>-0.68571428571429749</v>
      </c>
    </row>
    <row r="380" spans="1:28" ht="16.5" customHeight="1">
      <c r="A380" s="778"/>
      <c r="B380" s="778"/>
      <c r="C380" s="779">
        <v>5</v>
      </c>
      <c r="D380" s="1201">
        <v>135.80000000000001</v>
      </c>
      <c r="E380" s="1201">
        <v>136.69999999999999</v>
      </c>
      <c r="F380" s="1201">
        <v>122.8</v>
      </c>
      <c r="G380" s="588"/>
      <c r="H380" s="588">
        <v>100</v>
      </c>
      <c r="I380" s="584">
        <f t="shared" si="127"/>
        <v>-1</v>
      </c>
      <c r="J380" s="584">
        <f t="shared" si="128"/>
        <v>1.5999999999999943</v>
      </c>
      <c r="K380" s="584">
        <f t="shared" si="129"/>
        <v>1.2999999999999972</v>
      </c>
      <c r="L380" s="589"/>
      <c r="M380" s="589">
        <f t="shared" si="152"/>
        <v>134.46666666666667</v>
      </c>
      <c r="N380" s="589">
        <f t="shared" si="153"/>
        <v>134.46666666666667</v>
      </c>
      <c r="O380" s="589">
        <f t="shared" si="154"/>
        <v>122.56666666666666</v>
      </c>
      <c r="P380" s="584"/>
      <c r="Q380" s="589">
        <f t="shared" ref="Q380:S381" si="166">M380-M379</f>
        <v>3.7333333333333201</v>
      </c>
      <c r="R380" s="589">
        <f t="shared" si="166"/>
        <v>2.8333333333333428</v>
      </c>
      <c r="S380" s="589">
        <f t="shared" si="166"/>
        <v>-0.76666666666666572</v>
      </c>
      <c r="T380" s="589"/>
      <c r="U380" s="589">
        <f t="shared" si="155"/>
        <v>132.98571428571427</v>
      </c>
      <c r="V380" s="589">
        <f t="shared" si="156"/>
        <v>129.67142857142858</v>
      </c>
      <c r="W380" s="589">
        <f t="shared" si="157"/>
        <v>122.88571428571427</v>
      </c>
      <c r="X380" s="589"/>
      <c r="Y380" s="589">
        <f t="shared" ref="Y380:AA381" si="167">U380-U379</f>
        <v>0.11428571428569967</v>
      </c>
      <c r="Z380" s="589">
        <f t="shared" si="167"/>
        <v>1.2857142857142776</v>
      </c>
      <c r="AA380" s="590">
        <f t="shared" si="167"/>
        <v>-0.80000000000001137</v>
      </c>
    </row>
    <row r="381" spans="1:28" s="365" customFormat="1" ht="17.25" customHeight="1">
      <c r="A381" s="1111"/>
      <c r="B381" s="778"/>
      <c r="C381" s="779">
        <v>6</v>
      </c>
      <c r="D381" s="1201">
        <v>134.80000000000001</v>
      </c>
      <c r="E381" s="1201">
        <v>135</v>
      </c>
      <c r="F381" s="1201">
        <v>126.7</v>
      </c>
      <c r="G381" s="588"/>
      <c r="H381" s="588">
        <v>100</v>
      </c>
      <c r="I381" s="584">
        <f t="shared" si="127"/>
        <v>-1</v>
      </c>
      <c r="J381" s="584">
        <f t="shared" si="128"/>
        <v>-1.6999999999999886</v>
      </c>
      <c r="K381" s="584">
        <f t="shared" si="129"/>
        <v>3.9000000000000057</v>
      </c>
      <c r="L381" s="1230"/>
      <c r="M381" s="589">
        <f t="shared" si="152"/>
        <v>135.80000000000001</v>
      </c>
      <c r="N381" s="589">
        <f t="shared" si="153"/>
        <v>135.6</v>
      </c>
      <c r="O381" s="589">
        <f t="shared" si="154"/>
        <v>123.66666666666667</v>
      </c>
      <c r="P381" s="1114"/>
      <c r="Q381" s="589">
        <f t="shared" si="166"/>
        <v>1.3333333333333428</v>
      </c>
      <c r="R381" s="589">
        <f t="shared" si="166"/>
        <v>1.1333333333333258</v>
      </c>
      <c r="S381" s="589">
        <f t="shared" si="166"/>
        <v>1.1000000000000085</v>
      </c>
      <c r="T381" s="589"/>
      <c r="U381" s="589">
        <f t="shared" si="155"/>
        <v>132.52857142857141</v>
      </c>
      <c r="V381" s="589">
        <f t="shared" si="156"/>
        <v>131.1142857142857</v>
      </c>
      <c r="W381" s="589">
        <f t="shared" si="157"/>
        <v>123.34285714285714</v>
      </c>
      <c r="X381" s="589"/>
      <c r="Y381" s="589">
        <f t="shared" si="167"/>
        <v>-0.45714285714285552</v>
      </c>
      <c r="Z381" s="589">
        <f t="shared" si="167"/>
        <v>1.4428571428571217</v>
      </c>
      <c r="AA381" s="590">
        <f t="shared" si="167"/>
        <v>0.45714285714286973</v>
      </c>
    </row>
    <row r="382" spans="1:28" s="365" customFormat="1" ht="17.25" customHeight="1">
      <c r="A382" s="1111"/>
      <c r="B382" s="778"/>
      <c r="C382" s="779">
        <v>7</v>
      </c>
      <c r="D382" s="1201">
        <v>137.4</v>
      </c>
      <c r="E382" s="1201">
        <v>130.5</v>
      </c>
      <c r="F382" s="1201">
        <v>119.5</v>
      </c>
      <c r="G382" s="588"/>
      <c r="H382" s="588">
        <v>100</v>
      </c>
      <c r="I382" s="584">
        <f t="shared" si="127"/>
        <v>2.5999999999999943</v>
      </c>
      <c r="J382" s="584">
        <f t="shared" si="128"/>
        <v>-4.5</v>
      </c>
      <c r="K382" s="584">
        <f t="shared" si="129"/>
        <v>-7.2000000000000028</v>
      </c>
      <c r="L382" s="1230"/>
      <c r="M382" s="589">
        <f t="shared" si="152"/>
        <v>136</v>
      </c>
      <c r="N382" s="589">
        <f t="shared" si="153"/>
        <v>134.06666666666666</v>
      </c>
      <c r="O382" s="589">
        <f t="shared" si="154"/>
        <v>123</v>
      </c>
      <c r="P382" s="1114"/>
      <c r="Q382" s="589">
        <f t="shared" ref="Q382:S383" si="168">M382-M381</f>
        <v>0.19999999999998863</v>
      </c>
      <c r="R382" s="589">
        <f t="shared" si="168"/>
        <v>-1.5333333333333314</v>
      </c>
      <c r="S382" s="589">
        <f t="shared" si="168"/>
        <v>-0.6666666666666714</v>
      </c>
      <c r="T382" s="589"/>
      <c r="U382" s="589">
        <f t="shared" si="155"/>
        <v>132.39999999999998</v>
      </c>
      <c r="V382" s="589">
        <f t="shared" si="156"/>
        <v>131.48571428571429</v>
      </c>
      <c r="W382" s="589">
        <f t="shared" si="157"/>
        <v>122.45714285714287</v>
      </c>
      <c r="X382" s="589"/>
      <c r="Y382" s="589">
        <f t="shared" ref="Y382:AA383" si="169">U382-U381</f>
        <v>-0.12857142857143344</v>
      </c>
      <c r="Z382" s="589">
        <f t="shared" si="169"/>
        <v>0.37142857142859498</v>
      </c>
      <c r="AA382" s="590">
        <f t="shared" si="169"/>
        <v>-0.88571428571427191</v>
      </c>
    </row>
    <row r="383" spans="1:28" ht="17.25" customHeight="1">
      <c r="A383" s="778"/>
      <c r="B383" s="1111"/>
      <c r="C383" s="779">
        <v>8</v>
      </c>
      <c r="D383" s="1201">
        <v>137.69999999999999</v>
      </c>
      <c r="E383" s="1201">
        <v>132.5</v>
      </c>
      <c r="F383" s="1201">
        <v>124.4</v>
      </c>
      <c r="G383" s="1102"/>
      <c r="H383" s="588">
        <v>100</v>
      </c>
      <c r="I383" s="584">
        <f t="shared" si="127"/>
        <v>0.29999999999998295</v>
      </c>
      <c r="J383" s="584">
        <f t="shared" si="128"/>
        <v>2</v>
      </c>
      <c r="K383" s="584">
        <f t="shared" si="129"/>
        <v>4.9000000000000057</v>
      </c>
      <c r="L383" s="589"/>
      <c r="M383" s="589">
        <f t="shared" si="152"/>
        <v>136.63333333333335</v>
      </c>
      <c r="N383" s="589">
        <f t="shared" si="153"/>
        <v>132.66666666666666</v>
      </c>
      <c r="O383" s="589">
        <f t="shared" si="154"/>
        <v>123.53333333333335</v>
      </c>
      <c r="P383" s="584"/>
      <c r="Q383" s="589">
        <f t="shared" si="168"/>
        <v>0.63333333333335418</v>
      </c>
      <c r="R383" s="589">
        <f t="shared" si="168"/>
        <v>-1.4000000000000057</v>
      </c>
      <c r="S383" s="589">
        <f t="shared" si="168"/>
        <v>0.53333333333334565</v>
      </c>
      <c r="T383" s="589"/>
      <c r="U383" s="589">
        <f t="shared" si="155"/>
        <v>133.98571428571427</v>
      </c>
      <c r="V383" s="589">
        <f t="shared" si="156"/>
        <v>132.79999999999998</v>
      </c>
      <c r="W383" s="589">
        <f t="shared" si="157"/>
        <v>123.34285714285714</v>
      </c>
      <c r="X383" s="589"/>
      <c r="Y383" s="589">
        <f t="shared" si="169"/>
        <v>1.585714285714289</v>
      </c>
      <c r="Z383" s="589">
        <f t="shared" si="169"/>
        <v>1.3142857142856883</v>
      </c>
      <c r="AA383" s="590">
        <f t="shared" si="169"/>
        <v>0.88571428571427191</v>
      </c>
    </row>
    <row r="384" spans="1:28" ht="17.25" customHeight="1">
      <c r="A384" s="778"/>
      <c r="B384" s="1111"/>
      <c r="C384" s="779">
        <v>9</v>
      </c>
      <c r="D384" s="1201">
        <v>140.4</v>
      </c>
      <c r="E384" s="1201">
        <v>137.30000000000001</v>
      </c>
      <c r="F384" s="1201">
        <v>122.8</v>
      </c>
      <c r="G384" s="1102"/>
      <c r="H384" s="588">
        <v>100</v>
      </c>
      <c r="I384" s="584">
        <f t="shared" si="127"/>
        <v>2.7000000000000171</v>
      </c>
      <c r="J384" s="584">
        <f t="shared" si="128"/>
        <v>4.8000000000000114</v>
      </c>
      <c r="K384" s="584">
        <f t="shared" si="129"/>
        <v>-1.6000000000000085</v>
      </c>
      <c r="L384" s="589"/>
      <c r="M384" s="589">
        <f t="shared" si="152"/>
        <v>138.5</v>
      </c>
      <c r="N384" s="589">
        <f t="shared" si="153"/>
        <v>133.43333333333334</v>
      </c>
      <c r="O384" s="589">
        <f t="shared" si="154"/>
        <v>122.23333333333333</v>
      </c>
      <c r="P384" s="584"/>
      <c r="Q384" s="589">
        <f t="shared" ref="Q384:S385" si="170">M384-M383</f>
        <v>1.8666666666666458</v>
      </c>
      <c r="R384" s="589">
        <f t="shared" si="170"/>
        <v>0.76666666666667993</v>
      </c>
      <c r="S384" s="589">
        <f t="shared" si="170"/>
        <v>-1.3000000000000114</v>
      </c>
      <c r="T384" s="589"/>
      <c r="U384" s="589">
        <f t="shared" si="155"/>
        <v>136.24285714285713</v>
      </c>
      <c r="V384" s="589">
        <f t="shared" si="156"/>
        <v>134.1</v>
      </c>
      <c r="W384" s="589">
        <f t="shared" si="157"/>
        <v>123.01428571428571</v>
      </c>
      <c r="X384" s="589"/>
      <c r="Y384" s="589">
        <f t="shared" ref="Y384:AA386" si="171">U384-U383</f>
        <v>2.2571428571428669</v>
      </c>
      <c r="Z384" s="589">
        <f t="shared" si="171"/>
        <v>1.3000000000000114</v>
      </c>
      <c r="AA384" s="590">
        <f t="shared" si="171"/>
        <v>-0.32857142857143629</v>
      </c>
    </row>
    <row r="385" spans="1:27" ht="17.25" customHeight="1">
      <c r="A385" s="778"/>
      <c r="B385" s="1111"/>
      <c r="C385" s="779">
        <v>10</v>
      </c>
      <c r="D385" s="1201">
        <v>140.80000000000001</v>
      </c>
      <c r="E385" s="1201">
        <v>146.9</v>
      </c>
      <c r="F385" s="1201">
        <v>123.2</v>
      </c>
      <c r="G385" s="1102"/>
      <c r="H385" s="588">
        <v>100</v>
      </c>
      <c r="I385" s="584">
        <f t="shared" ref="I385:K386" si="172">D385-D384</f>
        <v>0.40000000000000568</v>
      </c>
      <c r="J385" s="584">
        <f t="shared" si="172"/>
        <v>9.5999999999999943</v>
      </c>
      <c r="K385" s="584">
        <f t="shared" si="172"/>
        <v>0.40000000000000568</v>
      </c>
      <c r="L385" s="589"/>
      <c r="M385" s="589">
        <f t="shared" ref="M385:O386" si="173">AVERAGE(D383:D385)</f>
        <v>139.63333333333335</v>
      </c>
      <c r="N385" s="589">
        <f t="shared" si="173"/>
        <v>138.9</v>
      </c>
      <c r="O385" s="589">
        <f t="shared" si="173"/>
        <v>123.46666666666665</v>
      </c>
      <c r="P385" s="584"/>
      <c r="Q385" s="589">
        <f t="shared" si="170"/>
        <v>1.1333333333333542</v>
      </c>
      <c r="R385" s="589">
        <f t="shared" si="170"/>
        <v>5.4666666666666686</v>
      </c>
      <c r="S385" s="589">
        <f t="shared" si="170"/>
        <v>1.2333333333333201</v>
      </c>
      <c r="T385" s="589"/>
      <c r="U385" s="589">
        <f t="shared" ref="U385:W386" si="174">AVERAGE(D379:D385)</f>
        <v>137.67142857142858</v>
      </c>
      <c r="V385" s="589">
        <f t="shared" si="174"/>
        <v>136.28571428571428</v>
      </c>
      <c r="W385" s="589">
        <f t="shared" si="174"/>
        <v>122.98571428571428</v>
      </c>
      <c r="X385" s="589"/>
      <c r="Y385" s="589">
        <f t="shared" si="171"/>
        <v>1.4285714285714448</v>
      </c>
      <c r="Z385" s="589">
        <f t="shared" si="171"/>
        <v>2.1857142857142833</v>
      </c>
      <c r="AA385" s="590">
        <f t="shared" si="171"/>
        <v>-2.8571428571424917E-2</v>
      </c>
    </row>
    <row r="386" spans="1:27" ht="17.25" customHeight="1">
      <c r="A386" s="778"/>
      <c r="B386" s="1111"/>
      <c r="C386" s="779">
        <v>11</v>
      </c>
      <c r="D386" s="1201">
        <v>140.1</v>
      </c>
      <c r="E386" s="1201">
        <v>140.4</v>
      </c>
      <c r="F386" s="1201">
        <v>128.9</v>
      </c>
      <c r="G386" s="1102"/>
      <c r="H386" s="588">
        <v>100</v>
      </c>
      <c r="I386" s="584">
        <f t="shared" si="172"/>
        <v>-0.70000000000001705</v>
      </c>
      <c r="J386" s="584">
        <f t="shared" si="172"/>
        <v>-6.5</v>
      </c>
      <c r="K386" s="584">
        <f t="shared" si="172"/>
        <v>5.7000000000000028</v>
      </c>
      <c r="L386" s="589"/>
      <c r="M386" s="589">
        <f t="shared" si="173"/>
        <v>140.43333333333337</v>
      </c>
      <c r="N386" s="589">
        <f t="shared" si="173"/>
        <v>141.53333333333333</v>
      </c>
      <c r="O386" s="589">
        <f t="shared" si="173"/>
        <v>124.96666666666665</v>
      </c>
      <c r="P386" s="584"/>
      <c r="Q386" s="589">
        <f t="shared" ref="Q386:S388" si="175">M386-M385</f>
        <v>0.80000000000001137</v>
      </c>
      <c r="R386" s="589">
        <f t="shared" si="175"/>
        <v>2.6333333333333258</v>
      </c>
      <c r="S386" s="589">
        <f t="shared" si="175"/>
        <v>1.5</v>
      </c>
      <c r="T386" s="589"/>
      <c r="U386" s="589">
        <f t="shared" si="174"/>
        <v>138.14285714285717</v>
      </c>
      <c r="V386" s="589">
        <f t="shared" si="174"/>
        <v>137.04285714285714</v>
      </c>
      <c r="W386" s="589">
        <f t="shared" si="174"/>
        <v>124.04285714285713</v>
      </c>
      <c r="X386" s="589"/>
      <c r="Y386" s="589">
        <f t="shared" ref="Y386:Z388" si="176">U386-U385</f>
        <v>0.47142857142858929</v>
      </c>
      <c r="Z386" s="589">
        <f t="shared" si="176"/>
        <v>0.75714285714286689</v>
      </c>
      <c r="AA386" s="590">
        <f t="shared" si="171"/>
        <v>1.0571428571428498</v>
      </c>
    </row>
    <row r="387" spans="1:27" ht="17.25" customHeight="1">
      <c r="A387" s="870"/>
      <c r="B387" s="870"/>
      <c r="C387" s="779">
        <v>12</v>
      </c>
      <c r="D387" s="592">
        <v>141.1</v>
      </c>
      <c r="E387" s="592">
        <v>138.69999999999999</v>
      </c>
      <c r="F387" s="592">
        <v>127.1</v>
      </c>
      <c r="G387" s="592"/>
      <c r="H387" s="592">
        <v>100</v>
      </c>
      <c r="I387" s="593">
        <f t="shared" ref="I387:K388" si="177">D387-D386</f>
        <v>1</v>
      </c>
      <c r="J387" s="593">
        <f t="shared" si="177"/>
        <v>-1.7000000000000171</v>
      </c>
      <c r="K387" s="593">
        <f t="shared" si="177"/>
        <v>-1.8000000000000114</v>
      </c>
      <c r="L387" s="593"/>
      <c r="M387" s="594">
        <f t="shared" ref="M387:O389" si="178">AVERAGE(D385:D387)</f>
        <v>140.66666666666666</v>
      </c>
      <c r="N387" s="594">
        <f t="shared" si="178"/>
        <v>142</v>
      </c>
      <c r="O387" s="594">
        <f t="shared" si="178"/>
        <v>126.40000000000002</v>
      </c>
      <c r="P387" s="593"/>
      <c r="Q387" s="594">
        <f t="shared" si="175"/>
        <v>0.23333333333329165</v>
      </c>
      <c r="R387" s="594">
        <f t="shared" si="175"/>
        <v>0.46666666666666856</v>
      </c>
      <c r="S387" s="594">
        <f t="shared" si="175"/>
        <v>1.4333333333333655</v>
      </c>
      <c r="T387" s="594"/>
      <c r="U387" s="594">
        <f t="shared" ref="U387:W388" si="179">AVERAGE(D381:D387)</f>
        <v>138.90000000000003</v>
      </c>
      <c r="V387" s="594">
        <f t="shared" si="179"/>
        <v>137.32857142857142</v>
      </c>
      <c r="W387" s="594">
        <f t="shared" si="179"/>
        <v>124.65714285714286</v>
      </c>
      <c r="X387" s="594"/>
      <c r="Y387" s="594">
        <f t="shared" si="176"/>
        <v>0.75714285714286689</v>
      </c>
      <c r="Z387" s="594">
        <f t="shared" si="176"/>
        <v>0.28571428571427759</v>
      </c>
      <c r="AA387" s="595">
        <f>W387-W386</f>
        <v>0.61428571428572809</v>
      </c>
    </row>
    <row r="388" spans="1:27" ht="17.25" customHeight="1">
      <c r="A388" s="479">
        <v>7</v>
      </c>
      <c r="B388" s="760">
        <v>25</v>
      </c>
      <c r="C388" s="957">
        <v>1</v>
      </c>
      <c r="D388" s="597">
        <v>146.30000000000001</v>
      </c>
      <c r="E388" s="597">
        <v>146.4</v>
      </c>
      <c r="F388" s="597">
        <v>128.5</v>
      </c>
      <c r="G388" s="597"/>
      <c r="H388" s="582">
        <v>100</v>
      </c>
      <c r="I388" s="583">
        <f t="shared" si="177"/>
        <v>5.2000000000000171</v>
      </c>
      <c r="J388" s="583">
        <f t="shared" si="177"/>
        <v>7.7000000000000171</v>
      </c>
      <c r="K388" s="583">
        <f t="shared" si="177"/>
        <v>1.4000000000000057</v>
      </c>
      <c r="L388" s="583"/>
      <c r="M388" s="585">
        <f t="shared" si="178"/>
        <v>142.5</v>
      </c>
      <c r="N388" s="585">
        <f t="shared" si="178"/>
        <v>141.83333333333334</v>
      </c>
      <c r="O388" s="585">
        <f t="shared" si="178"/>
        <v>128.16666666666666</v>
      </c>
      <c r="P388" s="583"/>
      <c r="Q388" s="585">
        <f t="shared" si="175"/>
        <v>1.8333333333333428</v>
      </c>
      <c r="R388" s="585">
        <f t="shared" si="175"/>
        <v>-0.16666666666665719</v>
      </c>
      <c r="S388" s="585">
        <f t="shared" si="175"/>
        <v>1.7666666666666373</v>
      </c>
      <c r="T388" s="585"/>
      <c r="U388" s="585">
        <f t="shared" si="179"/>
        <v>140.54285714285714</v>
      </c>
      <c r="V388" s="585">
        <f t="shared" si="179"/>
        <v>138.95714285714286</v>
      </c>
      <c r="W388" s="585">
        <f t="shared" si="179"/>
        <v>124.91428571428571</v>
      </c>
      <c r="X388" s="585"/>
      <c r="Y388" s="585">
        <f t="shared" si="176"/>
        <v>1.6428571428571104</v>
      </c>
      <c r="Z388" s="585">
        <f t="shared" si="176"/>
        <v>1.6285714285714334</v>
      </c>
      <c r="AA388" s="586">
        <f>W388-W387</f>
        <v>0.25714285714285268</v>
      </c>
    </row>
    <row r="389" spans="1:27" ht="17.25" customHeight="1">
      <c r="A389" s="877"/>
      <c r="B389" s="877"/>
      <c r="C389" s="779">
        <v>2</v>
      </c>
      <c r="D389" s="602">
        <v>147.5</v>
      </c>
      <c r="E389" s="602">
        <v>148.1</v>
      </c>
      <c r="F389" s="602">
        <v>127.8</v>
      </c>
      <c r="G389" s="602"/>
      <c r="H389" s="602">
        <v>100</v>
      </c>
      <c r="I389" s="603">
        <f t="shared" ref="I389:K392" si="180">D389-D388</f>
        <v>1.1999999999999886</v>
      </c>
      <c r="J389" s="603">
        <f t="shared" si="180"/>
        <v>1.6999999999999886</v>
      </c>
      <c r="K389" s="603">
        <f t="shared" si="180"/>
        <v>-0.70000000000000284</v>
      </c>
      <c r="L389" s="603"/>
      <c r="M389" s="589">
        <f t="shared" si="178"/>
        <v>144.96666666666667</v>
      </c>
      <c r="N389" s="589">
        <f t="shared" si="178"/>
        <v>144.4</v>
      </c>
      <c r="O389" s="589">
        <f t="shared" si="178"/>
        <v>127.8</v>
      </c>
      <c r="P389" s="603"/>
      <c r="Q389" s="604">
        <f t="shared" ref="Q389:Q396" si="181">M389-M388</f>
        <v>2.4666666666666686</v>
      </c>
      <c r="R389" s="604">
        <f t="shared" ref="R389:R396" si="182">N389-N388</f>
        <v>2.5666666666666629</v>
      </c>
      <c r="S389" s="604">
        <f t="shared" ref="S389:S396" si="183">O389-O388</f>
        <v>-0.36666666666666003</v>
      </c>
      <c r="T389" s="604"/>
      <c r="U389" s="604">
        <f t="shared" ref="U389:W390" si="184">AVERAGE(D383:D389)</f>
        <v>141.98571428571429</v>
      </c>
      <c r="V389" s="604">
        <f t="shared" si="184"/>
        <v>141.47142857142856</v>
      </c>
      <c r="W389" s="604">
        <f t="shared" si="184"/>
        <v>126.1</v>
      </c>
      <c r="X389" s="604"/>
      <c r="Y389" s="604">
        <f t="shared" ref="Y389:Y396" si="185">U389-U388</f>
        <v>1.4428571428571502</v>
      </c>
      <c r="Z389" s="604">
        <f t="shared" ref="Z389:Z396" si="186">V389-V388</f>
        <v>2.5142857142857054</v>
      </c>
      <c r="AA389" s="605">
        <f t="shared" ref="AA389:AA396" si="187">W389-W388</f>
        <v>1.1857142857142833</v>
      </c>
    </row>
    <row r="390" spans="1:27" s="365" customFormat="1" ht="17.25" customHeight="1">
      <c r="A390" s="1272"/>
      <c r="B390" s="1272"/>
      <c r="C390" s="1273">
        <v>3</v>
      </c>
      <c r="D390" s="1274">
        <v>145.30000000000001</v>
      </c>
      <c r="E390" s="1274">
        <v>153.5</v>
      </c>
      <c r="F390" s="1274">
        <v>127.7</v>
      </c>
      <c r="G390" s="1274"/>
      <c r="H390" s="1274">
        <v>100</v>
      </c>
      <c r="I390" s="1275">
        <f t="shared" si="180"/>
        <v>-2.1999999999999886</v>
      </c>
      <c r="J390" s="1275">
        <f t="shared" si="180"/>
        <v>5.4000000000000057</v>
      </c>
      <c r="K390" s="1275">
        <f t="shared" si="180"/>
        <v>-9.9999999999994316E-2</v>
      </c>
      <c r="L390" s="1275"/>
      <c r="M390" s="1230">
        <f t="shared" ref="M390:O391" si="188">AVERAGE(D388:D390)</f>
        <v>146.36666666666667</v>
      </c>
      <c r="N390" s="1230">
        <f t="shared" si="188"/>
        <v>149.33333333333334</v>
      </c>
      <c r="O390" s="1230">
        <f t="shared" si="188"/>
        <v>128</v>
      </c>
      <c r="P390" s="1275"/>
      <c r="Q390" s="1276">
        <f t="shared" si="181"/>
        <v>1.4000000000000057</v>
      </c>
      <c r="R390" s="1276">
        <f t="shared" si="182"/>
        <v>4.9333333333333371</v>
      </c>
      <c r="S390" s="1276">
        <f t="shared" si="183"/>
        <v>0.20000000000000284</v>
      </c>
      <c r="T390" s="1276"/>
      <c r="U390" s="604">
        <f t="shared" si="184"/>
        <v>143.07142857142858</v>
      </c>
      <c r="V390" s="604">
        <f t="shared" si="184"/>
        <v>144.47142857142856</v>
      </c>
      <c r="W390" s="604">
        <f t="shared" si="184"/>
        <v>126.57142857142857</v>
      </c>
      <c r="X390" s="1276"/>
      <c r="Y390" s="1276">
        <f t="shared" si="185"/>
        <v>1.085714285714289</v>
      </c>
      <c r="Z390" s="1276">
        <f t="shared" si="186"/>
        <v>3</v>
      </c>
      <c r="AA390" s="1277">
        <f t="shared" si="187"/>
        <v>0.47142857142857508</v>
      </c>
    </row>
    <row r="391" spans="1:27" ht="17.25" customHeight="1">
      <c r="A391" s="877"/>
      <c r="B391" s="877"/>
      <c r="C391" s="779">
        <v>4</v>
      </c>
      <c r="D391" s="602">
        <v>150.4</v>
      </c>
      <c r="E391" s="602">
        <v>138.80000000000001</v>
      </c>
      <c r="F391" s="602">
        <v>125.3</v>
      </c>
      <c r="G391" s="602"/>
      <c r="H391" s="602">
        <v>100</v>
      </c>
      <c r="I391" s="603">
        <f t="shared" si="180"/>
        <v>5.0999999999999943</v>
      </c>
      <c r="J391" s="603">
        <f t="shared" si="180"/>
        <v>-14.699999999999989</v>
      </c>
      <c r="K391" s="603">
        <f t="shared" si="180"/>
        <v>-2.4000000000000057</v>
      </c>
      <c r="L391" s="603"/>
      <c r="M391" s="1230">
        <f t="shared" si="188"/>
        <v>147.73333333333335</v>
      </c>
      <c r="N391" s="1230">
        <f t="shared" si="188"/>
        <v>146.80000000000001</v>
      </c>
      <c r="O391" s="1230">
        <f t="shared" si="188"/>
        <v>126.93333333333334</v>
      </c>
      <c r="P391" s="1275"/>
      <c r="Q391" s="1276">
        <f>M391-M390</f>
        <v>1.3666666666666742</v>
      </c>
      <c r="R391" s="1276">
        <f>N391-N390</f>
        <v>-2.5333333333333314</v>
      </c>
      <c r="S391" s="1276">
        <f>O391-O390</f>
        <v>-1.0666666666666629</v>
      </c>
      <c r="T391" s="1276"/>
      <c r="U391" s="604">
        <f t="shared" ref="U391:W392" si="189">AVERAGE(D385:D391)</f>
        <v>144.49999999999997</v>
      </c>
      <c r="V391" s="604">
        <f t="shared" si="189"/>
        <v>144.68571428571428</v>
      </c>
      <c r="W391" s="604">
        <f t="shared" si="189"/>
        <v>126.92857142857143</v>
      </c>
      <c r="X391" s="1276"/>
      <c r="Y391" s="1276">
        <f>U391-U390</f>
        <v>1.428571428571388</v>
      </c>
      <c r="Z391" s="1276">
        <f>V391-V390</f>
        <v>0.21428571428572241</v>
      </c>
      <c r="AA391" s="1277">
        <f>W391-W390</f>
        <v>0.3571428571428612</v>
      </c>
    </row>
    <row r="392" spans="1:27" ht="17.25" customHeight="1">
      <c r="A392" s="877"/>
      <c r="B392" s="877"/>
      <c r="C392" s="1193">
        <v>5</v>
      </c>
      <c r="D392" s="602">
        <v>141.19999999999999</v>
      </c>
      <c r="E392" s="602">
        <v>141</v>
      </c>
      <c r="F392" s="602">
        <v>123.9</v>
      </c>
      <c r="G392" s="602"/>
      <c r="H392" s="602">
        <v>100</v>
      </c>
      <c r="I392" s="603">
        <f t="shared" si="180"/>
        <v>-9.2000000000000171</v>
      </c>
      <c r="J392" s="603">
        <f t="shared" si="180"/>
        <v>2.1999999999999886</v>
      </c>
      <c r="K392" s="603">
        <f t="shared" si="180"/>
        <v>-1.3999999999999915</v>
      </c>
      <c r="L392" s="603"/>
      <c r="M392" s="1230">
        <f t="shared" ref="M392:O393" si="190">AVERAGE(D390:D392)</f>
        <v>145.63333333333335</v>
      </c>
      <c r="N392" s="1230">
        <f t="shared" si="190"/>
        <v>144.43333333333334</v>
      </c>
      <c r="O392" s="1230">
        <f t="shared" si="190"/>
        <v>125.63333333333333</v>
      </c>
      <c r="P392" s="603"/>
      <c r="Q392" s="604">
        <f t="shared" si="181"/>
        <v>-2.0999999999999943</v>
      </c>
      <c r="R392" s="604">
        <f t="shared" si="182"/>
        <v>-2.3666666666666742</v>
      </c>
      <c r="S392" s="604">
        <f t="shared" si="183"/>
        <v>-1.3000000000000114</v>
      </c>
      <c r="T392" s="604"/>
      <c r="U392" s="604">
        <f t="shared" si="189"/>
        <v>144.55714285714285</v>
      </c>
      <c r="V392" s="604">
        <f t="shared" si="189"/>
        <v>143.84285714285716</v>
      </c>
      <c r="W392" s="604">
        <f t="shared" si="189"/>
        <v>127.02857142857142</v>
      </c>
      <c r="X392" s="604"/>
      <c r="Y392" s="604">
        <f t="shared" si="185"/>
        <v>5.7142857142878256E-2</v>
      </c>
      <c r="Z392" s="604">
        <f t="shared" si="186"/>
        <v>-0.84285714285712743</v>
      </c>
      <c r="AA392" s="605">
        <f t="shared" si="187"/>
        <v>9.9999999999994316E-2</v>
      </c>
    </row>
    <row r="393" spans="1:27" ht="17.25" customHeight="1">
      <c r="A393" s="877"/>
      <c r="B393" s="877"/>
      <c r="C393" s="1193">
        <v>6</v>
      </c>
      <c r="D393" s="602">
        <v>155.69999999999999</v>
      </c>
      <c r="E393" s="602">
        <v>141.30000000000001</v>
      </c>
      <c r="F393" s="602">
        <v>123.9</v>
      </c>
      <c r="G393" s="602"/>
      <c r="H393" s="602">
        <v>100</v>
      </c>
      <c r="I393" s="603">
        <f t="shared" ref="I393:K396" si="191">D393-D392</f>
        <v>14.5</v>
      </c>
      <c r="J393" s="603">
        <f t="shared" si="191"/>
        <v>0.30000000000001137</v>
      </c>
      <c r="K393" s="603">
        <f t="shared" si="191"/>
        <v>0</v>
      </c>
      <c r="L393" s="603"/>
      <c r="M393" s="1230">
        <f t="shared" si="190"/>
        <v>149.1</v>
      </c>
      <c r="N393" s="1230">
        <f t="shared" si="190"/>
        <v>140.36666666666667</v>
      </c>
      <c r="O393" s="1230">
        <f t="shared" si="190"/>
        <v>124.36666666666667</v>
      </c>
      <c r="P393" s="603"/>
      <c r="Q393" s="604">
        <f t="shared" si="181"/>
        <v>3.4666666666666401</v>
      </c>
      <c r="R393" s="604">
        <f t="shared" si="182"/>
        <v>-4.0666666666666629</v>
      </c>
      <c r="S393" s="604">
        <f t="shared" si="183"/>
        <v>-1.2666666666666515</v>
      </c>
      <c r="T393" s="604"/>
      <c r="U393" s="604">
        <f t="shared" ref="U393:W394" si="192">AVERAGE(D387:D393)</f>
        <v>146.78571428571428</v>
      </c>
      <c r="V393" s="604">
        <f t="shared" si="192"/>
        <v>143.97142857142856</v>
      </c>
      <c r="W393" s="604">
        <f t="shared" si="192"/>
        <v>126.3142857142857</v>
      </c>
      <c r="X393" s="604"/>
      <c r="Y393" s="604">
        <f t="shared" si="185"/>
        <v>2.2285714285714278</v>
      </c>
      <c r="Z393" s="604">
        <f t="shared" si="186"/>
        <v>0.12857142857140502</v>
      </c>
      <c r="AA393" s="605">
        <f t="shared" si="187"/>
        <v>-0.71428571428572241</v>
      </c>
    </row>
    <row r="394" spans="1:27" ht="17.25" customHeight="1">
      <c r="A394" s="877"/>
      <c r="B394" s="877"/>
      <c r="C394" s="1193">
        <v>7</v>
      </c>
      <c r="D394" s="602">
        <v>148.9</v>
      </c>
      <c r="E394" s="602">
        <v>133.5</v>
      </c>
      <c r="F394" s="602">
        <v>125.1</v>
      </c>
      <c r="G394" s="602"/>
      <c r="H394" s="602">
        <v>100</v>
      </c>
      <c r="I394" s="603">
        <f t="shared" si="191"/>
        <v>-6.7999999999999829</v>
      </c>
      <c r="J394" s="603">
        <f t="shared" si="191"/>
        <v>-7.8000000000000114</v>
      </c>
      <c r="K394" s="603">
        <f t="shared" si="191"/>
        <v>1.1999999999999886</v>
      </c>
      <c r="L394" s="603"/>
      <c r="M394" s="1230">
        <f t="shared" ref="M394" si="193">AVERAGE(D392:D394)</f>
        <v>148.6</v>
      </c>
      <c r="N394" s="1230">
        <f t="shared" ref="N394" si="194">AVERAGE(E392:E394)</f>
        <v>138.6</v>
      </c>
      <c r="O394" s="1230">
        <f t="shared" ref="O394" si="195">AVERAGE(F392:F394)</f>
        <v>124.3</v>
      </c>
      <c r="P394" s="603"/>
      <c r="Q394" s="604">
        <f t="shared" si="181"/>
        <v>-0.5</v>
      </c>
      <c r="R394" s="604">
        <f t="shared" si="182"/>
        <v>-1.7666666666666799</v>
      </c>
      <c r="S394" s="604">
        <f t="shared" si="183"/>
        <v>-6.6666666666677088E-2</v>
      </c>
      <c r="T394" s="604"/>
      <c r="U394" s="604">
        <f t="shared" si="192"/>
        <v>147.90000000000003</v>
      </c>
      <c r="V394" s="604">
        <f t="shared" si="192"/>
        <v>143.22857142857143</v>
      </c>
      <c r="W394" s="604">
        <f t="shared" si="192"/>
        <v>126.02857142857144</v>
      </c>
      <c r="X394" s="604"/>
      <c r="Y394" s="604">
        <f t="shared" si="185"/>
        <v>1.1142857142857565</v>
      </c>
      <c r="Z394" s="604">
        <f t="shared" si="186"/>
        <v>-0.74285714285713311</v>
      </c>
      <c r="AA394" s="605">
        <f t="shared" si="187"/>
        <v>-0.28571428571426338</v>
      </c>
    </row>
    <row r="395" spans="1:27" ht="17.25" customHeight="1">
      <c r="A395" s="877"/>
      <c r="B395" s="877"/>
      <c r="C395" s="1193">
        <v>8</v>
      </c>
      <c r="D395" s="602">
        <v>146.6</v>
      </c>
      <c r="E395" s="602">
        <v>131.5</v>
      </c>
      <c r="F395" s="602">
        <v>118.6</v>
      </c>
      <c r="G395" s="602"/>
      <c r="H395" s="602">
        <v>100</v>
      </c>
      <c r="I395" s="603">
        <f t="shared" si="191"/>
        <v>-2.3000000000000114</v>
      </c>
      <c r="J395" s="603">
        <f t="shared" si="191"/>
        <v>-2</v>
      </c>
      <c r="K395" s="603">
        <f t="shared" si="191"/>
        <v>-6.5</v>
      </c>
      <c r="L395" s="603"/>
      <c r="M395" s="1230">
        <f t="shared" ref="M395:O396" si="196">AVERAGE(D393:D395)</f>
        <v>150.4</v>
      </c>
      <c r="N395" s="1230">
        <f t="shared" si="196"/>
        <v>135.43333333333334</v>
      </c>
      <c r="O395" s="1230">
        <f t="shared" si="196"/>
        <v>122.53333333333335</v>
      </c>
      <c r="P395" s="603"/>
      <c r="Q395" s="604">
        <f t="shared" si="181"/>
        <v>1.8000000000000114</v>
      </c>
      <c r="R395" s="604">
        <f t="shared" si="182"/>
        <v>-3.1666666666666572</v>
      </c>
      <c r="S395" s="604">
        <f t="shared" si="183"/>
        <v>-1.7666666666666515</v>
      </c>
      <c r="T395" s="604"/>
      <c r="U395" s="604">
        <f t="shared" ref="U395:W396" si="197">AVERAGE(D389:D395)</f>
        <v>147.94285714285715</v>
      </c>
      <c r="V395" s="604">
        <f t="shared" si="197"/>
        <v>141.1</v>
      </c>
      <c r="W395" s="604">
        <f t="shared" si="197"/>
        <v>124.61428571428573</v>
      </c>
      <c r="X395" s="604"/>
      <c r="Y395" s="604">
        <f t="shared" si="185"/>
        <v>4.285714285711606E-2</v>
      </c>
      <c r="Z395" s="604">
        <f t="shared" si="186"/>
        <v>-2.1285714285714334</v>
      </c>
      <c r="AA395" s="605">
        <f t="shared" si="187"/>
        <v>-1.414285714285711</v>
      </c>
    </row>
    <row r="396" spans="1:27" ht="17.25" customHeight="1">
      <c r="A396" s="877"/>
      <c r="B396" s="877"/>
      <c r="C396" s="1193">
        <v>9</v>
      </c>
      <c r="D396" s="602">
        <v>150.9</v>
      </c>
      <c r="E396" s="602">
        <v>132.1</v>
      </c>
      <c r="F396" s="602">
        <v>119.8</v>
      </c>
      <c r="G396" s="602"/>
      <c r="H396" s="602">
        <v>100</v>
      </c>
      <c r="I396" s="603">
        <f t="shared" si="191"/>
        <v>4.3000000000000114</v>
      </c>
      <c r="J396" s="603">
        <f t="shared" si="191"/>
        <v>0.59999999999999432</v>
      </c>
      <c r="K396" s="603">
        <f t="shared" si="191"/>
        <v>1.2000000000000028</v>
      </c>
      <c r="L396" s="603"/>
      <c r="M396" s="1230">
        <f t="shared" si="196"/>
        <v>148.79999999999998</v>
      </c>
      <c r="N396" s="1230">
        <f t="shared" si="196"/>
        <v>132.36666666666667</v>
      </c>
      <c r="O396" s="1230">
        <f t="shared" si="196"/>
        <v>121.16666666666667</v>
      </c>
      <c r="P396" s="603"/>
      <c r="Q396" s="604">
        <f t="shared" si="181"/>
        <v>-1.6000000000000227</v>
      </c>
      <c r="R396" s="604">
        <f t="shared" si="182"/>
        <v>-3.0666666666666629</v>
      </c>
      <c r="S396" s="604">
        <f t="shared" si="183"/>
        <v>-1.3666666666666742</v>
      </c>
      <c r="T396" s="604"/>
      <c r="U396" s="604">
        <f t="shared" si="197"/>
        <v>148.42857142857142</v>
      </c>
      <c r="V396" s="604">
        <f t="shared" si="197"/>
        <v>138.81428571428572</v>
      </c>
      <c r="W396" s="604">
        <f t="shared" si="197"/>
        <v>123.47142857142856</v>
      </c>
      <c r="X396" s="604"/>
      <c r="Y396" s="604">
        <f t="shared" si="185"/>
        <v>0.48571428571426623</v>
      </c>
      <c r="Z396" s="604">
        <f t="shared" si="186"/>
        <v>-2.2857142857142776</v>
      </c>
      <c r="AA396" s="605">
        <f t="shared" si="187"/>
        <v>-1.1428571428571672</v>
      </c>
    </row>
    <row r="397" spans="1:27" ht="17.25" customHeight="1">
      <c r="A397" s="877"/>
      <c r="B397" s="877"/>
      <c r="C397" s="1193">
        <v>10</v>
      </c>
      <c r="D397" s="602">
        <v>150.6</v>
      </c>
      <c r="E397" s="602">
        <v>132.69999999999999</v>
      </c>
      <c r="F397" s="602">
        <v>122.1</v>
      </c>
      <c r="G397" s="602"/>
      <c r="H397" s="602">
        <v>100</v>
      </c>
      <c r="I397" s="603">
        <f t="shared" ref="I397" si="198">D397-D396</f>
        <v>-0.30000000000001137</v>
      </c>
      <c r="J397" s="603">
        <f t="shared" ref="J397" si="199">E397-E396</f>
        <v>0.59999999999999432</v>
      </c>
      <c r="K397" s="603">
        <f t="shared" ref="K397" si="200">F397-F396</f>
        <v>2.2999999999999972</v>
      </c>
      <c r="L397" s="603"/>
      <c r="M397" s="603">
        <f>AVERAGE(D395:D397)</f>
        <v>149.36666666666667</v>
      </c>
      <c r="N397" s="603">
        <f t="shared" ref="N397" si="201">AVERAGE(E395:E397)</f>
        <v>132.1</v>
      </c>
      <c r="O397" s="603">
        <f t="shared" ref="O397" si="202">AVERAGE(F395:F397)</f>
        <v>120.16666666666667</v>
      </c>
      <c r="P397" s="603"/>
      <c r="Q397" s="604">
        <f t="shared" ref="Q397" si="203">M397-M396</f>
        <v>0.5666666666666913</v>
      </c>
      <c r="R397" s="604">
        <f t="shared" ref="R397" si="204">N397-N396</f>
        <v>-0.26666666666667993</v>
      </c>
      <c r="S397" s="604">
        <f t="shared" ref="S397" si="205">O397-O396</f>
        <v>-1</v>
      </c>
      <c r="T397" s="604"/>
      <c r="U397" s="604">
        <f t="shared" ref="U397" si="206">AVERAGE(D391:D397)</f>
        <v>149.18571428571428</v>
      </c>
      <c r="V397" s="604">
        <f t="shared" ref="V397" si="207">AVERAGE(E391:E397)</f>
        <v>135.84285714285716</v>
      </c>
      <c r="W397" s="604">
        <f t="shared" ref="W397" si="208">AVERAGE(F391:F397)</f>
        <v>122.67142857142858</v>
      </c>
      <c r="X397" s="604"/>
      <c r="Y397" s="604">
        <f t="shared" ref="Y397" si="209">U397-U396</f>
        <v>0.75714285714286689</v>
      </c>
      <c r="Z397" s="604">
        <f t="shared" ref="Z397" si="210">V397-V396</f>
        <v>-2.9714285714285609</v>
      </c>
      <c r="AA397" s="605">
        <f t="shared" ref="AA397" si="211">W397-W396</f>
        <v>-0.79999999999998295</v>
      </c>
    </row>
    <row r="398" spans="1:27" ht="17.25" customHeight="1">
      <c r="A398" s="877"/>
      <c r="B398" s="877"/>
      <c r="C398" s="1193">
        <v>11</v>
      </c>
      <c r="D398" s="602">
        <v>153.9</v>
      </c>
      <c r="E398" s="602">
        <v>138.19999999999999</v>
      </c>
      <c r="F398" s="602">
        <v>125.6</v>
      </c>
      <c r="G398" s="602"/>
      <c r="H398" s="602">
        <v>100</v>
      </c>
      <c r="I398" s="603">
        <f>D398-D397</f>
        <v>3.3000000000000114</v>
      </c>
      <c r="J398" s="603">
        <f>E398-E397</f>
        <v>5.5</v>
      </c>
      <c r="K398" s="603">
        <f t="shared" ref="K398" si="212">F398-F397</f>
        <v>3.5</v>
      </c>
      <c r="L398" s="603"/>
      <c r="M398" s="603">
        <f>AVERAGE(D396:D398)</f>
        <v>151.79999999999998</v>
      </c>
      <c r="N398" s="603">
        <f t="shared" ref="N398" si="213">AVERAGE(E396:E398)</f>
        <v>134.33333333333331</v>
      </c>
      <c r="O398" s="603">
        <f t="shared" ref="O398" si="214">AVERAGE(F396:F398)</f>
        <v>122.5</v>
      </c>
      <c r="P398" s="603"/>
      <c r="Q398" s="604">
        <f t="shared" ref="Q398" si="215">M398-M397</f>
        <v>2.4333333333333087</v>
      </c>
      <c r="R398" s="604">
        <f t="shared" ref="R398" si="216">N398-N397</f>
        <v>2.2333333333333201</v>
      </c>
      <c r="S398" s="604">
        <f t="shared" ref="S398" si="217">O398-O397</f>
        <v>2.3333333333333286</v>
      </c>
      <c r="T398" s="604"/>
      <c r="U398" s="604">
        <f t="shared" ref="U398" si="218">AVERAGE(D392:D398)</f>
        <v>149.68571428571428</v>
      </c>
      <c r="V398" s="604">
        <f t="shared" ref="V398" si="219">AVERAGE(E392:E398)</f>
        <v>135.75714285714284</v>
      </c>
      <c r="W398" s="604">
        <f t="shared" ref="W398" si="220">AVERAGE(F392:F398)</f>
        <v>122.71428571428571</v>
      </c>
      <c r="X398" s="604"/>
      <c r="Y398" s="604">
        <f t="shared" ref="Y398" si="221">U398-U397</f>
        <v>0.5</v>
      </c>
      <c r="Z398" s="604">
        <f t="shared" ref="Z398" si="222">V398-V397</f>
        <v>-8.5714285714317384E-2</v>
      </c>
      <c r="AA398" s="605">
        <f t="shared" ref="AA398" si="223">W398-W397</f>
        <v>4.285714285713027E-2</v>
      </c>
    </row>
    <row r="399" spans="1:27" ht="17.25" customHeight="1">
      <c r="A399" s="870"/>
      <c r="B399" s="870"/>
      <c r="C399" s="871">
        <v>12</v>
      </c>
      <c r="D399" s="592"/>
      <c r="E399" s="592"/>
      <c r="F399" s="592"/>
      <c r="G399" s="592"/>
      <c r="H399" s="592">
        <v>100</v>
      </c>
      <c r="I399" s="593"/>
      <c r="J399" s="593"/>
      <c r="K399" s="593"/>
      <c r="L399" s="593"/>
      <c r="M399" s="593"/>
      <c r="N399" s="593"/>
      <c r="O399" s="593"/>
      <c r="P399" s="593"/>
      <c r="Q399" s="594"/>
      <c r="R399" s="594"/>
      <c r="S399" s="594"/>
      <c r="T399" s="594"/>
      <c r="U399" s="594"/>
      <c r="V399" s="594"/>
      <c r="W399" s="594"/>
      <c r="X399" s="594"/>
      <c r="Y399" s="594"/>
      <c r="Z399" s="594"/>
      <c r="AA399" s="595"/>
    </row>
    <row r="400" spans="1:27" ht="17.25" customHeight="1">
      <c r="A400" s="308"/>
      <c r="B400" s="308"/>
      <c r="C400" s="309"/>
      <c r="D400" s="300"/>
      <c r="E400" s="300"/>
      <c r="F400" s="304"/>
      <c r="G400" s="304"/>
      <c r="H400" s="304"/>
      <c r="I400" s="583">
        <f>D400-D399</f>
        <v>0</v>
      </c>
      <c r="J400" s="583">
        <f>E400-E399</f>
        <v>0</v>
      </c>
      <c r="K400" s="583">
        <f>F400-F399</f>
        <v>0</v>
      </c>
      <c r="L400" s="583"/>
      <c r="M400" s="585">
        <f>AVERAGE(D398:D400)</f>
        <v>153.9</v>
      </c>
      <c r="N400" s="585">
        <f>AVERAGE(E398:E400)</f>
        <v>138.19999999999999</v>
      </c>
      <c r="O400" s="585">
        <f>AVERAGE(F398:F400)</f>
        <v>125.6</v>
      </c>
      <c r="P400" s="583"/>
      <c r="Q400" s="585">
        <f>M400-M399</f>
        <v>153.9</v>
      </c>
      <c r="R400" s="585">
        <f>N400-N399</f>
        <v>138.19999999999999</v>
      </c>
      <c r="S400" s="585">
        <f>O400-O399</f>
        <v>125.6</v>
      </c>
      <c r="T400" s="585"/>
      <c r="U400" s="585">
        <f>AVERAGE(D394:D400)</f>
        <v>150.18</v>
      </c>
      <c r="V400" s="585">
        <f>AVERAGE(E394:E400)</f>
        <v>133.6</v>
      </c>
      <c r="W400" s="585">
        <f>AVERAGE(F394:F400)</f>
        <v>122.24000000000001</v>
      </c>
      <c r="X400" s="585"/>
      <c r="Y400" s="585">
        <f>U400-U399</f>
        <v>150.18</v>
      </c>
      <c r="Z400" s="585">
        <f>V400-V399</f>
        <v>133.6</v>
      </c>
      <c r="AA400" s="586">
        <f>W400-W399</f>
        <v>122.24000000000001</v>
      </c>
    </row>
    <row r="401" spans="1:27">
      <c r="C401" s="214"/>
      <c r="D401" s="302"/>
      <c r="E401" s="302"/>
      <c r="F401" s="302"/>
      <c r="G401" s="301"/>
      <c r="H401" s="301"/>
      <c r="I401" s="302"/>
      <c r="J401" s="302"/>
      <c r="K401" s="302"/>
      <c r="L401" s="302"/>
      <c r="M401" s="302"/>
      <c r="N401" s="302"/>
      <c r="O401" s="302"/>
      <c r="P401" s="302"/>
      <c r="Q401" s="302"/>
      <c r="R401" s="302"/>
      <c r="S401" s="302"/>
      <c r="T401" s="302"/>
      <c r="U401" s="302"/>
      <c r="V401" s="302"/>
      <c r="W401" s="302"/>
      <c r="X401" s="302"/>
      <c r="Y401" s="302"/>
      <c r="Z401" s="301"/>
      <c r="AA401" s="305"/>
    </row>
    <row r="402" spans="1:27">
      <c r="D402" s="302"/>
      <c r="E402" s="302"/>
      <c r="F402" s="302"/>
      <c r="G402" s="301"/>
      <c r="H402" s="301"/>
      <c r="I402" s="302"/>
      <c r="J402" s="302"/>
      <c r="K402" s="302"/>
      <c r="L402" s="302"/>
      <c r="M402" s="302"/>
      <c r="N402" s="302"/>
      <c r="O402" s="302"/>
      <c r="P402" s="302"/>
      <c r="Q402" s="302"/>
      <c r="R402" s="302"/>
      <c r="S402" s="302"/>
      <c r="T402" s="302"/>
      <c r="U402" s="302"/>
      <c r="V402" s="302"/>
      <c r="W402" s="302"/>
      <c r="X402" s="302"/>
      <c r="Y402" s="302"/>
      <c r="Z402" s="302"/>
      <c r="AA402" s="305"/>
    </row>
    <row r="403" spans="1:27" ht="15" thickBot="1">
      <c r="D403" s="306"/>
      <c r="E403" s="306"/>
      <c r="F403" s="306"/>
      <c r="G403" s="303"/>
      <c r="H403" s="303"/>
      <c r="I403" s="306"/>
      <c r="J403" s="306"/>
      <c r="K403" s="306"/>
      <c r="L403" s="306"/>
      <c r="M403" s="306"/>
      <c r="N403" s="306"/>
      <c r="O403" s="306"/>
      <c r="P403" s="306"/>
      <c r="Q403" s="306"/>
      <c r="R403" s="306"/>
      <c r="S403" s="306"/>
      <c r="T403" s="1188"/>
      <c r="U403" s="306"/>
      <c r="V403" s="306"/>
      <c r="W403" s="306"/>
      <c r="X403" s="306"/>
      <c r="Y403" s="306"/>
      <c r="Z403" s="306"/>
      <c r="AA403" s="307"/>
    </row>
    <row r="404" spans="1:27" s="322" customFormat="1" ht="17.100000000000001" customHeight="1" thickBot="1">
      <c r="A404" s="1751" t="s">
        <v>312</v>
      </c>
      <c r="B404" s="1750"/>
      <c r="C404" s="1752"/>
      <c r="D404" s="759">
        <f ca="1">INDIRECT("D"&amp;(初期登録!$B$10+30)*12+初期登録!$D$10+5-67)</f>
        <v>155.69999999999999</v>
      </c>
      <c r="E404" s="314">
        <f ca="1">INDIRECT("E"&amp;(初期登録!$B$10+30)*12+初期登録!$D$10+5-67)</f>
        <v>141.30000000000001</v>
      </c>
      <c r="F404" s="314">
        <f ca="1">INDIRECT("F"&amp;(初期登録!$B$10+30)*12+初期登録!$D$10+5-67)</f>
        <v>123.9</v>
      </c>
      <c r="G404" s="337"/>
      <c r="H404" s="337"/>
      <c r="I404" s="315">
        <f ca="1">INDIRECT("I"&amp;(初期登録!$B$10+30)*12+初期登録!$D$10+5-67)</f>
        <v>14.5</v>
      </c>
      <c r="J404" s="315">
        <f ca="1">INDIRECT("J"&amp;(初期登録!$B$10+30)*12+初期登録!$D$10+5-67)</f>
        <v>0.30000000000001137</v>
      </c>
      <c r="K404" s="315">
        <f ca="1">INDIRECT("K"&amp;(初期登録!$B$10+30)*12+初期登録!$D$10+5-67)</f>
        <v>0</v>
      </c>
      <c r="M404" s="314">
        <f ca="1">INDIRECT("M"&amp;(初期登録!$B$10+30)*12+初期登録!$D$10+5-67)</f>
        <v>149.1</v>
      </c>
      <c r="N404" s="314">
        <f ca="1">INDIRECT("N"&amp;(初期登録!$B$10+30)*12+初期登録!$D$10+5-67)</f>
        <v>140.36666666666667</v>
      </c>
      <c r="O404" s="314">
        <f ca="1">INDIRECT("O"&amp;(初期登録!$B$10+30)*12+初期登録!$D$10+5-67)</f>
        <v>124.36666666666667</v>
      </c>
      <c r="P404" s="377"/>
      <c r="Q404" s="315">
        <f ca="1">INDIRECT("Q"&amp;(初期登録!$B$10+30)*12+初期登録!$D$10+5-67)</f>
        <v>3.4666666666666401</v>
      </c>
      <c r="R404" s="315">
        <f ca="1">INDIRECT("R"&amp;(初期登録!$B$10+30)*12+初期登録!$D$10+5-67)</f>
        <v>-4.0666666666666629</v>
      </c>
      <c r="S404" s="315">
        <f ca="1">INDIRECT("S"&amp;(初期登録!$B$10+30)*12+初期登録!$D$10+5-67)</f>
        <v>-1.2666666666666515</v>
      </c>
      <c r="T404" s="1223">
        <f t="shared" ref="T404:T409" si="224">AVERAGE(D371:D377)</f>
        <v>133.34285714285716</v>
      </c>
      <c r="U404" s="314">
        <f ca="1">INDIRECT("U"&amp;(初期登録!$B$10+30)*12+初期登録!$D$10+5-67)</f>
        <v>146.78571428571428</v>
      </c>
      <c r="V404" s="314">
        <f ca="1">INDIRECT("V"&amp;(初期登録!$B$10+30)*12+初期登録!$D$10+5-67)</f>
        <v>143.97142857142856</v>
      </c>
      <c r="W404" s="314">
        <f ca="1">INDIRECT("W"&amp;(初期登録!$B$10+30)*12+初期登録!$D$10+5-67)</f>
        <v>126.3142857142857</v>
      </c>
      <c r="Y404" s="315">
        <f ca="1">INDIRECT("Y"&amp;(初期登録!$B$10+30)*12+初期登録!$D$10+5-67)</f>
        <v>2.2285714285714278</v>
      </c>
      <c r="Z404" s="315">
        <f ca="1">INDIRECT("Z"&amp;(初期登録!$B$10+30)*12+初期登録!$D$10+5-67)</f>
        <v>0.12857142857140502</v>
      </c>
      <c r="AA404" s="315">
        <f ca="1">INDIRECT("AA"&amp;(初期登録!$B$10+30)*12+初期登録!$D$10+5-67)</f>
        <v>-0.71428571428572241</v>
      </c>
    </row>
    <row r="405" spans="1:27" s="322" customFormat="1" ht="17.100000000000001" customHeight="1" thickBot="1">
      <c r="A405" s="1751" t="s">
        <v>311</v>
      </c>
      <c r="B405" s="1750"/>
      <c r="C405" s="1752"/>
      <c r="D405" s="759">
        <f ca="1">INDIRECT("D"&amp;(初期登録!$B$10+30)*12+初期登録!$D$10+5-66)</f>
        <v>148.9</v>
      </c>
      <c r="E405" s="314">
        <f ca="1">INDIRECT("E"&amp;(初期登録!$B$10+30)*12+初期登録!$D$10+5-66)</f>
        <v>133.5</v>
      </c>
      <c r="F405" s="314">
        <f ca="1">INDIRECT("F"&amp;(初期登録!$B$10+30)*12+初期登録!$D$10+5-66)</f>
        <v>125.1</v>
      </c>
      <c r="G405" s="337"/>
      <c r="H405" s="337"/>
      <c r="I405" s="315">
        <f ca="1">INDIRECT("I"&amp;(初期登録!$B$10+30)*12+初期登録!$D$10+5-66)</f>
        <v>-6.7999999999999829</v>
      </c>
      <c r="J405" s="315">
        <f ca="1">INDIRECT("J"&amp;(初期登録!$B$10+30)*12+初期登録!$D$10+5-66)</f>
        <v>-7.8000000000000114</v>
      </c>
      <c r="K405" s="315">
        <f ca="1">INDIRECT("K"&amp;(初期登録!$B$10+30)*12+初期登録!$D$10+5-66)</f>
        <v>1.1999999999999886</v>
      </c>
      <c r="M405" s="314">
        <f ca="1">INDIRECT("M"&amp;(初期登録!$B$10+30)*12+初期登録!$D$10+5-66)</f>
        <v>148.6</v>
      </c>
      <c r="N405" s="314">
        <f ca="1">INDIRECT("N"&amp;(初期登録!$B$10+30)*12+初期登録!$D$10+5-66)</f>
        <v>138.6</v>
      </c>
      <c r="O405" s="314">
        <f ca="1">INDIRECT("O"&amp;(初期登録!$B$10+30)*12+初期登録!$D$10+5-66)</f>
        <v>124.3</v>
      </c>
      <c r="Q405" s="315">
        <f ca="1">INDIRECT("Q"&amp;(初期登録!$B$10+30)*12+初期登録!$D$10+5-66)</f>
        <v>-0.5</v>
      </c>
      <c r="R405" s="315">
        <f ca="1">INDIRECT("R"&amp;(初期登録!$B$10+30)*12+初期登録!$D$10+5-66)</f>
        <v>-1.7666666666666799</v>
      </c>
      <c r="S405" s="315">
        <f ca="1">INDIRECT("S"&amp;(初期登録!$B$10+30)*12+初期登録!$D$10+5-66)</f>
        <v>-6.6666666666677088E-2</v>
      </c>
      <c r="T405" s="1223">
        <f t="shared" si="224"/>
        <v>133.18571428571428</v>
      </c>
      <c r="U405" s="314">
        <f ca="1">INDIRECT("U"&amp;(初期登録!$B$10+30)*12+初期登録!$D$10+5-66)</f>
        <v>147.90000000000003</v>
      </c>
      <c r="V405" s="314">
        <f ca="1">INDIRECT("V"&amp;(初期登録!$B$10+30)*12+初期登録!$D$10+5-66)</f>
        <v>143.22857142857143</v>
      </c>
      <c r="W405" s="314">
        <f ca="1">INDIRECT("W"&amp;(初期登録!$B$10+30)*12+初期登録!$D$10+5-66)</f>
        <v>126.02857142857144</v>
      </c>
      <c r="Y405" s="315">
        <f ca="1">INDIRECT("Y"&amp;(初期登録!$B$10+30)*12+初期登録!$D$10+5-66)</f>
        <v>1.1142857142857565</v>
      </c>
      <c r="Z405" s="315">
        <f ca="1">INDIRECT("Z"&amp;(初期登録!$B$10+30)*12+初期登録!$D$10+5-66)</f>
        <v>-0.74285714285713311</v>
      </c>
      <c r="AA405" s="315">
        <f ca="1">INDIRECT("AA"&amp;(初期登録!$B$10+30)*12+初期登録!$D$10+5-66)</f>
        <v>-0.28571428571426338</v>
      </c>
    </row>
    <row r="406" spans="1:27" s="322" customFormat="1" ht="17.100000000000001" customHeight="1" thickBot="1">
      <c r="A406" s="1751" t="s">
        <v>310</v>
      </c>
      <c r="B406" s="1750"/>
      <c r="C406" s="1752"/>
      <c r="D406" s="759">
        <f ca="1">INDIRECT("D"&amp;(初期登録!$B$10+30)*12+初期登録!$D$10+5-65)</f>
        <v>146.6</v>
      </c>
      <c r="E406" s="314">
        <f ca="1">INDIRECT("E"&amp;(初期登録!$B$10+30)*12+初期登録!$D$10+5-65)</f>
        <v>131.5</v>
      </c>
      <c r="F406" s="314">
        <f ca="1">INDIRECT("F"&amp;(初期登録!$B$10+30)*12+初期登録!$D$10+5-65)</f>
        <v>118.6</v>
      </c>
      <c r="G406" s="337"/>
      <c r="H406" s="337"/>
      <c r="I406" s="315">
        <f ca="1">INDIRECT("I"&amp;(初期登録!$B$10+30)*12+初期登録!$D$10+5-65)</f>
        <v>-2.3000000000000114</v>
      </c>
      <c r="J406" s="315">
        <f ca="1">INDIRECT("J"&amp;(初期登録!$B$10+30)*12+初期登録!$D$10+5-65)</f>
        <v>-2</v>
      </c>
      <c r="K406" s="315">
        <f ca="1">INDIRECT("K"&amp;(初期登録!$B$10+30)*12+初期登録!$D$10+5-65)</f>
        <v>-6.5</v>
      </c>
      <c r="M406" s="314">
        <f ca="1">INDIRECT("M"&amp;(初期登録!$B$10+30)*12+初期登録!$D$10+5-65)</f>
        <v>150.4</v>
      </c>
      <c r="N406" s="314">
        <f ca="1">INDIRECT("N"&amp;(初期登録!$B$10+30)*12+初期登録!$D$10+5-65)</f>
        <v>135.43333333333334</v>
      </c>
      <c r="O406" s="314">
        <f ca="1">INDIRECT("O"&amp;(初期登録!$B$10+30)*12+初期登録!$D$10+5-65)</f>
        <v>122.53333333333335</v>
      </c>
      <c r="Q406" s="315">
        <f ca="1">INDIRECT("Q"&amp;(初期登録!$B$10+30)*12+初期登録!$D$10+5-65)</f>
        <v>1.8000000000000114</v>
      </c>
      <c r="R406" s="315">
        <f ca="1">INDIRECT("R"&amp;(初期登録!$B$10+30)*12+初期登録!$D$10+5-65)</f>
        <v>-3.1666666666666572</v>
      </c>
      <c r="S406" s="315">
        <f ca="1">INDIRECT("S"&amp;(初期登録!$B$10+30)*12+初期登録!$D$10+5-65)</f>
        <v>-1.7666666666666515</v>
      </c>
      <c r="T406" s="1223">
        <f t="shared" si="224"/>
        <v>132.87142857142857</v>
      </c>
      <c r="U406" s="314">
        <f ca="1">INDIRECT("U"&amp;(初期登録!$B$10+30)*12+初期登録!$D$10+5-65)</f>
        <v>147.94285714285715</v>
      </c>
      <c r="V406" s="314">
        <f ca="1">INDIRECT("V"&amp;(初期登録!$B$10+30)*12+初期登録!$D$10+5-65)</f>
        <v>141.1</v>
      </c>
      <c r="W406" s="314">
        <f ca="1">INDIRECT("W"&amp;(初期登録!$B$10+30)*12+初期登録!$D$10+5-65)</f>
        <v>124.61428571428573</v>
      </c>
      <c r="Y406" s="315">
        <f ca="1">INDIRECT("Y"&amp;(初期登録!$B$10+30)*12+初期登録!$D$10+5-65)</f>
        <v>4.285714285711606E-2</v>
      </c>
      <c r="Z406" s="315">
        <f ca="1">INDIRECT("Z"&amp;(初期登録!$B$10+30)*12+初期登録!$D$10+5-65)</f>
        <v>-2.1285714285714334</v>
      </c>
      <c r="AA406" s="315">
        <f ca="1">INDIRECT("AA"&amp;(初期登録!$B$10+30)*12+初期登録!$D$10+5-65)</f>
        <v>-1.414285714285711</v>
      </c>
    </row>
    <row r="407" spans="1:27" s="322" customFormat="1" ht="17.100000000000001" customHeight="1" thickBot="1">
      <c r="A407" s="1751" t="s">
        <v>309</v>
      </c>
      <c r="B407" s="1750"/>
      <c r="C407" s="1752"/>
      <c r="D407" s="759">
        <f ca="1">INDIRECT("D"&amp;(初期登録!$B$10+30)*12+初期登録!$D$10+5-64)</f>
        <v>150.9</v>
      </c>
      <c r="E407" s="314">
        <f ca="1">INDIRECT("E"&amp;(初期登録!$B$10+30)*12+初期登録!$D$10+5-64)</f>
        <v>132.1</v>
      </c>
      <c r="F407" s="314">
        <f ca="1">INDIRECT("F"&amp;(初期登録!$B$10+30)*12+初期登録!$D$10+5-64)</f>
        <v>119.8</v>
      </c>
      <c r="G407" s="337"/>
      <c r="H407" s="337"/>
      <c r="I407" s="315">
        <f ca="1">INDIRECT("I"&amp;(初期登録!$B$10+30)*12+初期登録!$D$10+5-64)</f>
        <v>4.3000000000000114</v>
      </c>
      <c r="J407" s="315">
        <f ca="1">INDIRECT("J"&amp;(初期登録!$B$10+30)*12+初期登録!$D$10+5-64)</f>
        <v>0.59999999999999432</v>
      </c>
      <c r="K407" s="315">
        <f ca="1">INDIRECT("K"&amp;(初期登録!$B$10+30)*12+初期登録!$D$10+5-64)</f>
        <v>1.2000000000000028</v>
      </c>
      <c r="M407" s="314">
        <f ca="1">INDIRECT("M"&amp;(初期登録!$B$10+30)*12+初期登録!$D$10+5-64)</f>
        <v>148.79999999999998</v>
      </c>
      <c r="N407" s="314">
        <f ca="1">INDIRECT("N"&amp;(初期登録!$B$10+30)*12+初期登録!$D$10+5-64)</f>
        <v>132.36666666666667</v>
      </c>
      <c r="O407" s="314">
        <f ca="1">INDIRECT("O"&amp;(初期登録!$B$10+30)*12+初期登録!$D$10+5-64)</f>
        <v>121.16666666666667</v>
      </c>
      <c r="Q407" s="315">
        <f ca="1">INDIRECT("Q"&amp;(初期登録!$B$10+30)*12+初期登録!$D$10+5-64)</f>
        <v>-1.6000000000000227</v>
      </c>
      <c r="R407" s="315">
        <f ca="1">INDIRECT("R"&amp;(初期登録!$B$10+30)*12+初期登録!$D$10+5-64)</f>
        <v>-3.0666666666666629</v>
      </c>
      <c r="S407" s="315">
        <f ca="1">INDIRECT("S"&amp;(初期登録!$B$10+30)*12+初期登録!$D$10+5-64)</f>
        <v>-1.3666666666666742</v>
      </c>
      <c r="T407" s="1223">
        <f t="shared" si="224"/>
        <v>132.98571428571427</v>
      </c>
      <c r="U407" s="314">
        <f ca="1">INDIRECT("U"&amp;(初期登録!$B$10+30)*12+初期登録!$D$10+5-64)</f>
        <v>148.42857142857142</v>
      </c>
      <c r="V407" s="314">
        <f ca="1">INDIRECT("V"&amp;(初期登録!$B$10+30)*12+初期登録!$D$10+5-64)</f>
        <v>138.81428571428572</v>
      </c>
      <c r="W407" s="314">
        <f ca="1">INDIRECT("W"&amp;(初期登録!$B$10+30)*12+初期登録!$D$10+5-64)</f>
        <v>123.47142857142856</v>
      </c>
      <c r="Y407" s="315">
        <f ca="1">INDIRECT("Y"&amp;(初期登録!$B$10+30)*12+初期登録!$D$10+5-64)</f>
        <v>0.48571428571426623</v>
      </c>
      <c r="Z407" s="315">
        <f ca="1">INDIRECT("Z"&amp;(初期登録!$B$10+30)*12+初期登録!$D$10+5-64)</f>
        <v>-2.2857142857142776</v>
      </c>
      <c r="AA407" s="315">
        <f ca="1">INDIRECT("AA"&amp;(初期登録!$B$10+30)*12+初期登録!$D$10+5-64)</f>
        <v>-1.1428571428571672</v>
      </c>
    </row>
    <row r="408" spans="1:27" s="322" customFormat="1" ht="17.100000000000001" customHeight="1" thickBot="1">
      <c r="A408" s="1751" t="s">
        <v>308</v>
      </c>
      <c r="B408" s="1750"/>
      <c r="C408" s="1752"/>
      <c r="D408" s="759">
        <f ca="1">INDIRECT("D"&amp;(初期登録!$B$10+30)*12+初期登録!$D$10+5-63)</f>
        <v>150.6</v>
      </c>
      <c r="E408" s="314">
        <f ca="1">INDIRECT("E"&amp;(初期登録!$B$10+30)*12+初期登録!$D$10+5-63)</f>
        <v>132.69999999999999</v>
      </c>
      <c r="F408" s="314">
        <f ca="1">INDIRECT("F"&amp;(初期登録!$B$10+30)*12+初期登録!$D$10+5-63)</f>
        <v>122.1</v>
      </c>
      <c r="G408" s="337"/>
      <c r="H408" s="337"/>
      <c r="I408" s="315">
        <f ca="1">INDIRECT("I"&amp;(初期登録!$B$10+30)*12+初期登録!$D$10+5-63)</f>
        <v>-0.30000000000001137</v>
      </c>
      <c r="J408" s="315">
        <f ca="1">INDIRECT("J"&amp;(初期登録!$B$10+30)*12+初期登録!$D$10+5-63)</f>
        <v>0.59999999999999432</v>
      </c>
      <c r="K408" s="315">
        <f ca="1">INDIRECT("K"&amp;(初期登録!$B$10+30)*12+初期登録!$D$10+5-63)</f>
        <v>2.2999999999999972</v>
      </c>
      <c r="M408" s="314">
        <f ca="1">INDIRECT("M"&amp;(初期登録!$B$10+30)*12+初期登録!$D$10+5-63)</f>
        <v>149.36666666666667</v>
      </c>
      <c r="N408" s="314">
        <f ca="1">INDIRECT("N"&amp;(初期登録!$B$10+30)*12+初期登録!$D$10+5-63)</f>
        <v>132.1</v>
      </c>
      <c r="O408" s="314">
        <f ca="1">INDIRECT("O"&amp;(初期登録!$B$10+30)*12+初期登録!$D$10+5-63)</f>
        <v>120.16666666666667</v>
      </c>
      <c r="Q408" s="315">
        <f ca="1">INDIRECT("Q"&amp;(初期登録!$B$10+30)*12+初期登録!$D$10+5-63)</f>
        <v>0.5666666666666913</v>
      </c>
      <c r="R408" s="315">
        <f ca="1">INDIRECT("R"&amp;(初期登録!$B$10+30)*12+初期登録!$D$10+5-63)</f>
        <v>-0.26666666666667993</v>
      </c>
      <c r="S408" s="315">
        <f ca="1">INDIRECT("S"&amp;(初期登録!$B$10+30)*12+初期登録!$D$10+5-63)</f>
        <v>-1</v>
      </c>
      <c r="T408" s="1223">
        <f t="shared" si="224"/>
        <v>132.52857142857141</v>
      </c>
      <c r="U408" s="314">
        <f ca="1">INDIRECT("U"&amp;(初期登録!$B$10+30)*12+初期登録!$D$10+5-63)</f>
        <v>149.18571428571428</v>
      </c>
      <c r="V408" s="314">
        <f ca="1">INDIRECT("V"&amp;(初期登録!$B$10+30)*12+初期登録!$D$10+5-63)</f>
        <v>135.84285714285716</v>
      </c>
      <c r="W408" s="314">
        <f ca="1">INDIRECT("W"&amp;(初期登録!$B$10+30)*12+初期登録!$D$10+5-63)</f>
        <v>122.67142857142858</v>
      </c>
      <c r="Y408" s="315">
        <f ca="1">INDIRECT("Y"&amp;(初期登録!$B$10+30)*12+初期登録!$D$10+5-63)</f>
        <v>0.75714285714286689</v>
      </c>
      <c r="Z408" s="315">
        <f ca="1">INDIRECT("Z"&amp;(初期登録!$B$10+30)*12+初期登録!$D$10+5-63)</f>
        <v>-2.9714285714285609</v>
      </c>
      <c r="AA408" s="315">
        <f ca="1">INDIRECT("AA"&amp;(初期登録!$B$10+30)*12+初期登録!$D$10+5-63)</f>
        <v>-0.79999999999998295</v>
      </c>
    </row>
    <row r="409" spans="1:27" s="322" customFormat="1" ht="16.5" customHeight="1" thickBot="1">
      <c r="A409" s="1749" t="s">
        <v>307</v>
      </c>
      <c r="B409" s="1753"/>
      <c r="C409" s="1771"/>
      <c r="D409" s="759">
        <f ca="1">INDIRECT("D"&amp;(初期登録!$B$10+30)*12+初期登録!$D$10+5-62)</f>
        <v>153.9</v>
      </c>
      <c r="E409" s="759">
        <f ca="1">INDIRECT("E"&amp;(初期登録!$B$10+30)*12+初期登録!$D$10+5-62)</f>
        <v>138.19999999999999</v>
      </c>
      <c r="F409" s="759">
        <f ca="1">INDIRECT("F"&amp;(初期登録!$B$10+30)*12+初期登録!$D$10+5-62)</f>
        <v>125.6</v>
      </c>
      <c r="G409" s="337"/>
      <c r="H409" s="337"/>
      <c r="I409" s="315">
        <f ca="1">INDIRECT("I"&amp;(初期登録!$B$10+30)*12+初期登録!$D$10+5-62)</f>
        <v>3.3000000000000114</v>
      </c>
      <c r="J409" s="315">
        <f ca="1">INDIRECT("J"&amp;(初期登録!$B$10+30)*12+初期登録!$D$10+5-62)</f>
        <v>5.5</v>
      </c>
      <c r="K409" s="315">
        <f ca="1">INDIRECT("K"&amp;(初期登録!$B$10+30)*12+初期登録!$D$10+5-62)</f>
        <v>3.5</v>
      </c>
      <c r="M409" s="314">
        <f ca="1">INDIRECT("M"&amp;(初期登録!$B$10+30)*12+初期登録!$D$10+5-62)</f>
        <v>151.79999999999998</v>
      </c>
      <c r="N409" s="314">
        <f ca="1">INDIRECT("N"&amp;(初期登録!$B$10+30)*12+初期登録!$D$10+5-62)</f>
        <v>134.33333333333331</v>
      </c>
      <c r="O409" s="314">
        <f ca="1">INDIRECT("O"&amp;(初期登録!$B$10+30)*12+初期登録!$D$10+5-62)</f>
        <v>122.5</v>
      </c>
      <c r="Q409" s="1192">
        <f ca="1">INDIRECT("Q"&amp;(初期登録!$B$10+30)*12+初期登録!$D$10+5-62)</f>
        <v>2.4333333333333087</v>
      </c>
      <c r="R409" s="1192">
        <f ca="1">INDIRECT("R"&amp;(初期登録!$B$10+30)*12+初期登録!$D$10+5-62)</f>
        <v>2.2333333333333201</v>
      </c>
      <c r="S409" s="1192">
        <f ca="1">INDIRECT("S"&amp;(初期登録!$B$10+30)*12+初期登録!$D$10+5-62)</f>
        <v>2.3333333333333286</v>
      </c>
      <c r="T409" s="1223">
        <f t="shared" si="224"/>
        <v>132.39999999999998</v>
      </c>
      <c r="U409" s="1191">
        <f ca="1">INDIRECT("U"&amp;(初期登録!$B$10+30)*12+初期登録!$D$10+5-62)</f>
        <v>149.68571428571428</v>
      </c>
      <c r="V409" s="1191">
        <f ca="1">INDIRECT("V"&amp;(初期登録!$B$10+30)*12+初期登録!$D$10+5-62)</f>
        <v>135.75714285714284</v>
      </c>
      <c r="W409" s="1191">
        <f ca="1">INDIRECT("W"&amp;(初期登録!$B$10+30)*12+初期登録!$D$10+5-62)</f>
        <v>122.71428571428571</v>
      </c>
      <c r="Y409" s="1192">
        <f ca="1">INDIRECT("Y"&amp;(初期登録!$B$10+30)*12+初期登録!$D$10+5-62)</f>
        <v>0.5</v>
      </c>
      <c r="Z409" s="1192">
        <f ca="1">INDIRECT("Z"&amp;(初期登録!$B$10+30)*12+初期登録!$D$10+5-62)</f>
        <v>-8.5714285714317384E-2</v>
      </c>
      <c r="AA409" s="1192">
        <f ca="1">INDIRECT("AA"&amp;(初期登録!$B$10+30)*12+初期登録!$D$10+5-62)</f>
        <v>4.285714285713027E-2</v>
      </c>
    </row>
    <row r="410" spans="1:27">
      <c r="Q410" s="312"/>
      <c r="R410" s="312"/>
      <c r="S410" s="312"/>
    </row>
    <row r="411" spans="1:27" ht="12.95" customHeight="1"/>
    <row r="413" spans="1:27">
      <c r="A413" s="214" t="s">
        <v>606</v>
      </c>
      <c r="B413" s="214" t="s">
        <v>607</v>
      </c>
      <c r="C413" s="214" t="s">
        <v>608</v>
      </c>
      <c r="I413" s="214" t="str">
        <f ca="1">IF(I409*I408&gt;0,$A413,IF(I408*I409&lt;0,$B413,$C413))</f>
        <v>ぶり</v>
      </c>
      <c r="J413" s="214" t="str">
        <f ca="1">IF(J409*J408&gt;0,$A413,IF(J408*J409&lt;0,$B413,$C413))</f>
        <v>連続</v>
      </c>
      <c r="K413" s="214" t="str">
        <f ca="1">IF(K409*K408&gt;0,$A413,IF(K408*K409&lt;0,$B413,$C413))</f>
        <v>連続</v>
      </c>
      <c r="Q413" s="214" t="str">
        <f ca="1">IF(Q409*Q408&gt;0,$A413,IF(Q408*Q409&lt;0,$B413,$C413))</f>
        <v>連続</v>
      </c>
      <c r="R413" s="214" t="str">
        <f ca="1">IF(R409*R408&gt;0,$A413,IF(R408*R409&lt;0,$B413,$C413))</f>
        <v>ぶり</v>
      </c>
      <c r="S413" s="214" t="str">
        <f ca="1">IF(S409*S408&gt;0,$A413,IF(S408*S409&lt;0,$B413,$C413))</f>
        <v>ぶり</v>
      </c>
      <c r="T413" s="1187"/>
      <c r="Y413" s="214" t="str">
        <f ca="1">IF(Y409*Y408&gt;0,$A413,IF(Y408*Y409&lt;0,$B413,$C413))</f>
        <v>連続</v>
      </c>
      <c r="Z413" s="214" t="str">
        <f ca="1">IF(Z409*Z408&gt;0,$A413,IF(Z408*Z409&lt;0,$B413,$C413))</f>
        <v>連続</v>
      </c>
      <c r="AA413" s="214" t="str">
        <f ca="1">IF(AA409*AA408&gt;0,$A413,IF(AA408*AA409&lt;0,$B413,$C413))</f>
        <v>ぶり</v>
      </c>
    </row>
    <row r="414" spans="1:27">
      <c r="A414" s="311" t="s">
        <v>603</v>
      </c>
      <c r="B414" s="311" t="s">
        <v>604</v>
      </c>
      <c r="C414" s="311" t="s">
        <v>605</v>
      </c>
      <c r="I414" s="214" t="str">
        <f ca="1">IF(I409&gt;0,$A414,IF(I409&lt;0,$B414,$C414))</f>
        <v>上昇</v>
      </c>
      <c r="J414" s="214" t="str">
        <f ca="1">IF(J409&gt;0,$A414,IF(J409&lt;0,$B414,$C414))</f>
        <v>上昇</v>
      </c>
      <c r="K414" s="214" t="str">
        <f ca="1">IF(K409&gt;0,$A414,IF(K409&lt;0,$B414,$C414))</f>
        <v>上昇</v>
      </c>
      <c r="Q414" s="214" t="str">
        <f ca="1">IF(Q409&gt;0,$A414,IF(Q409&lt;0,$B414,$C414))</f>
        <v>上昇</v>
      </c>
      <c r="R414" s="214" t="str">
        <f ca="1">IF(R409&gt;0,$A414,IF(R409&lt;0,$B414,$C414))</f>
        <v>上昇</v>
      </c>
      <c r="S414" s="214" t="str">
        <f ca="1">IF(S409&gt;0,$A414,IF(S409&lt;0,$B414,$C414))</f>
        <v>上昇</v>
      </c>
      <c r="T414" s="1187"/>
      <c r="Y414" s="214" t="str">
        <f ca="1">IF(Y409&gt;0,$A414,IF(Y409&lt;0,$B414,$C414))</f>
        <v>上昇</v>
      </c>
      <c r="Z414" s="214" t="str">
        <f ca="1">IF(Z409&gt;0,$A414,IF(Z409&lt;0,$B414,$C414))</f>
        <v>下降</v>
      </c>
      <c r="AA414" s="214" t="str">
        <f ca="1">IF(AA409&gt;0,$A414,IF(AA409&lt;0,$B414,$C414))</f>
        <v>上昇</v>
      </c>
    </row>
    <row r="415" spans="1:27">
      <c r="T415" s="1187">
        <f>ROUND(T405-T404,4)</f>
        <v>-0.15709999999999999</v>
      </c>
    </row>
    <row r="416" spans="1:27">
      <c r="T416" s="1187">
        <f>ROUND(T406-T405,4)</f>
        <v>-0.31430000000000002</v>
      </c>
    </row>
    <row r="417" spans="20:20">
      <c r="T417" s="1187">
        <f>ROUND(T407-T406,4)</f>
        <v>0.1143</v>
      </c>
    </row>
    <row r="418" spans="20:20">
      <c r="T418" s="1187">
        <f>ROUND(T408-T407,4)</f>
        <v>-0.45710000000000001</v>
      </c>
    </row>
    <row r="419" spans="20:20">
      <c r="T419" s="1187">
        <f>ROUND(T409-T408,4)</f>
        <v>-0.12859999999999999</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08:C408"/>
    <mergeCell ref="A409:C409"/>
    <mergeCell ref="A404:C404"/>
    <mergeCell ref="A405:C405"/>
    <mergeCell ref="A406:C406"/>
    <mergeCell ref="A407:C407"/>
  </mergeCells>
  <phoneticPr fontId="3"/>
  <conditionalFormatting sqref="A1:XFD412 A413:C413 G413:S413 T413:IV414 A414:B414 I414:S414 A415:XFD65536">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258:R399">
    <cfRule type="colorScale" priority="21">
      <colorScale>
        <cfvo type="num" val="&quot;セルの値＞0&quot;"/>
        <cfvo type="num" val="&quot;セルの値＜0&quot;"/>
        <color theme="0"/>
        <color rgb="FFFFFF99"/>
      </colorScale>
    </cfRule>
  </conditionalFormatting>
  <conditionalFormatting sqref="R270:R399">
    <cfRule type="colorScale" priority="20">
      <colorScale>
        <cfvo type="num" val="&quot;セルの値＞0&quot;"/>
        <cfvo type="num" val="&quot;セルの値＜0&quot;"/>
        <color theme="0"/>
        <color rgb="FFFFFF99"/>
      </colorScale>
    </cfRule>
  </conditionalFormatting>
  <conditionalFormatting sqref="R282:R399">
    <cfRule type="colorScale" priority="19">
      <colorScale>
        <cfvo type="num" val="&quot;セルの値＞0&quot;"/>
        <cfvo type="num" val="&quot;セルの値＜0&quot;"/>
        <color theme="0"/>
        <color rgb="FFFFFF99"/>
      </colorScale>
    </cfRule>
  </conditionalFormatting>
  <conditionalFormatting sqref="R294:R399">
    <cfRule type="colorScale" priority="18">
      <colorScale>
        <cfvo type="num" val="&quot;セルの値＞0&quot;"/>
        <cfvo type="num" val="&quot;セルの値＜0&quot;"/>
        <color theme="0"/>
        <color rgb="FFFFFF99"/>
      </colorScale>
    </cfRule>
  </conditionalFormatting>
  <conditionalFormatting sqref="R306:R399">
    <cfRule type="colorScale" priority="17">
      <colorScale>
        <cfvo type="num" val="&quot;セルの値＞0&quot;"/>
        <cfvo type="num" val="&quot;セルの値＜0&quot;"/>
        <color theme="0"/>
        <color rgb="FFFFFF99"/>
      </colorScale>
    </cfRule>
  </conditionalFormatting>
  <conditionalFormatting sqref="R318:R399">
    <cfRule type="colorScale" priority="16">
      <colorScale>
        <cfvo type="num" val="&quot;セルの値＞0&quot;"/>
        <cfvo type="num" val="&quot;セルの値＜0&quot;"/>
        <color theme="0"/>
        <color rgb="FFFFFF99"/>
      </colorScale>
    </cfRule>
  </conditionalFormatting>
  <conditionalFormatting sqref="R330:R399">
    <cfRule type="colorScale" priority="15">
      <colorScale>
        <cfvo type="num" val="&quot;セルの値＞0&quot;"/>
        <cfvo type="num" val="&quot;セルの値＜0&quot;"/>
        <color theme="0"/>
        <color rgb="FFFFFF99"/>
      </colorScale>
    </cfRule>
  </conditionalFormatting>
  <conditionalFormatting sqref="R342:R399">
    <cfRule type="colorScale" priority="14">
      <colorScale>
        <cfvo type="num" val="&quot;セルの値＞0&quot;"/>
        <cfvo type="num" val="&quot;セルの値＜0&quot;"/>
        <color theme="0"/>
        <color rgb="FFFFFF99"/>
      </colorScale>
    </cfRule>
  </conditionalFormatting>
  <conditionalFormatting sqref="R354:R399">
    <cfRule type="colorScale" priority="22">
      <colorScale>
        <cfvo type="num" val="&quot;セルの値＞0&quot;"/>
        <cfvo type="num" val="&quot;セルの値＜0&quot;"/>
        <color theme="0"/>
        <color rgb="FFFFFF99"/>
      </colorScale>
    </cfRule>
  </conditionalFormatting>
  <conditionalFormatting sqref="R400">
    <cfRule type="colorScale" priority="1">
      <colorScale>
        <cfvo type="num" val="&quot;セルの値＞0&quot;"/>
        <cfvo type="num" val="&quot;セルの値＜0&quot;"/>
        <color theme="0"/>
        <color rgb="FFFFFF99"/>
      </colorScale>
    </cfRule>
    <cfRule type="colorScale" priority="2">
      <colorScale>
        <cfvo type="num" val="&quot;セルの値＞0&quot;"/>
        <cfvo type="num" val="&quot;セルの値＜0&quot;"/>
        <color theme="0"/>
        <color rgb="FFFFFF99"/>
      </colorScale>
    </cfRule>
    <cfRule type="colorScale" priority="3">
      <colorScale>
        <cfvo type="num" val="&quot;セルの値＞0&quot;"/>
        <cfvo type="num" val="&quot;セルの値＜0&quot;"/>
        <color theme="0"/>
        <color rgb="FFFFFF99"/>
      </colorScale>
    </cfRule>
    <cfRule type="colorScale" priority="4">
      <colorScale>
        <cfvo type="num" val="&quot;セルの値＞0&quot;"/>
        <cfvo type="num" val="&quot;セルの値＜0&quot;"/>
        <color theme="0"/>
        <color rgb="FFFFFF99"/>
      </colorScale>
    </cfRule>
    <cfRule type="colorScale" priority="5">
      <colorScale>
        <cfvo type="num" val="&quot;セルの値＞0&quot;"/>
        <cfvo type="num" val="&quot;セルの値＜0&quot;"/>
        <color theme="0"/>
        <color rgb="FFFFFF99"/>
      </colorScale>
    </cfRule>
    <cfRule type="colorScale" priority="6">
      <colorScale>
        <cfvo type="num" val="&quot;セルの値＞0&quot;"/>
        <cfvo type="num" val="&quot;セルの値＜0&quot;"/>
        <color theme="0"/>
        <color rgb="FFFFFF99"/>
      </colorScale>
    </cfRule>
    <cfRule type="colorScale" priority="7">
      <colorScale>
        <cfvo type="num" val="&quot;セルの値＞0&quot;"/>
        <cfvo type="num" val="&quot;セルの値＜0&quot;"/>
        <color theme="0"/>
        <color rgb="FFFFFF99"/>
      </colorScale>
    </cfRule>
    <cfRule type="colorScale" priority="8">
      <colorScale>
        <cfvo type="num" val="&quot;セルの値＞0&quot;"/>
        <cfvo type="num" val="&quot;セルの値＜0&quot;"/>
        <color theme="0"/>
        <color rgb="FFFFFF99"/>
      </colorScale>
    </cfRule>
    <cfRule type="colorScale" priority="9">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09"/>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topLeftCell="A4" zoomScaleNormal="100" zoomScaleSheetLayoutView="100" workbookViewId="0">
      <selection activeCell="Q9" sqref="Q9"/>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195</v>
      </c>
    </row>
    <row r="4" spans="2:7" ht="42.95" customHeight="1">
      <c r="B4" s="219" t="s">
        <v>328</v>
      </c>
      <c r="C4" s="220"/>
      <c r="D4" s="220"/>
      <c r="E4" s="221" t="s">
        <v>329</v>
      </c>
      <c r="F4" s="442" t="s">
        <v>76</v>
      </c>
    </row>
    <row r="5" spans="2:7" ht="42.95" customHeight="1">
      <c r="B5" s="219" t="s">
        <v>99</v>
      </c>
      <c r="C5" s="220"/>
      <c r="D5" s="220"/>
      <c r="E5" s="221" t="s">
        <v>253</v>
      </c>
      <c r="F5" s="442" t="s">
        <v>77</v>
      </c>
    </row>
    <row r="6" spans="2:7" ht="42.95" customHeight="1">
      <c r="B6" s="219" t="s">
        <v>100</v>
      </c>
      <c r="C6" s="220"/>
      <c r="D6" s="220"/>
      <c r="E6" s="221" t="s">
        <v>251</v>
      </c>
      <c r="F6" s="442" t="s">
        <v>78</v>
      </c>
    </row>
    <row r="7" spans="2:7" ht="42.95" customHeight="1">
      <c r="B7" s="219" t="s">
        <v>101</v>
      </c>
      <c r="C7" s="220"/>
      <c r="D7" s="220"/>
      <c r="E7" s="221" t="s">
        <v>330</v>
      </c>
      <c r="F7" s="442" t="s">
        <v>79</v>
      </c>
    </row>
    <row r="8" spans="2:7" ht="42.95" customHeight="1">
      <c r="B8" s="219" t="s">
        <v>198</v>
      </c>
      <c r="C8" s="220"/>
      <c r="D8" s="220"/>
      <c r="E8" s="221" t="s">
        <v>331</v>
      </c>
      <c r="F8" s="442" t="s">
        <v>80</v>
      </c>
    </row>
    <row r="9" spans="2:7" ht="42.95" customHeight="1">
      <c r="B9" s="219" t="s">
        <v>199</v>
      </c>
      <c r="C9" s="220"/>
      <c r="D9" s="220"/>
      <c r="E9" s="221" t="s">
        <v>331</v>
      </c>
      <c r="F9" s="442" t="s">
        <v>81</v>
      </c>
    </row>
    <row r="10" spans="2:7" ht="42.95" customHeight="1">
      <c r="B10" s="1450" t="s">
        <v>295</v>
      </c>
      <c r="C10" s="1450"/>
      <c r="D10" s="220"/>
      <c r="E10" s="221" t="s">
        <v>332</v>
      </c>
      <c r="F10" s="442" t="s">
        <v>82</v>
      </c>
    </row>
    <row r="11" spans="2:7" ht="42.95" customHeight="1">
      <c r="B11" s="219" t="s">
        <v>200</v>
      </c>
      <c r="C11" s="220"/>
      <c r="D11" s="220"/>
      <c r="E11" s="221" t="s">
        <v>333</v>
      </c>
      <c r="F11" s="222">
        <v>10</v>
      </c>
    </row>
    <row r="12" spans="2:7" ht="42.95" customHeight="1">
      <c r="B12" s="219" t="s">
        <v>201</v>
      </c>
      <c r="C12" s="220"/>
      <c r="D12" s="220"/>
      <c r="E12" s="221" t="s">
        <v>333</v>
      </c>
      <c r="F12" s="222">
        <v>11</v>
      </c>
    </row>
    <row r="13" spans="2:7" ht="42.95" customHeight="1">
      <c r="B13" s="219" t="s">
        <v>202</v>
      </c>
      <c r="C13" s="220"/>
      <c r="D13" s="220"/>
      <c r="E13" s="221" t="s">
        <v>333</v>
      </c>
      <c r="F13" s="222">
        <v>12</v>
      </c>
    </row>
    <row r="14" spans="2:7" ht="42.95" customHeight="1">
      <c r="B14" s="219" t="s">
        <v>252</v>
      </c>
      <c r="C14" s="220"/>
      <c r="D14" s="220"/>
      <c r="E14" s="221" t="s">
        <v>333</v>
      </c>
      <c r="F14" s="222">
        <v>13</v>
      </c>
    </row>
    <row r="15" spans="2:7" ht="42.95" customHeight="1">
      <c r="B15" s="219" t="s">
        <v>254</v>
      </c>
      <c r="C15" s="220"/>
      <c r="D15" s="220"/>
      <c r="E15" s="221" t="s">
        <v>334</v>
      </c>
      <c r="F15" s="224">
        <v>14</v>
      </c>
      <c r="G15" s="12"/>
    </row>
    <row r="16" spans="2:7" ht="42.95" customHeight="1">
      <c r="B16" s="1451" t="s">
        <v>92</v>
      </c>
      <c r="C16" s="1451"/>
      <c r="D16" s="1451"/>
      <c r="E16" s="221" t="s">
        <v>255</v>
      </c>
      <c r="F16" s="222">
        <v>16</v>
      </c>
    </row>
    <row r="17" spans="2:6" ht="42.95" customHeight="1">
      <c r="B17" s="221" t="s">
        <v>335</v>
      </c>
      <c r="C17" s="221"/>
      <c r="D17" s="221"/>
      <c r="E17" s="221" t="s">
        <v>255</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topLeftCell="A18" zoomScale="80" zoomScaleNormal="100" zoomScaleSheetLayoutView="80" workbookViewId="0">
      <selection activeCell="Q9" sqref="Q9"/>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208</v>
      </c>
      <c r="B1" s="11"/>
    </row>
    <row r="2" spans="1:12" ht="15" customHeight="1"/>
    <row r="3" spans="1:12" ht="15" customHeight="1">
      <c r="A3" s="478" t="s">
        <v>43</v>
      </c>
      <c r="B3" s="1452" t="str">
        <f ca="1">表紙!B7&amp;表紙!B8</f>
        <v>令和７年11月のＣＩ(令和２年＝100)は、先行指数： 153.9、一致指数： 138.2、遅行指数： 125.6となった。</v>
      </c>
      <c r="C3" s="1452"/>
      <c r="D3" s="1452"/>
      <c r="E3" s="1452"/>
      <c r="F3" s="1452"/>
      <c r="G3" s="1452"/>
      <c r="H3" s="1452"/>
      <c r="I3" s="1452"/>
      <c r="J3" s="1452"/>
      <c r="K3" s="1452"/>
      <c r="L3" s="1452"/>
    </row>
    <row r="4" spans="1:12" ht="15" customHeight="1">
      <c r="A4" s="226"/>
      <c r="B4" s="1453"/>
      <c r="C4" s="1453"/>
      <c r="D4" s="1453"/>
      <c r="E4" s="1453"/>
      <c r="F4" s="1453"/>
      <c r="G4" s="1453"/>
      <c r="H4" s="1453"/>
      <c r="I4" s="1453"/>
      <c r="J4" s="1453"/>
      <c r="K4" s="1453"/>
      <c r="L4" s="1453"/>
    </row>
    <row r="5" spans="1:12" ht="15" customHeight="1" thickBot="1">
      <c r="A5" s="227"/>
      <c r="B5" s="228"/>
      <c r="C5" s="228"/>
      <c r="D5" s="228"/>
      <c r="E5" s="228"/>
      <c r="F5" s="228"/>
      <c r="G5" s="228"/>
      <c r="H5" s="228"/>
      <c r="I5" s="228"/>
      <c r="J5" s="228"/>
      <c r="K5" s="1168" t="str">
        <f>初期登録!F15</f>
        <v>(令和２年=100)</v>
      </c>
      <c r="L5" s="1164"/>
    </row>
    <row r="6" spans="1:12" ht="18" customHeight="1">
      <c r="A6" s="227"/>
      <c r="B6" s="1470"/>
      <c r="C6" s="1471"/>
      <c r="D6" s="1458" t="str">
        <f>表紙!D12</f>
        <v>令和７年11月</v>
      </c>
      <c r="E6" s="1459"/>
      <c r="F6" s="1460"/>
      <c r="G6" s="1459" t="s">
        <v>284</v>
      </c>
      <c r="H6" s="1459"/>
      <c r="I6" s="1459"/>
      <c r="J6" s="1458" t="s">
        <v>285</v>
      </c>
      <c r="K6" s="1459"/>
      <c r="L6" s="1459"/>
    </row>
    <row r="7" spans="1:12" ht="15" customHeight="1">
      <c r="A7" s="227"/>
      <c r="B7" s="1472"/>
      <c r="C7" s="1473"/>
      <c r="D7" s="1454"/>
      <c r="E7" s="752" t="s">
        <v>322</v>
      </c>
      <c r="F7" s="1461" t="s">
        <v>290</v>
      </c>
      <c r="G7" s="1454"/>
      <c r="H7" s="752" t="s">
        <v>323</v>
      </c>
      <c r="I7" s="1461" t="s">
        <v>290</v>
      </c>
      <c r="J7" s="1454"/>
      <c r="K7" s="752" t="s">
        <v>323</v>
      </c>
      <c r="L7" s="1456" t="s">
        <v>290</v>
      </c>
    </row>
    <row r="8" spans="1:12" ht="15" customHeight="1" thickBot="1">
      <c r="A8" s="227"/>
      <c r="B8" s="1474"/>
      <c r="C8" s="1475"/>
      <c r="D8" s="1455"/>
      <c r="E8" s="229" t="s">
        <v>289</v>
      </c>
      <c r="F8" s="1462"/>
      <c r="G8" s="1455"/>
      <c r="H8" s="229" t="s">
        <v>289</v>
      </c>
      <c r="I8" s="1462"/>
      <c r="J8" s="1455"/>
      <c r="K8" s="229" t="s">
        <v>289</v>
      </c>
      <c r="L8" s="1457"/>
    </row>
    <row r="9" spans="1:12" ht="30" customHeight="1">
      <c r="A9" s="227"/>
      <c r="B9" s="1478" t="s">
        <v>286</v>
      </c>
      <c r="C9" s="1479"/>
      <c r="D9" s="879">
        <f ca="1">表紙!D15</f>
        <v>153.9</v>
      </c>
      <c r="E9" s="808">
        <f ca="1">表紙!E15</f>
        <v>3.3000000000000114</v>
      </c>
      <c r="F9" s="1129" t="str">
        <f>表紙!F15</f>
        <v>２か月ぶりの
上昇</v>
      </c>
      <c r="G9" s="804">
        <f ca="1">表紙!G15</f>
        <v>151.79999999999998</v>
      </c>
      <c r="H9" s="807">
        <f ca="1">表紙!H15</f>
        <v>2.4333333333333087</v>
      </c>
      <c r="I9" s="1132" t="str">
        <f>表紙!I15</f>
        <v>２か月連続の
上昇</v>
      </c>
      <c r="J9" s="804">
        <f ca="1">表紙!J15</f>
        <v>149.68571428571428</v>
      </c>
      <c r="K9" s="807">
        <f ca="1">表紙!K15</f>
        <v>0.5</v>
      </c>
      <c r="L9" s="1132" t="str">
        <f>表紙!L15</f>
        <v>16か月連続の
上昇</v>
      </c>
    </row>
    <row r="10" spans="1:12" ht="30" customHeight="1">
      <c r="A10" s="227"/>
      <c r="B10" s="1468" t="s">
        <v>287</v>
      </c>
      <c r="C10" s="1469"/>
      <c r="D10" s="805">
        <f ca="1">表紙!D16</f>
        <v>138.19999999999999</v>
      </c>
      <c r="E10" s="401">
        <f ca="1">表紙!E16</f>
        <v>5.5</v>
      </c>
      <c r="F10" s="1130" t="str">
        <f>表紙!F16</f>
        <v>３か月連続の
上昇</v>
      </c>
      <c r="G10" s="805">
        <f ca="1">表紙!G16</f>
        <v>134.33333333333331</v>
      </c>
      <c r="H10" s="230">
        <f ca="1">表紙!H16</f>
        <v>2.2333333333333201</v>
      </c>
      <c r="I10" s="1133" t="str">
        <f>表紙!I16</f>
        <v>８か月ぶりの
上昇</v>
      </c>
      <c r="J10" s="805">
        <f ca="1">表紙!J16</f>
        <v>135.75714285714284</v>
      </c>
      <c r="K10" s="230">
        <f ca="1">表紙!K16</f>
        <v>-8.5714285714317384E-2</v>
      </c>
      <c r="L10" s="1133" t="str">
        <f>表紙!L16</f>
        <v>５か月連続の
下降</v>
      </c>
    </row>
    <row r="11" spans="1:12" ht="30" customHeight="1" thickBot="1">
      <c r="A11" s="231"/>
      <c r="B11" s="1466" t="s">
        <v>288</v>
      </c>
      <c r="C11" s="1467"/>
      <c r="D11" s="806">
        <f ca="1">表紙!D17</f>
        <v>125.6</v>
      </c>
      <c r="E11" s="432">
        <f ca="1">表紙!E17</f>
        <v>3.5</v>
      </c>
      <c r="F11" s="1131" t="str">
        <f>表紙!F17</f>
        <v>３か月連続の
上昇</v>
      </c>
      <c r="G11" s="806">
        <f ca="1">表紙!G17</f>
        <v>122.5</v>
      </c>
      <c r="H11" s="431">
        <f ca="1">表紙!H17</f>
        <v>2.3333333333333286</v>
      </c>
      <c r="I11" s="1134" t="str">
        <f>表紙!I17</f>
        <v>８か月ぶりの
上昇</v>
      </c>
      <c r="J11" s="806">
        <f ca="1">表紙!J17</f>
        <v>122.71428571428571</v>
      </c>
      <c r="K11" s="431">
        <f ca="1">表紙!K17</f>
        <v>4.285714285713027E-2</v>
      </c>
      <c r="L11" s="1134" t="str">
        <f>表紙!L17</f>
        <v>６か月連続の
下降</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tr">
        <f>表紙!B9</f>
        <v>景気動向指数（ＣＩ一致指数）は、下方への局面変化を示している。</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67" t="str">
        <f>初期登録!F15</f>
        <v>(令和２年=100)</v>
      </c>
      <c r="L17" s="1164"/>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64" t="s">
        <v>209</v>
      </c>
      <c r="C40" s="1465"/>
      <c r="D40" s="1465"/>
      <c r="E40" s="1465"/>
      <c r="F40" s="1303" t="s">
        <v>136</v>
      </c>
      <c r="G40" s="1464" t="s">
        <v>210</v>
      </c>
      <c r="H40" s="1464"/>
      <c r="I40" s="1464"/>
      <c r="J40" s="1476" t="s">
        <v>136</v>
      </c>
      <c r="K40" s="1477"/>
      <c r="L40" s="227"/>
    </row>
    <row r="41" spans="1:12" s="221" customFormat="1" ht="15" customHeight="1">
      <c r="B41" s="688" t="str">
        <f>'P3.CI一致'!$A$33</f>
        <v>C3 所定外労働時間数</v>
      </c>
      <c r="E41" s="1318"/>
      <c r="F41" s="1331">
        <f ca="1">'P3.CI一致'!$H$34</f>
        <v>2.5</v>
      </c>
      <c r="G41" s="688" t="str">
        <f>'P3.CI一致'!$A$29</f>
        <v>C1 有効求人倍率</v>
      </c>
      <c r="I41" s="984"/>
      <c r="J41" s="1330">
        <f ca="1">'P3.CI一致'!$H$30</f>
        <v>-0.64700000000000002</v>
      </c>
      <c r="K41" s="1322"/>
      <c r="L41" s="227"/>
    </row>
    <row r="42" spans="1:12" s="221" customFormat="1" ht="15" customHeight="1">
      <c r="B42" s="688" t="str">
        <f>'P3.CI一致'!$A$35</f>
        <v xml:space="preserve">C4 投資財生産指数 </v>
      </c>
      <c r="E42" s="1318"/>
      <c r="F42" s="1331">
        <f ca="1">'P3.CI一致'!$H$36</f>
        <v>1.8</v>
      </c>
      <c r="G42" s="688" t="s">
        <v>823</v>
      </c>
      <c r="I42" s="1318"/>
      <c r="J42" s="1331">
        <f ca="1">'P3.CI一致'!$H$44</f>
        <v>-0.3</v>
      </c>
      <c r="K42" s="1332"/>
      <c r="L42" s="227"/>
    </row>
    <row r="43" spans="1:12" s="221" customFormat="1" ht="15" customHeight="1">
      <c r="B43" s="1090" t="str">
        <f>'P3.CI一致'!$A$31</f>
        <v>C2 雇用保険受給者実人員</v>
      </c>
      <c r="E43" s="1318"/>
      <c r="F43" s="1331">
        <f ca="1">'P3.CI一致'!$H$32</f>
        <v>1.7</v>
      </c>
      <c r="G43" s="688" t="str">
        <f>'P3.CI一致'!$A$41</f>
        <v>C7 人件費比率</v>
      </c>
      <c r="I43" s="1318"/>
      <c r="J43" s="1331">
        <f ca="1">'P3.CI一致'!$H$42</f>
        <v>-0.2</v>
      </c>
      <c r="K43" s="1332"/>
      <c r="L43" s="227"/>
    </row>
    <row r="44" spans="1:12" s="221" customFormat="1" ht="15" customHeight="1">
      <c r="B44" s="688" t="str">
        <f>'P3.CI一致'!$A$37</f>
        <v>C5 鉱工業生産指数</v>
      </c>
      <c r="E44" s="1318"/>
      <c r="F44" s="1332">
        <f ca="1">'P3.CI一致'!$H$38</f>
        <v>0.7</v>
      </c>
      <c r="I44" s="1318"/>
      <c r="K44" s="1332"/>
      <c r="L44" s="227"/>
    </row>
    <row r="45" spans="1:12" s="221" customFormat="1" ht="15" customHeight="1">
      <c r="B45" s="688"/>
      <c r="E45" s="1318"/>
      <c r="F45" s="1333"/>
      <c r="I45" s="984"/>
      <c r="K45" s="1332"/>
      <c r="L45" s="227"/>
    </row>
    <row r="46" spans="1:12" s="221" customFormat="1" ht="15" customHeight="1">
      <c r="B46" s="688"/>
      <c r="E46" s="1318"/>
      <c r="F46" s="1336"/>
      <c r="I46" s="1318"/>
      <c r="K46" s="1332"/>
      <c r="L46" s="227"/>
    </row>
    <row r="47" spans="1:12" s="221" customFormat="1" ht="15" customHeight="1">
      <c r="B47" s="1320" t="str">
        <f>'P3.CI一致'!$A$39</f>
        <v>C6 生産財生産指数</v>
      </c>
      <c r="C47" s="1321"/>
      <c r="D47" s="1321"/>
      <c r="E47" s="1334"/>
      <c r="F47" s="1335">
        <f ca="1">'P3.CI一致'!$H$40</f>
        <v>0</v>
      </c>
      <c r="G47" s="688"/>
      <c r="I47" s="1318"/>
      <c r="K47" s="1318"/>
      <c r="L47" s="227"/>
    </row>
    <row r="48" spans="1:12" s="221" customFormat="1" ht="15" customHeight="1">
      <c r="B48" s="1005"/>
      <c r="C48" s="767"/>
      <c r="D48" s="767"/>
      <c r="E48" s="768"/>
      <c r="F48" s="1319"/>
      <c r="G48" s="1005"/>
      <c r="H48" s="767"/>
      <c r="I48" s="768"/>
      <c r="J48" s="1304"/>
      <c r="K48" s="1135"/>
      <c r="L48" s="227"/>
    </row>
    <row r="49" spans="1:12" s="221" customFormat="1" ht="15" customHeight="1">
      <c r="L49" s="227"/>
    </row>
    <row r="50" spans="1:12" s="9" customFormat="1" ht="15" customHeight="1">
      <c r="A50" s="221"/>
      <c r="L50" s="227"/>
    </row>
    <row r="51" spans="1:12" ht="15" customHeight="1">
      <c r="A51" s="227"/>
    </row>
    <row r="52" spans="1:12" ht="15" customHeight="1">
      <c r="A52" s="227"/>
      <c r="B52" s="1278"/>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63"/>
      <c r="H64" s="1463"/>
      <c r="I64" s="1463"/>
      <c r="J64" s="440"/>
      <c r="K64" s="222"/>
    </row>
    <row r="65" spans="2:11" ht="12.6" customHeight="1">
      <c r="B65" s="1451"/>
      <c r="C65" s="1451"/>
      <c r="D65" s="1451"/>
      <c r="E65" s="1451"/>
      <c r="F65" s="222"/>
      <c r="G65" s="571"/>
      <c r="H65" s="571"/>
      <c r="I65" s="571"/>
      <c r="J65" s="440"/>
      <c r="K65" s="440"/>
    </row>
    <row r="66" spans="2:11" ht="12.6" customHeight="1">
      <c r="B66" s="1451"/>
      <c r="C66" s="1451"/>
      <c r="D66" s="1451"/>
      <c r="E66" s="1451"/>
      <c r="F66" s="567"/>
      <c r="G66" s="1463"/>
      <c r="H66" s="1463"/>
      <c r="I66" s="1463"/>
      <c r="J66" s="222"/>
      <c r="K66" s="222"/>
    </row>
    <row r="67" spans="2:11" ht="12.6" customHeight="1">
      <c r="B67" s="1451"/>
      <c r="C67" s="1451"/>
      <c r="D67" s="1451"/>
      <c r="E67" s="1451"/>
      <c r="F67" s="222"/>
      <c r="G67" s="1463"/>
      <c r="H67" s="1463"/>
      <c r="I67" s="1463"/>
      <c r="J67" s="222"/>
      <c r="K67" s="222"/>
    </row>
    <row r="68" spans="2:11" ht="12.6" customHeight="1">
      <c r="B68" s="1463"/>
      <c r="C68" s="1463"/>
      <c r="D68" s="1463"/>
      <c r="E68" s="1463"/>
      <c r="F68" s="567"/>
      <c r="G68" s="1463"/>
      <c r="H68" s="1463"/>
      <c r="I68" s="1463"/>
      <c r="J68" s="440"/>
      <c r="K68" s="222"/>
    </row>
    <row r="69" spans="2:11" ht="12.6" customHeight="1">
      <c r="B69" s="1463"/>
      <c r="C69" s="1463"/>
      <c r="D69" s="1463"/>
      <c r="E69" s="1463"/>
      <c r="F69" s="440"/>
      <c r="G69" s="1463"/>
      <c r="H69" s="1463"/>
      <c r="I69" s="1463"/>
      <c r="J69" s="222"/>
    </row>
    <row r="70" spans="2:11" ht="12.6" customHeight="1">
      <c r="F70" s="227"/>
      <c r="G70" s="1463"/>
      <c r="H70" s="1463"/>
      <c r="I70" s="1463"/>
      <c r="J70" s="222"/>
    </row>
    <row r="71" spans="2:11" ht="12.6" customHeight="1">
      <c r="B71" s="227"/>
      <c r="C71" s="227"/>
      <c r="D71" s="227"/>
      <c r="F71" s="227"/>
      <c r="G71" s="1463"/>
      <c r="H71" s="1463"/>
      <c r="I71" s="1463"/>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B11:C11"/>
    <mergeCell ref="B68:E68"/>
    <mergeCell ref="B10:C10"/>
    <mergeCell ref="B6:C8"/>
    <mergeCell ref="J40:K40"/>
    <mergeCell ref="D7:D8"/>
    <mergeCell ref="G7:G8"/>
    <mergeCell ref="B9:C9"/>
    <mergeCell ref="G71:I71"/>
    <mergeCell ref="G67:I67"/>
    <mergeCell ref="G64:I64"/>
    <mergeCell ref="B66:E66"/>
    <mergeCell ref="B40:E40"/>
    <mergeCell ref="B65:E65"/>
    <mergeCell ref="B69:E69"/>
    <mergeCell ref="G69:I69"/>
    <mergeCell ref="G40:I40"/>
    <mergeCell ref="G68:I68"/>
    <mergeCell ref="B67:E67"/>
    <mergeCell ref="G66:I66"/>
    <mergeCell ref="G70:I70"/>
    <mergeCell ref="B3:L3"/>
    <mergeCell ref="B4:L4"/>
    <mergeCell ref="J7:J8"/>
    <mergeCell ref="L7:L8"/>
    <mergeCell ref="J6:L6"/>
    <mergeCell ref="D6:F6"/>
    <mergeCell ref="G6:I6"/>
    <mergeCell ref="I7:I8"/>
    <mergeCell ref="F7:F8"/>
  </mergeCells>
  <phoneticPr fontId="3"/>
  <conditionalFormatting sqref="F41:F44">
    <cfRule type="cellIs" dxfId="174" priority="1" stopIfTrue="1" operator="lessThan">
      <formula>0</formula>
    </cfRule>
  </conditionalFormatting>
  <conditionalFormatting sqref="F47:F48">
    <cfRule type="cellIs" dxfId="173" priority="7" stopIfTrue="1" operator="lessThan">
      <formula>0</formula>
    </cfRule>
  </conditionalFormatting>
  <conditionalFormatting sqref="U41:V41 J41:J43 U43:V46">
    <cfRule type="cellIs" dxfId="172" priority="39"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topLeftCell="A35" zoomScaleNormal="100" zoomScaleSheetLayoutView="100" workbookViewId="0">
      <selection activeCell="Q9" sqref="Q9"/>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1" ht="15" customHeight="1">
      <c r="A1" s="225" t="s">
        <v>99</v>
      </c>
    </row>
    <row r="2" spans="1:1" ht="15" customHeight="1"/>
    <row r="3" spans="1:1" ht="15.9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3" t="s">
        <v>51</v>
      </c>
      <c r="F24" s="238"/>
      <c r="G24" s="1162"/>
    </row>
    <row r="25" spans="1:10" ht="15" customHeight="1">
      <c r="A25" s="233"/>
      <c r="B25" s="234"/>
      <c r="C25" s="1306"/>
      <c r="D25" s="1305" t="s">
        <v>816</v>
      </c>
      <c r="E25" s="1264"/>
      <c r="F25" s="1264"/>
      <c r="G25" s="1264"/>
      <c r="H25" s="1264"/>
    </row>
    <row r="26" spans="1:10" ht="15" customHeight="1" thickBot="1">
      <c r="A26" s="235"/>
      <c r="B26" s="236"/>
      <c r="C26" s="1307" t="str">
        <f>IF(初期登録!D10&gt;5,""&amp;初期登録!D10-5&amp;"月",IF(初期登録!D10&lt;6,""&amp;初期登録!D10+7&amp;"月",""&amp;初期登録!D10-5&amp;"月"))</f>
        <v>6月</v>
      </c>
      <c r="D26" s="1109" t="str">
        <f>IF(初期登録!D10&gt;5,""&amp;初期登録!D10-4&amp;"月",IF(初期登録!D10&lt;5,""&amp;初期登録!D10+8&amp;"月",""&amp;初期登録!D10-4&amp;"月"))</f>
        <v>7月</v>
      </c>
      <c r="E26" s="1109" t="str">
        <f>IF(初期登録!D10&gt;5,""&amp;初期登録!D10-3&amp;"月",IF(初期登録!D10&lt;4,""&amp;初期登録!D10+9&amp;"月",""&amp;初期登録!D10-3&amp;"月"))</f>
        <v>8月</v>
      </c>
      <c r="F26" s="1109" t="str">
        <f>IF(初期登録!D10&gt;5,""&amp;初期登録!D10-2&amp;"月",IF(初期登録!D10&lt;3,""&amp;初期登録!D10+10&amp;"月",""&amp;初期登録!D10-2&amp;"月"))</f>
        <v>9月</v>
      </c>
      <c r="G26" s="1109" t="str">
        <f>IF(初期登録!D10&gt;5,""&amp;初期登録!D10-1&amp;"月",IF(初期登録!D10=1,""&amp;初期登録!D10+11&amp;"月",""&amp;初期登録!D10-1&amp;"月"))</f>
        <v>10月</v>
      </c>
      <c r="H26" s="1109" t="str">
        <f>""&amp;初期登録!D10&amp;"月"</f>
        <v>11月</v>
      </c>
    </row>
    <row r="27" spans="1:10" ht="15" customHeight="1">
      <c r="A27" s="460" t="s">
        <v>133</v>
      </c>
      <c r="B27" s="461"/>
      <c r="C27" s="1308">
        <f ca="1">グラフデータ!D404</f>
        <v>155.69999999999999</v>
      </c>
      <c r="D27" s="566">
        <f ca="1">グラフデータ!D405</f>
        <v>148.9</v>
      </c>
      <c r="E27" s="566">
        <f ca="1">グラフデータ!D406</f>
        <v>146.6</v>
      </c>
      <c r="F27" s="566">
        <f ca="1">グラフデータ!D407</f>
        <v>150.9</v>
      </c>
      <c r="G27" s="566">
        <f ca="1">グラフデータ!D408</f>
        <v>150.6</v>
      </c>
      <c r="H27" s="566">
        <f ca="1">グラフデータ!D409</f>
        <v>153.9</v>
      </c>
      <c r="J27" s="781"/>
    </row>
    <row r="28" spans="1:10" ht="15" customHeight="1" thickBot="1">
      <c r="A28" s="462"/>
      <c r="B28" s="463" t="s">
        <v>65</v>
      </c>
      <c r="C28" s="1309">
        <f ca="1">グラフデータ!I404</f>
        <v>14.5</v>
      </c>
      <c r="D28" s="376">
        <f ca="1">グラフデータ!I405</f>
        <v>-6.7999999999999829</v>
      </c>
      <c r="E28" s="376">
        <f ca="1">グラフデータ!I406</f>
        <v>-2.3000000000000114</v>
      </c>
      <c r="F28" s="376">
        <f ca="1">グラフデータ!I407</f>
        <v>4.3000000000000114</v>
      </c>
      <c r="G28" s="376">
        <f ca="1">グラフデータ!I408</f>
        <v>-0.30000000000001137</v>
      </c>
      <c r="H28" s="376">
        <f ca="1">グラフデータ!I409</f>
        <v>3.3000000000000114</v>
      </c>
    </row>
    <row r="29" spans="1:10" ht="15" customHeight="1">
      <c r="A29" s="464" t="s">
        <v>313</v>
      </c>
      <c r="B29" s="469" t="s">
        <v>67</v>
      </c>
      <c r="C29" s="1310">
        <f ca="1">前月比データ!D464</f>
        <v>-9.1501065631081104</v>
      </c>
      <c r="D29" s="240">
        <f ca="1">前月比データ!D465</f>
        <v>-0.6465154588045664</v>
      </c>
      <c r="E29" s="240">
        <f ca="1">前月比データ!D466</f>
        <v>-3.460057486848521</v>
      </c>
      <c r="F29" s="240">
        <f ca="1">前月比データ!D467</f>
        <v>5.6002574831026681</v>
      </c>
      <c r="G29" s="240">
        <f ca="1">前月比データ!D468</f>
        <v>-5.0795462652493439</v>
      </c>
      <c r="H29" s="240">
        <f ca="1">前月比データ!D469</f>
        <v>-7.8548469921451538</v>
      </c>
    </row>
    <row r="30" spans="1:10" ht="15" customHeight="1">
      <c r="A30" s="466" t="s">
        <v>485</v>
      </c>
      <c r="B30" s="467" t="s">
        <v>136</v>
      </c>
      <c r="C30" s="1311">
        <f ca="1">寄与度データ!E406</f>
        <v>-1.8</v>
      </c>
      <c r="D30" s="241">
        <f ca="1">寄与度データ!E407</f>
        <v>-0.3</v>
      </c>
      <c r="E30" s="241">
        <f ca="1">寄与度データ!E408</f>
        <v>-1</v>
      </c>
      <c r="F30" s="241">
        <f ca="1">寄与度データ!E409</f>
        <v>1.5</v>
      </c>
      <c r="G30" s="241">
        <f ca="1">寄与度データ!E410</f>
        <v>-1.4</v>
      </c>
      <c r="H30" s="241">
        <f ca="1">寄与度データ!E411</f>
        <v>-2.1</v>
      </c>
    </row>
    <row r="31" spans="1:10" ht="15" customHeight="1">
      <c r="A31" s="464" t="s">
        <v>486</v>
      </c>
      <c r="B31" s="469" t="s">
        <v>67</v>
      </c>
      <c r="C31" s="1312">
        <f ca="1">前月比データ!E464</f>
        <v>13.480392156862745</v>
      </c>
      <c r="D31" s="239">
        <f ca="1">前月比データ!E465</f>
        <v>-6.7655786350148235</v>
      </c>
      <c r="E31" s="239">
        <f ca="1">前月比データ!E466</f>
        <v>-3.5000000000000142</v>
      </c>
      <c r="F31" s="239">
        <f ca="1">前月比データ!E467</f>
        <v>1.6403785488959135</v>
      </c>
      <c r="G31" s="239">
        <f ca="1">前月比データ!E468</f>
        <v>6.654567453115547</v>
      </c>
      <c r="H31" s="239">
        <f ca="1">前月比データ!E469</f>
        <v>-0.3519061583577846</v>
      </c>
    </row>
    <row r="32" spans="1:10" ht="15" customHeight="1">
      <c r="A32" s="464"/>
      <c r="B32" s="467" t="s">
        <v>136</v>
      </c>
      <c r="C32" s="1312">
        <f ca="1">寄与度データ!$F406</f>
        <v>5.7</v>
      </c>
      <c r="D32" s="239">
        <f ca="1">寄与度データ!$F407</f>
        <v>-2.9</v>
      </c>
      <c r="E32" s="239">
        <f ca="1">寄与度データ!$F408</f>
        <v>-1.4</v>
      </c>
      <c r="F32" s="239">
        <f ca="1">寄与度データ!$F409</f>
        <v>0.8</v>
      </c>
      <c r="G32" s="239">
        <f ca="1">寄与度データ!$F410</f>
        <v>2.9</v>
      </c>
      <c r="H32" s="239">
        <f ca="1">寄与度データ!$F411</f>
        <v>-0.1</v>
      </c>
    </row>
    <row r="33" spans="1:8" ht="15" customHeight="1">
      <c r="A33" s="468" t="s">
        <v>487</v>
      </c>
      <c r="B33" s="469" t="s">
        <v>67</v>
      </c>
      <c r="C33" s="1313">
        <f ca="1">前月比データ!F464</f>
        <v>39.333333333333329</v>
      </c>
      <c r="D33" s="242">
        <f ca="1">前月比データ!F465</f>
        <v>-16.428033157498113</v>
      </c>
      <c r="E33" s="242">
        <f ca="1">前月比データ!F466</f>
        <v>3.0719482619240077</v>
      </c>
      <c r="F33" s="242">
        <f ca="1">前月比データ!F467</f>
        <v>-2.4174053182917001</v>
      </c>
      <c r="G33" s="242">
        <f ca="1">前月比データ!F468</f>
        <v>-1.3963039014373624</v>
      </c>
      <c r="H33" s="242">
        <f ca="1">前月比データ!F469</f>
        <v>2.6122448979591746</v>
      </c>
    </row>
    <row r="34" spans="1:8" ht="15" customHeight="1">
      <c r="A34" s="466"/>
      <c r="B34" s="467" t="s">
        <v>136</v>
      </c>
      <c r="C34" s="1311">
        <f ca="1">寄与度データ!$G406</f>
        <v>5.2</v>
      </c>
      <c r="D34" s="241">
        <f ca="1">寄与度データ!$G407</f>
        <v>-2.5</v>
      </c>
      <c r="E34" s="241">
        <f ca="1">寄与度データ!$G408</f>
        <v>0.4</v>
      </c>
      <c r="F34" s="241">
        <f ca="1">寄与度データ!$G409</f>
        <v>-0.4</v>
      </c>
      <c r="G34" s="241">
        <f ca="1">寄与度データ!$G410</f>
        <v>-0.3</v>
      </c>
      <c r="H34" s="241">
        <f ca="1">寄与度データ!$G411</f>
        <v>0.3</v>
      </c>
    </row>
    <row r="35" spans="1:8" ht="15" customHeight="1">
      <c r="A35" s="464" t="s">
        <v>314</v>
      </c>
      <c r="B35" s="465" t="s">
        <v>67</v>
      </c>
      <c r="C35" s="1313">
        <f ca="1">前月比データ!G464</f>
        <v>0.63703088214928683</v>
      </c>
      <c r="D35" s="242">
        <f ca="1">前月比データ!G465</f>
        <v>-1.9514914970727628</v>
      </c>
      <c r="E35" s="242">
        <f ca="1">前月比データ!G466</f>
        <v>-4.9624927870744378</v>
      </c>
      <c r="F35" s="242">
        <f ca="1">前月比データ!G467</f>
        <v>5.9144415733563021</v>
      </c>
      <c r="G35" s="242">
        <f ca="1">前月比データ!G468</f>
        <v>-8.1857764876632793</v>
      </c>
      <c r="H35" s="242">
        <f ca="1">前月比データ!G469</f>
        <v>4.1783967995258555</v>
      </c>
    </row>
    <row r="36" spans="1:8" ht="15" customHeight="1">
      <c r="A36" s="464" t="s">
        <v>70</v>
      </c>
      <c r="B36" s="465" t="s">
        <v>136</v>
      </c>
      <c r="C36" s="1312">
        <f ca="1">寄与度データ!$H406</f>
        <v>0.1</v>
      </c>
      <c r="D36" s="239">
        <f ca="1">寄与度データ!$H407</f>
        <v>-0.7</v>
      </c>
      <c r="E36" s="239">
        <f ca="1">寄与度データ!$H408</f>
        <v>-1.6</v>
      </c>
      <c r="F36" s="239">
        <f ca="1">寄与度データ!$H409</f>
        <v>1.9</v>
      </c>
      <c r="G36" s="239">
        <f ca="1">寄与度データ!$H410</f>
        <v>-2.7</v>
      </c>
      <c r="H36" s="239">
        <f ca="1">寄与度データ!$H411</f>
        <v>1.4</v>
      </c>
    </row>
    <row r="37" spans="1:8" ht="15" customHeight="1">
      <c r="A37" s="468" t="s">
        <v>315</v>
      </c>
      <c r="B37" s="469" t="s">
        <v>67</v>
      </c>
      <c r="C37" s="1313">
        <f ca="1">前月比データ!H464</f>
        <v>42.95774647887324</v>
      </c>
      <c r="D37" s="242">
        <f ca="1">前月比データ!H465</f>
        <v>-16.981132075471699</v>
      </c>
      <c r="E37" s="242">
        <f ca="1">前月比データ!H466</f>
        <v>-0.34423407917383819</v>
      </c>
      <c r="F37" s="242">
        <f ca="1">前月比データ!H467</f>
        <v>20.710973724884081</v>
      </c>
      <c r="G37" s="242">
        <f ca="1">前月比データ!H468</f>
        <v>7.5471698113207548</v>
      </c>
      <c r="H37" s="242">
        <f ca="1">前月比データ!H469</f>
        <v>16.448152562574492</v>
      </c>
    </row>
    <row r="38" spans="1:8" ht="15" customHeight="1">
      <c r="A38" s="466" t="s">
        <v>71</v>
      </c>
      <c r="B38" s="467" t="s">
        <v>136</v>
      </c>
      <c r="C38" s="1311">
        <f ca="1">寄与度データ!$I406</f>
        <v>3.3</v>
      </c>
      <c r="D38" s="241">
        <f ca="1">寄与度データ!$I407</f>
        <v>-1.3</v>
      </c>
      <c r="E38" s="241">
        <f ca="1">寄与度データ!$I408</f>
        <v>0</v>
      </c>
      <c r="F38" s="241">
        <f ca="1">寄与度データ!$I409</f>
        <v>1.6</v>
      </c>
      <c r="G38" s="241">
        <f ca="1">寄与度データ!$I410</f>
        <v>0.6</v>
      </c>
      <c r="H38" s="241">
        <f ca="1">寄与度データ!$I411</f>
        <v>1.3</v>
      </c>
    </row>
    <row r="39" spans="1:8" ht="15" customHeight="1">
      <c r="A39" s="464" t="s">
        <v>472</v>
      </c>
      <c r="B39" s="469" t="s">
        <v>67</v>
      </c>
      <c r="C39" s="1312">
        <f ca="1">前月比データ!I464</f>
        <v>-3</v>
      </c>
      <c r="D39" s="239">
        <f ca="1">前月比データ!I465</f>
        <v>-2</v>
      </c>
      <c r="E39" s="239">
        <f ca="1">前月比データ!I466</f>
        <v>-3</v>
      </c>
      <c r="F39" s="239">
        <f ca="1">前月比データ!I467</f>
        <v>2</v>
      </c>
      <c r="G39" s="239">
        <f ca="1">前月比データ!I468</f>
        <v>3</v>
      </c>
      <c r="H39" s="239">
        <f ca="1">前月比データ!I469</f>
        <v>-1</v>
      </c>
    </row>
    <row r="40" spans="1:8" ht="15" customHeight="1">
      <c r="A40" s="702"/>
      <c r="B40" s="645" t="s">
        <v>69</v>
      </c>
      <c r="C40" s="1312">
        <f ca="1">寄与度データ!$J406</f>
        <v>1.5</v>
      </c>
      <c r="D40" s="239">
        <f ca="1">寄与度データ!$J407</f>
        <v>1</v>
      </c>
      <c r="E40" s="239">
        <f ca="1">寄与度データ!$J408</f>
        <v>1.4</v>
      </c>
      <c r="F40" s="239">
        <f ca="1">寄与度データ!$J409</f>
        <v>-0.9</v>
      </c>
      <c r="G40" s="239">
        <f ca="1">寄与度データ!$J410</f>
        <v>-1.4</v>
      </c>
      <c r="H40" s="239">
        <f ca="1">寄与度データ!$J411</f>
        <v>0.5</v>
      </c>
    </row>
    <row r="41" spans="1:8" ht="15" customHeight="1">
      <c r="A41" s="468" t="s">
        <v>139</v>
      </c>
      <c r="B41" s="469" t="s">
        <v>135</v>
      </c>
      <c r="C41" s="1313">
        <f ca="1">前月比データ!J464</f>
        <v>0.29999999999999716</v>
      </c>
      <c r="D41" s="242">
        <f ca="1">前月比データ!J465</f>
        <v>-0.70000000000000284</v>
      </c>
      <c r="E41" s="242">
        <f ca="1">前月比データ!J466</f>
        <v>-0.59999999999999432</v>
      </c>
      <c r="F41" s="242">
        <f ca="1">前月比データ!J467</f>
        <v>-0.70000000000000284</v>
      </c>
      <c r="G41" s="242">
        <f ca="1">前月比データ!J468</f>
        <v>3</v>
      </c>
      <c r="H41" s="242">
        <f ca="1">前月比データ!J469</f>
        <v>3</v>
      </c>
    </row>
    <row r="42" spans="1:8" ht="15" customHeight="1">
      <c r="A42" s="466"/>
      <c r="B42" s="467" t="s">
        <v>136</v>
      </c>
      <c r="C42" s="1312">
        <f ca="1">寄与度データ!$K406</f>
        <v>-0.2</v>
      </c>
      <c r="D42" s="239">
        <f ca="1">寄与度データ!$K407</f>
        <v>-0.8</v>
      </c>
      <c r="E42" s="239">
        <f ca="1">寄与度データ!$K408</f>
        <v>-0.7</v>
      </c>
      <c r="F42" s="239">
        <f ca="1">寄与度データ!$K409</f>
        <v>-0.7</v>
      </c>
      <c r="G42" s="239">
        <f ca="1">寄与度データ!$K410</f>
        <v>1.5</v>
      </c>
      <c r="H42" s="239">
        <f ca="1">寄与度データ!$K411</f>
        <v>1.5</v>
      </c>
    </row>
    <row r="43" spans="1:8" ht="15" customHeight="1">
      <c r="A43" s="468" t="s">
        <v>134</v>
      </c>
      <c r="B43" s="469"/>
      <c r="C43" s="1313"/>
      <c r="D43" s="242"/>
      <c r="E43" s="242"/>
      <c r="F43" s="242"/>
      <c r="G43" s="242"/>
      <c r="H43" s="242"/>
    </row>
    <row r="44" spans="1:8" ht="15" customHeight="1" thickBot="1">
      <c r="A44" s="464"/>
      <c r="B44" s="465" t="s">
        <v>136</v>
      </c>
      <c r="C44" s="1314">
        <f ca="1">寄与度データ!D406</f>
        <v>0.71</v>
      </c>
      <c r="D44" s="237">
        <f ca="1">寄与度データ!D407</f>
        <v>0.56000000000000005</v>
      </c>
      <c r="E44" s="237">
        <f ca="1">寄与度データ!D408</f>
        <v>0.5</v>
      </c>
      <c r="F44" s="237">
        <f ca="1">寄与度データ!D409</f>
        <v>0.55000000000000004</v>
      </c>
      <c r="G44" s="237">
        <f ca="1">寄与度データ!D410</f>
        <v>0.53</v>
      </c>
      <c r="H44" s="237">
        <f ca="1">寄与度データ!D411</f>
        <v>0.54</v>
      </c>
    </row>
    <row r="45" spans="1:8" ht="15" customHeight="1">
      <c r="A45" s="471" t="s">
        <v>142</v>
      </c>
      <c r="B45" s="461"/>
      <c r="C45" s="1308">
        <f ca="1">グラフデータ!M404</f>
        <v>149.1</v>
      </c>
      <c r="D45" s="566">
        <f ca="1">グラフデータ!M405</f>
        <v>148.6</v>
      </c>
      <c r="E45" s="566">
        <f ca="1">グラフデータ!M406</f>
        <v>150.4</v>
      </c>
      <c r="F45" s="566">
        <f ca="1">グラフデータ!M407</f>
        <v>148.79999999999998</v>
      </c>
      <c r="G45" s="566">
        <f ca="1">グラフデータ!M408</f>
        <v>149.36666666666667</v>
      </c>
      <c r="H45" s="566">
        <f ca="1">グラフデータ!M409</f>
        <v>151.79999999999998</v>
      </c>
    </row>
    <row r="46" spans="1:8" ht="15" customHeight="1">
      <c r="A46" s="466"/>
      <c r="B46" s="467" t="s">
        <v>65</v>
      </c>
      <c r="C46" s="1312">
        <f ca="1">グラフデータ!Q404</f>
        <v>3.4666666666666401</v>
      </c>
      <c r="D46" s="239">
        <f ca="1">グラフデータ!Q405</f>
        <v>-0.5</v>
      </c>
      <c r="E46" s="239">
        <f ca="1">グラフデータ!Q406</f>
        <v>1.8000000000000114</v>
      </c>
      <c r="F46" s="239">
        <f ca="1">グラフデータ!Q407</f>
        <v>-1.6000000000000227</v>
      </c>
      <c r="G46" s="239">
        <f ca="1">グラフデータ!Q408</f>
        <v>0.5666666666666913</v>
      </c>
      <c r="H46" s="239">
        <f ca="1">グラフデータ!Q409</f>
        <v>2.4333333333333087</v>
      </c>
    </row>
    <row r="47" spans="1:8" ht="15" customHeight="1">
      <c r="A47" s="464" t="s">
        <v>143</v>
      </c>
      <c r="B47" s="465"/>
      <c r="C47" s="1315">
        <f ca="1">グラフデータ!U404</f>
        <v>146.78571428571428</v>
      </c>
      <c r="D47" s="1110">
        <f ca="1">グラフデータ!U405</f>
        <v>147.90000000000003</v>
      </c>
      <c r="E47" s="1110">
        <f ca="1">グラフデータ!U406</f>
        <v>147.94285714285715</v>
      </c>
      <c r="F47" s="1110">
        <f ca="1">グラフデータ!U407</f>
        <v>148.42857142857142</v>
      </c>
      <c r="G47" s="1110">
        <f ca="1">グラフデータ!U408</f>
        <v>149.18571428571428</v>
      </c>
      <c r="H47" s="1110">
        <f ca="1">グラフデータ!U409</f>
        <v>149.68571428571428</v>
      </c>
    </row>
    <row r="48" spans="1:8" ht="15" customHeight="1" thickBot="1">
      <c r="A48" s="462"/>
      <c r="B48" s="463" t="s">
        <v>65</v>
      </c>
      <c r="C48" s="1314">
        <f ca="1">グラフデータ!Y404</f>
        <v>2.2285714285714278</v>
      </c>
      <c r="D48" s="237">
        <f ca="1">グラフデータ!Y405</f>
        <v>1.1142857142857565</v>
      </c>
      <c r="E48" s="237">
        <f ca="1">グラフデータ!Y406</f>
        <v>4.285714285711606E-2</v>
      </c>
      <c r="F48" s="237">
        <f ca="1">グラフデータ!Y407</f>
        <v>0.48571428571426623</v>
      </c>
      <c r="G48" s="237">
        <f ca="1">グラフデータ!Y408</f>
        <v>0.75714285714286689</v>
      </c>
      <c r="H48" s="237">
        <f ca="1">グラフデータ!Y409</f>
        <v>0.5</v>
      </c>
    </row>
    <row r="49" spans="1:8" ht="15" customHeight="1">
      <c r="B49" s="464"/>
    </row>
    <row r="50" spans="1:8" ht="15" customHeight="1">
      <c r="A50" s="1480" t="s">
        <v>574</v>
      </c>
      <c r="B50" s="1481"/>
      <c r="C50" s="1481"/>
      <c r="D50" s="1481"/>
      <c r="E50" s="1481"/>
      <c r="F50" s="1481"/>
      <c r="G50" s="1481"/>
      <c r="H50" s="1481"/>
    </row>
    <row r="51" spans="1:8" ht="15" customHeight="1">
      <c r="A51" s="1480" t="s">
        <v>599</v>
      </c>
      <c r="B51" s="1481"/>
      <c r="C51" s="1481"/>
      <c r="D51" s="1481"/>
      <c r="E51" s="1481"/>
      <c r="F51" s="1481"/>
      <c r="G51" s="1481"/>
      <c r="H51" s="1481"/>
    </row>
    <row r="52" spans="1:8" ht="15" customHeight="1">
      <c r="A52" s="476" t="s">
        <v>600</v>
      </c>
      <c r="B52"/>
      <c r="C52"/>
      <c r="D52"/>
      <c r="E52"/>
      <c r="F52"/>
      <c r="G52"/>
      <c r="H52"/>
    </row>
    <row r="53" spans="1:8" ht="15" customHeight="1">
      <c r="A53" s="1480" t="s">
        <v>575</v>
      </c>
      <c r="B53" s="1481"/>
      <c r="C53" s="1481"/>
      <c r="D53" s="1481"/>
      <c r="E53" s="1481"/>
      <c r="F53" s="1481"/>
      <c r="G53" s="1481"/>
      <c r="H53" s="1481"/>
    </row>
    <row r="54" spans="1:8" ht="12.6" customHeight="1"/>
    <row r="55" spans="1:8" ht="12.6" customHeight="1">
      <c r="A55" s="1279"/>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171"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topLeftCell="A41" zoomScaleNormal="100" zoomScaleSheetLayoutView="100" workbookViewId="0">
      <selection activeCell="Q9" sqref="Q9"/>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3" t="s">
        <v>51</v>
      </c>
      <c r="G24" s="1163"/>
    </row>
    <row r="25" spans="1:8" ht="15" customHeight="1">
      <c r="A25" s="233"/>
      <c r="B25" s="234"/>
      <c r="C25" s="1306"/>
      <c r="D25" s="1305" t="s">
        <v>816</v>
      </c>
      <c r="E25" s="1264"/>
      <c r="F25" s="1264"/>
      <c r="G25" s="1264"/>
      <c r="H25" s="1264"/>
    </row>
    <row r="26" spans="1:8" ht="15" customHeight="1" thickBot="1">
      <c r="A26" s="238"/>
      <c r="B26" s="243"/>
      <c r="C26" s="1307" t="str">
        <f>IF(初期登録!D10&gt;5,""&amp;初期登録!D10-5&amp;"月",IF(初期登録!D10&lt;6,""&amp;初期登録!D10+7&amp;"月",""&amp;初期登録!D10-5&amp;"月"))</f>
        <v>6月</v>
      </c>
      <c r="D26" s="1109" t="str">
        <f>IF(初期登録!D10&gt;5,""&amp;初期登録!D10-4&amp;"月",IF(初期登録!D10&lt;5,""&amp;初期登録!D10+8&amp;"月",""&amp;初期登録!D10-4&amp;"月"))</f>
        <v>7月</v>
      </c>
      <c r="E26" s="1109" t="str">
        <f>IF(初期登録!D10&gt;5,""&amp;初期登録!D10-3&amp;"月",IF(初期登録!D10&lt;4,""&amp;初期登録!D10+9&amp;"月",""&amp;初期登録!D10-3&amp;"月"))</f>
        <v>8月</v>
      </c>
      <c r="F26" s="1109" t="str">
        <f>IF(初期登録!D10&gt;5,""&amp;初期登録!D10-2&amp;"月",IF(初期登録!D10&lt;3,""&amp;初期登録!D10+10&amp;"月",""&amp;初期登録!D10-2&amp;"月"))</f>
        <v>9月</v>
      </c>
      <c r="G26" s="1109" t="str">
        <f>IF(初期登録!D10&gt;5,""&amp;初期登録!D10-1&amp;"月",IF(初期登録!D10=1,""&amp;初期登録!D10+11&amp;"月",""&amp;初期登録!D10-1&amp;"月"))</f>
        <v>10月</v>
      </c>
      <c r="H26" s="1109" t="str">
        <f>""&amp;初期登録!D10&amp;"月"</f>
        <v>11月</v>
      </c>
    </row>
    <row r="27" spans="1:8" ht="15" customHeight="1">
      <c r="A27" s="460" t="s">
        <v>186</v>
      </c>
      <c r="B27" s="461"/>
      <c r="C27" s="1308">
        <f ca="1">グラフデータ!E404</f>
        <v>141.30000000000001</v>
      </c>
      <c r="D27" s="566">
        <f ca="1">グラフデータ!E405</f>
        <v>133.5</v>
      </c>
      <c r="E27" s="566">
        <f ca="1">グラフデータ!E406</f>
        <v>131.5</v>
      </c>
      <c r="F27" s="566">
        <f ca="1">グラフデータ!E407</f>
        <v>132.1</v>
      </c>
      <c r="G27" s="566">
        <f ca="1">グラフデータ!E408</f>
        <v>132.69999999999999</v>
      </c>
      <c r="H27" s="566">
        <f ca="1">グラフデータ!E409</f>
        <v>138.19999999999999</v>
      </c>
    </row>
    <row r="28" spans="1:8" ht="15" customHeight="1" thickBot="1">
      <c r="A28" s="462"/>
      <c r="B28" s="463" t="s">
        <v>65</v>
      </c>
      <c r="C28" s="1309">
        <f ca="1">グラフデータ!J404</f>
        <v>0.30000000000001137</v>
      </c>
      <c r="D28" s="376">
        <f ca="1">グラフデータ!J405</f>
        <v>-7.8000000000000114</v>
      </c>
      <c r="E28" s="376">
        <f ca="1">グラフデータ!J406</f>
        <v>-2</v>
      </c>
      <c r="F28" s="376">
        <f ca="1">グラフデータ!J407</f>
        <v>0.59999999999999432</v>
      </c>
      <c r="G28" s="376">
        <f ca="1">グラフデータ!J408</f>
        <v>0.59999999999999432</v>
      </c>
      <c r="H28" s="376">
        <f ca="1">グラフデータ!J409</f>
        <v>5.5</v>
      </c>
    </row>
    <row r="29" spans="1:8" ht="15" customHeight="1">
      <c r="A29" s="464" t="s">
        <v>294</v>
      </c>
      <c r="B29" s="469" t="s">
        <v>135</v>
      </c>
      <c r="C29" s="1310">
        <f ca="1">前月比データ!L464</f>
        <v>0</v>
      </c>
      <c r="D29" s="240">
        <f ca="1">前月比データ!L465</f>
        <v>-4.0000000000000036E-2</v>
      </c>
      <c r="E29" s="240">
        <f ca="1">前月比データ!L466</f>
        <v>-4.9999999999999822E-2</v>
      </c>
      <c r="F29" s="240">
        <f ca="1">前月比データ!L467</f>
        <v>-1.0000000000000009E-2</v>
      </c>
      <c r="G29" s="240">
        <f ca="1">前月比データ!L468</f>
        <v>-2.0000000000000018E-2</v>
      </c>
      <c r="H29" s="240">
        <f ca="1">前月比データ!L469</f>
        <v>-1.0000000000000009E-2</v>
      </c>
    </row>
    <row r="30" spans="1:8" ht="15" customHeight="1">
      <c r="A30" s="466" t="s">
        <v>66</v>
      </c>
      <c r="B30" s="467" t="s">
        <v>136</v>
      </c>
      <c r="C30" s="1311">
        <f ca="1">寄与度データ!M406</f>
        <v>-0.187</v>
      </c>
      <c r="D30" s="241">
        <f ca="1">寄与度データ!M407</f>
        <v>-2.7320000000000002</v>
      </c>
      <c r="E30" s="241">
        <f ca="1">寄与度データ!M408</f>
        <v>-3.2149999999999999</v>
      </c>
      <c r="F30" s="241">
        <f ca="1">寄与度データ!M409</f>
        <v>-0.69099999999999995</v>
      </c>
      <c r="G30" s="241">
        <f ca="1">寄与度データ!M410</f>
        <v>-1.2849999999999999</v>
      </c>
      <c r="H30" s="241">
        <f ca="1">寄与度データ!M411</f>
        <v>-0.64700000000000002</v>
      </c>
    </row>
    <row r="31" spans="1:8" ht="15" customHeight="1">
      <c r="A31" s="464" t="s">
        <v>488</v>
      </c>
      <c r="B31" s="469" t="s">
        <v>67</v>
      </c>
      <c r="C31" s="1312">
        <f ca="1">前月比データ!M464</f>
        <v>5.5814853328819174</v>
      </c>
      <c r="D31" s="239">
        <f ca="1">前月比データ!M465</f>
        <v>2.6648715151233824</v>
      </c>
      <c r="E31" s="239">
        <f ca="1">前月比データ!M466</f>
        <v>4.3014850098066608</v>
      </c>
      <c r="F31" s="239">
        <f ca="1">前月比データ!M467</f>
        <v>3.7402698076032741</v>
      </c>
      <c r="G31" s="239">
        <f ca="1">前月比データ!M468</f>
        <v>1.8159920406346699</v>
      </c>
      <c r="H31" s="239">
        <f ca="1">前月比データ!M469</f>
        <v>-5.5158586267943681</v>
      </c>
    </row>
    <row r="32" spans="1:8" ht="15" customHeight="1">
      <c r="A32" s="464"/>
      <c r="B32" s="470" t="s">
        <v>69</v>
      </c>
      <c r="C32" s="1312">
        <f ca="1">寄与度データ!N406</f>
        <v>-1.9</v>
      </c>
      <c r="D32" s="239">
        <f ca="1">寄与度データ!N407</f>
        <v>-0.9</v>
      </c>
      <c r="E32" s="239">
        <f ca="1">寄与度データ!N408</f>
        <v>-1.3</v>
      </c>
      <c r="F32" s="239">
        <f ca="1">寄与度データ!N409</f>
        <v>-1.1000000000000001</v>
      </c>
      <c r="G32" s="239">
        <f ca="1">寄与度データ!N410</f>
        <v>-0.6</v>
      </c>
      <c r="H32" s="239">
        <f ca="1">寄与度データ!N411</f>
        <v>1.7</v>
      </c>
    </row>
    <row r="33" spans="1:11" ht="15" customHeight="1">
      <c r="A33" s="468" t="s">
        <v>489</v>
      </c>
      <c r="B33" s="469" t="s">
        <v>67</v>
      </c>
      <c r="C33" s="1313">
        <f ca="1">前月比データ!N464</f>
        <v>-2.7906976744186114</v>
      </c>
      <c r="D33" s="242">
        <f ca="1">前月比データ!N465</f>
        <v>-4.8309178743961354</v>
      </c>
      <c r="E33" s="242">
        <f ca="1">前月比データ!N466</f>
        <v>2.92682926829269</v>
      </c>
      <c r="F33" s="242">
        <f ca="1">前月比データ!N467</f>
        <v>-3.9215686274509842</v>
      </c>
      <c r="G33" s="242">
        <f ca="1">前月比データ!N468</f>
        <v>-1.0050251256281373</v>
      </c>
      <c r="H33" s="242">
        <f ca="1">前月比データ!N469</f>
        <v>9.615384615384615</v>
      </c>
    </row>
    <row r="34" spans="1:11" ht="15" customHeight="1">
      <c r="A34" s="464" t="s">
        <v>68</v>
      </c>
      <c r="B34" s="467" t="s">
        <v>136</v>
      </c>
      <c r="C34" s="1311">
        <f ca="1">寄与度データ!O406</f>
        <v>-0.8</v>
      </c>
      <c r="D34" s="241">
        <f ca="1">寄与度データ!O407</f>
        <v>-1.3</v>
      </c>
      <c r="E34" s="241">
        <f ca="1">寄与度データ!O408</f>
        <v>0.7</v>
      </c>
      <c r="F34" s="241">
        <f ca="1">寄与度データ!O409</f>
        <v>-1</v>
      </c>
      <c r="G34" s="241">
        <f ca="1">寄与度データ!O410</f>
        <v>-0.3</v>
      </c>
      <c r="H34" s="241">
        <f ca="1">寄与度データ!O411</f>
        <v>2.5</v>
      </c>
    </row>
    <row r="35" spans="1:11" ht="15" customHeight="1">
      <c r="A35" s="468" t="s">
        <v>490</v>
      </c>
      <c r="B35" s="465" t="s">
        <v>67</v>
      </c>
      <c r="C35" s="1313">
        <f ca="1">前月比データ!O464</f>
        <v>12.966601178781927</v>
      </c>
      <c r="D35" s="242">
        <f ca="1">前月比データ!O465</f>
        <v>-17.125688532799209</v>
      </c>
      <c r="E35" s="242">
        <f ca="1">前月比データ!O466</f>
        <v>17.400000000000006</v>
      </c>
      <c r="F35" s="242">
        <f ca="1">前月比データ!O467</f>
        <v>-4.9010367577756861</v>
      </c>
      <c r="G35" s="242">
        <f ca="1">前月比データ!O468</f>
        <v>-1.4598540145985401</v>
      </c>
      <c r="H35" s="242">
        <f ca="1">前月比データ!O469</f>
        <v>10.496980956804457</v>
      </c>
    </row>
    <row r="36" spans="1:11" ht="15" customHeight="1">
      <c r="A36" s="466"/>
      <c r="B36" s="465" t="s">
        <v>136</v>
      </c>
      <c r="C36" s="1312">
        <f ca="1">寄与度データ!P406</f>
        <v>2.2000000000000002</v>
      </c>
      <c r="D36" s="239">
        <f ca="1">寄与度データ!P407</f>
        <v>-2.9</v>
      </c>
      <c r="E36" s="239">
        <f ca="1">寄与度データ!P408</f>
        <v>2.2000000000000002</v>
      </c>
      <c r="F36" s="239">
        <f ca="1">寄与度データ!P409</f>
        <v>-0.8</v>
      </c>
      <c r="G36" s="239">
        <f ca="1">寄与度データ!P410</f>
        <v>-0.2</v>
      </c>
      <c r="H36" s="239">
        <f ca="1">寄与度データ!P411</f>
        <v>1.8</v>
      </c>
    </row>
    <row r="37" spans="1:11" ht="15" customHeight="1">
      <c r="A37" s="464" t="s">
        <v>510</v>
      </c>
      <c r="B37" s="469" t="s">
        <v>67</v>
      </c>
      <c r="C37" s="1313">
        <f ca="1">前月比データ!P464</f>
        <v>3.4672970843183539</v>
      </c>
      <c r="D37" s="242">
        <f ca="1">前月比データ!P465</f>
        <v>-3.3871602993304433</v>
      </c>
      <c r="E37" s="242">
        <f ca="1">前月比データ!P466</f>
        <v>0.95693779904306442</v>
      </c>
      <c r="F37" s="242">
        <f ca="1">前月比データ!P467</f>
        <v>8.4378563283922414</v>
      </c>
      <c r="G37" s="242">
        <f ca="1">前月比データ!P468</f>
        <v>7.2912869121395801E-2</v>
      </c>
      <c r="H37" s="242">
        <f ca="1">前月比データ!P469</f>
        <v>2.2342342342342505</v>
      </c>
    </row>
    <row r="38" spans="1:11" ht="15" customHeight="1">
      <c r="A38" s="464"/>
      <c r="B38" s="467" t="s">
        <v>136</v>
      </c>
      <c r="C38" s="1311">
        <f ca="1">寄与度データ!Q406</f>
        <v>1.1000000000000001</v>
      </c>
      <c r="D38" s="241">
        <f ca="1">寄与度データ!Q407</f>
        <v>-1.2</v>
      </c>
      <c r="E38" s="241">
        <f ca="1">寄与度データ!Q408</f>
        <v>0.2</v>
      </c>
      <c r="F38" s="241">
        <f ca="1">寄与度データ!Q409</f>
        <v>1.3</v>
      </c>
      <c r="G38" s="241">
        <f ca="1">寄与度データ!Q410</f>
        <v>0</v>
      </c>
      <c r="H38" s="241">
        <f ca="1">寄与度データ!Q411</f>
        <v>0.7</v>
      </c>
    </row>
    <row r="39" spans="1:11" ht="15" customHeight="1">
      <c r="A39" s="468" t="s">
        <v>511</v>
      </c>
      <c r="B39" s="465" t="s">
        <v>67</v>
      </c>
      <c r="C39" s="1312">
        <f ca="1">前月比データ!Q464</f>
        <v>-1.163188504960649</v>
      </c>
      <c r="D39" s="239">
        <f ca="1">前月比データ!Q465</f>
        <v>2.6485568760611051</v>
      </c>
      <c r="E39" s="239">
        <f ca="1">前月比データ!Q466</f>
        <v>-1.010441226002021</v>
      </c>
      <c r="F39" s="239">
        <f ca="1">前月比データ!Q467</f>
        <v>10.883482714468631</v>
      </c>
      <c r="G39" s="239">
        <f ca="1">前月比データ!Q468</f>
        <v>7.424729611224798</v>
      </c>
      <c r="H39" s="239">
        <f ca="1">前月比データ!Q469</f>
        <v>0.11267605633802176</v>
      </c>
    </row>
    <row r="40" spans="1:11" ht="15" customHeight="1">
      <c r="A40" s="466"/>
      <c r="B40" s="465" t="s">
        <v>136</v>
      </c>
      <c r="C40" s="1312">
        <f ca="1">寄与度データ!R406</f>
        <v>-0.4</v>
      </c>
      <c r="D40" s="239">
        <f ca="1">寄与度データ!R407</f>
        <v>0.6</v>
      </c>
      <c r="E40" s="239">
        <f ca="1">寄与度データ!R408</f>
        <v>-0.3</v>
      </c>
      <c r="F40" s="239">
        <f ca="1">寄与度データ!R409</f>
        <v>1.9</v>
      </c>
      <c r="G40" s="239">
        <f ca="1">寄与度データ!R410</f>
        <v>1.8</v>
      </c>
      <c r="H40" s="239">
        <f ca="1">寄与度データ!R411</f>
        <v>0</v>
      </c>
    </row>
    <row r="41" spans="1:11" ht="15" customHeight="1">
      <c r="A41" s="1180" t="s">
        <v>794</v>
      </c>
      <c r="B41" s="469" t="s">
        <v>135</v>
      </c>
      <c r="C41" s="1316">
        <f ca="1">前月比データ!R464</f>
        <v>-1.9000000000000057</v>
      </c>
      <c r="D41" s="1145">
        <f ca="1">前月比データ!R465</f>
        <v>0.10000000000000853</v>
      </c>
      <c r="E41" s="242">
        <f ca="1">前月比データ!R466</f>
        <v>-2</v>
      </c>
      <c r="F41" s="242">
        <f ca="1">前月比データ!R467</f>
        <v>-2.1000000000000085</v>
      </c>
      <c r="G41" s="242">
        <f ca="1">前月比データ!R468</f>
        <v>-0.5</v>
      </c>
      <c r="H41" s="242">
        <f ca="1">前月比データ!R469</f>
        <v>0.29999999999999716</v>
      </c>
    </row>
    <row r="42" spans="1:11" ht="15" customHeight="1">
      <c r="A42" s="466"/>
      <c r="B42" s="470" t="s">
        <v>69</v>
      </c>
      <c r="C42" s="1312">
        <f ca="1">寄与度データ!S406</f>
        <v>0.5</v>
      </c>
      <c r="D42" s="239">
        <f ca="1">寄与度データ!S407</f>
        <v>-0.1</v>
      </c>
      <c r="E42" s="239">
        <f ca="1">寄与度データ!S408</f>
        <v>0.5</v>
      </c>
      <c r="F42" s="239">
        <f ca="1">寄与度データ!S409</f>
        <v>0.6</v>
      </c>
      <c r="G42" s="239">
        <f ca="1">寄与度データ!S410</f>
        <v>0.1</v>
      </c>
      <c r="H42" s="239">
        <f ca="1">寄与度データ!S411</f>
        <v>-0.2</v>
      </c>
      <c r="K42" s="948"/>
    </row>
    <row r="43" spans="1:11" ht="15" customHeight="1">
      <c r="A43" s="468" t="s">
        <v>644</v>
      </c>
      <c r="B43" s="469" t="s">
        <v>67</v>
      </c>
      <c r="C43" s="1313">
        <f ca="1">前月比データ!S464</f>
        <v>-11.433597185576076</v>
      </c>
      <c r="D43" s="242">
        <f ca="1">前月比データ!S465</f>
        <v>11.2420425301368</v>
      </c>
      <c r="E43" s="242">
        <f ca="1">前月比データ!S466</f>
        <v>-24.067045794672261</v>
      </c>
      <c r="F43" s="242">
        <f ca="1">前月比データ!S467</f>
        <v>12.074940852995725</v>
      </c>
      <c r="G43" s="242">
        <f ca="1">前月比データ!S468</f>
        <v>23.89584461647922</v>
      </c>
      <c r="H43" s="242">
        <f ca="1">前月比データ!S469</f>
        <v>-10.598024232617144</v>
      </c>
    </row>
    <row r="44" spans="1:11" ht="15" customHeight="1" thickBot="1">
      <c r="A44" s="464"/>
      <c r="B44" s="465" t="s">
        <v>136</v>
      </c>
      <c r="C44" s="1314">
        <f ca="1">寄与度データ!T406</f>
        <v>-0.3</v>
      </c>
      <c r="D44" s="237">
        <f ca="1">寄与度データ!T407</f>
        <v>0.6</v>
      </c>
      <c r="E44" s="237">
        <f ca="1">寄与度データ!T408</f>
        <v>-0.9</v>
      </c>
      <c r="F44" s="237">
        <f ca="1">寄与度データ!T409</f>
        <v>0.6</v>
      </c>
      <c r="G44" s="237">
        <f ca="1">寄与度データ!T410</f>
        <v>1.1000000000000001</v>
      </c>
      <c r="H44" s="237">
        <f ca="1">寄与度データ!T411</f>
        <v>-0.3</v>
      </c>
    </row>
    <row r="45" spans="1:11" ht="15" customHeight="1">
      <c r="A45" s="471" t="s">
        <v>142</v>
      </c>
      <c r="B45" s="461"/>
      <c r="C45" s="1317">
        <f ca="1">グラフデータ!N404</f>
        <v>140.36666666666667</v>
      </c>
      <c r="D45" s="1144">
        <f ca="1">グラフデータ!N405</f>
        <v>138.6</v>
      </c>
      <c r="E45" s="566">
        <f ca="1">グラフデータ!N406</f>
        <v>135.43333333333334</v>
      </c>
      <c r="F45" s="566">
        <f ca="1">グラフデータ!N407</f>
        <v>132.36666666666667</v>
      </c>
      <c r="G45" s="566">
        <f ca="1">グラフデータ!N408</f>
        <v>132.1</v>
      </c>
      <c r="H45" s="566">
        <f ca="1">グラフデータ!N409</f>
        <v>134.33333333333331</v>
      </c>
    </row>
    <row r="46" spans="1:11" ht="15" customHeight="1">
      <c r="A46" s="466"/>
      <c r="B46" s="467" t="s">
        <v>65</v>
      </c>
      <c r="C46" s="1312">
        <f ca="1">グラフデータ!R404</f>
        <v>-4.0666666666666629</v>
      </c>
      <c r="D46" s="239">
        <f ca="1">グラフデータ!R405</f>
        <v>-1.7666666666666799</v>
      </c>
      <c r="E46" s="239">
        <f ca="1">グラフデータ!R406</f>
        <v>-3.1666666666666572</v>
      </c>
      <c r="F46" s="239">
        <f ca="1">グラフデータ!R407</f>
        <v>-3.0666666666666629</v>
      </c>
      <c r="G46" s="239">
        <f ca="1">グラフデータ!R408</f>
        <v>-0.26666666666667993</v>
      </c>
      <c r="H46" s="239">
        <f ca="1">グラフデータ!R409</f>
        <v>2.2333333333333201</v>
      </c>
    </row>
    <row r="47" spans="1:11" ht="15" customHeight="1">
      <c r="A47" s="464" t="s">
        <v>143</v>
      </c>
      <c r="B47" s="465"/>
      <c r="C47" s="1315">
        <f ca="1">グラフデータ!V404</f>
        <v>143.97142857142856</v>
      </c>
      <c r="D47" s="1110">
        <f ca="1">グラフデータ!V405</f>
        <v>143.22857142857143</v>
      </c>
      <c r="E47" s="1110">
        <f ca="1">グラフデータ!V406</f>
        <v>141.1</v>
      </c>
      <c r="F47" s="1110">
        <f ca="1">グラフデータ!V407</f>
        <v>138.81428571428572</v>
      </c>
      <c r="G47" s="1110">
        <f ca="1">グラフデータ!V408</f>
        <v>135.84285714285716</v>
      </c>
      <c r="H47" s="1110">
        <f ca="1">グラフデータ!V409</f>
        <v>135.75714285714284</v>
      </c>
    </row>
    <row r="48" spans="1:11" ht="15" customHeight="1" thickBot="1">
      <c r="A48" s="462"/>
      <c r="B48" s="463" t="s">
        <v>65</v>
      </c>
      <c r="C48" s="1314">
        <f ca="1">グラフデータ!Z404</f>
        <v>0.12857142857140502</v>
      </c>
      <c r="D48" s="237">
        <f ca="1">グラフデータ!Z405</f>
        <v>-0.74285714285713311</v>
      </c>
      <c r="E48" s="237">
        <f ca="1">グラフデータ!Z406</f>
        <v>-2.1285714285714334</v>
      </c>
      <c r="F48" s="237">
        <f ca="1">グラフデータ!Z407</f>
        <v>-2.2857142857142776</v>
      </c>
      <c r="G48" s="237">
        <f ca="1">グラフデータ!Z408</f>
        <v>-2.9714285714285609</v>
      </c>
      <c r="H48" s="237">
        <f ca="1">グラフデータ!Z409</f>
        <v>-8.5714285714317384E-2</v>
      </c>
    </row>
    <row r="49" spans="1:16" ht="15" customHeight="1">
      <c r="B49" s="464"/>
      <c r="C49" s="239"/>
      <c r="D49" s="239"/>
      <c r="E49" s="239"/>
      <c r="F49" s="239"/>
      <c r="G49" s="239"/>
      <c r="H49" s="239"/>
      <c r="K49" s="1281"/>
      <c r="L49" s="1281"/>
      <c r="M49" s="1281"/>
      <c r="N49" s="1281"/>
      <c r="O49" s="1281"/>
      <c r="P49" s="1281"/>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80"/>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27:H49">
    <cfRule type="cellIs" dxfId="170" priority="1" stopIfTrue="1" operator="lessThan">
      <formula>0</formula>
    </cfRule>
  </conditionalFormatting>
  <conditionalFormatting sqref="K49:P49">
    <cfRule type="cellIs" dxfId="169" priority="2" stopIfTrue="1" operator="notEqual">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topLeftCell="A32" zoomScaleNormal="100" zoomScaleSheetLayoutView="100" workbookViewId="0">
      <selection activeCell="Q9" sqref="Q9"/>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3"/>
      <c r="H24" s="227"/>
    </row>
    <row r="25" spans="1:8" ht="15" customHeight="1">
      <c r="A25" s="471"/>
      <c r="B25" s="472"/>
      <c r="C25" s="1306"/>
      <c r="D25" s="1305" t="s">
        <v>816</v>
      </c>
      <c r="E25" s="1264"/>
      <c r="F25" s="1264"/>
      <c r="G25" s="1264"/>
      <c r="H25" s="1264"/>
    </row>
    <row r="26" spans="1:8" ht="15" customHeight="1" thickBot="1">
      <c r="A26" s="464"/>
      <c r="B26" s="473"/>
      <c r="C26" s="1307" t="str">
        <f>IF(初期登録!D10&gt;5,""&amp;初期登録!D10-5&amp;"月",IF(初期登録!D10&lt;6,""&amp;初期登録!D10+7&amp;"月",""&amp;初期登録!D10-5&amp;"月"))</f>
        <v>6月</v>
      </c>
      <c r="D26" s="1109" t="str">
        <f>IF(初期登録!D10&gt;5,""&amp;初期登録!D10-4&amp;"月",IF(初期登録!D10&lt;5,""&amp;初期登録!D10+8&amp;"月",""&amp;初期登録!D10-4&amp;"月"))</f>
        <v>7月</v>
      </c>
      <c r="E26" s="1109" t="str">
        <f>IF(初期登録!D10&gt;5,""&amp;初期登録!D10-3&amp;"月",IF(初期登録!D10&lt;4,""&amp;初期登録!D10+9&amp;"月",""&amp;初期登録!D10-3&amp;"月"))</f>
        <v>8月</v>
      </c>
      <c r="F26" s="1109" t="str">
        <f>IF(初期登録!D10&gt;5,""&amp;初期登録!D10-2&amp;"月",IF(初期登録!D10&lt;3,""&amp;初期登録!D10+10&amp;"月",""&amp;初期登録!D10-2&amp;"月"))</f>
        <v>9月</v>
      </c>
      <c r="G26" s="1109" t="str">
        <f>IF(初期登録!D10&gt;5,""&amp;初期登録!D10-1&amp;"月",IF(初期登録!D10=1,""&amp;初期登録!D10+11&amp;"月",""&amp;初期登録!D10-1&amp;"月"))</f>
        <v>10月</v>
      </c>
      <c r="H26" s="1109" t="str">
        <f>""&amp;初期登録!D10&amp;"月"</f>
        <v>11月</v>
      </c>
    </row>
    <row r="27" spans="1:8" ht="15" customHeight="1">
      <c r="A27" s="460" t="s">
        <v>187</v>
      </c>
      <c r="B27" s="461"/>
      <c r="C27" s="1308">
        <f ca="1">グラフデータ!F404</f>
        <v>123.9</v>
      </c>
      <c r="D27" s="566">
        <f ca="1">グラフデータ!F405</f>
        <v>125.1</v>
      </c>
      <c r="E27" s="566">
        <f ca="1">グラフデータ!F406</f>
        <v>118.6</v>
      </c>
      <c r="F27" s="566">
        <f ca="1">グラフデータ!F407</f>
        <v>119.8</v>
      </c>
      <c r="G27" s="566">
        <f ca="1">グラフデータ!F408</f>
        <v>122.1</v>
      </c>
      <c r="H27" s="566">
        <f ca="1">グラフデータ!F409</f>
        <v>125.6</v>
      </c>
    </row>
    <row r="28" spans="1:8" ht="15" customHeight="1" thickBot="1">
      <c r="A28" s="462"/>
      <c r="B28" s="463" t="s">
        <v>65</v>
      </c>
      <c r="C28" s="1309">
        <f ca="1">グラフデータ!K404</f>
        <v>0</v>
      </c>
      <c r="D28" s="376">
        <f ca="1">グラフデータ!K405</f>
        <v>1.1999999999999886</v>
      </c>
      <c r="E28" s="376">
        <f ca="1">グラフデータ!K406</f>
        <v>-6.5</v>
      </c>
      <c r="F28" s="376">
        <f ca="1">グラフデータ!K407</f>
        <v>1.2000000000000028</v>
      </c>
      <c r="G28" s="376">
        <f ca="1">グラフデータ!K408</f>
        <v>2.2999999999999972</v>
      </c>
      <c r="H28" s="376">
        <f ca="1">グラフデータ!K409</f>
        <v>3.5</v>
      </c>
    </row>
    <row r="29" spans="1:8" ht="15" customHeight="1">
      <c r="A29" s="1163" t="s">
        <v>795</v>
      </c>
      <c r="B29" s="465" t="s">
        <v>67</v>
      </c>
      <c r="C29" s="1310">
        <f ca="1">前月比データ!U464</f>
        <v>-0.28721876495930798</v>
      </c>
      <c r="D29" s="240">
        <f ca="1">前月比データ!U465</f>
        <v>0.19157088122605634</v>
      </c>
      <c r="E29" s="240">
        <f ca="1">前月比データ!U466</f>
        <v>-0.67210753720595562</v>
      </c>
      <c r="F29" s="240">
        <f ca="1">前月比データ!U467</f>
        <v>-0.38610038610037789</v>
      </c>
      <c r="G29" s="240">
        <f ca="1">前月比データ!U468</f>
        <v>0.38610038610037789</v>
      </c>
      <c r="H29" s="240">
        <f ca="1">前月比データ!U469</f>
        <v>0.57636887608069987</v>
      </c>
    </row>
    <row r="30" spans="1:8" ht="15" customHeight="1">
      <c r="A30" s="466" t="s">
        <v>72</v>
      </c>
      <c r="B30" s="467" t="s">
        <v>136</v>
      </c>
      <c r="C30" s="1311">
        <f ca="1">寄与度データ!W406</f>
        <v>-0.8</v>
      </c>
      <c r="D30" s="241">
        <f ca="1">寄与度データ!W407</f>
        <v>0.4</v>
      </c>
      <c r="E30" s="241">
        <f ca="1">寄与度データ!W408</f>
        <v>-1.7</v>
      </c>
      <c r="F30" s="241">
        <f ca="1">寄与度データ!W409</f>
        <v>-0.9</v>
      </c>
      <c r="G30" s="241">
        <f ca="1">寄与度データ!W410</f>
        <v>0.8</v>
      </c>
      <c r="H30" s="241">
        <f ca="1">寄与度データ!W411</f>
        <v>1.3</v>
      </c>
    </row>
    <row r="31" spans="1:8" ht="15" customHeight="1">
      <c r="A31" s="464" t="s">
        <v>492</v>
      </c>
      <c r="B31" s="465" t="s">
        <v>67</v>
      </c>
      <c r="C31" s="1312">
        <f ca="1">前月比データ!V464</f>
        <v>13.642213642213646</v>
      </c>
      <c r="D31" s="239">
        <f ca="1">前月比データ!V465</f>
        <v>-23.719676549865234</v>
      </c>
      <c r="E31" s="239">
        <f ca="1">前月比データ!V466</f>
        <v>25.600000000000009</v>
      </c>
      <c r="F31" s="239">
        <f ca="1">前月比データ!V467</f>
        <v>-7.7773229635693815</v>
      </c>
      <c r="G31" s="239">
        <f ca="1">前月比データ!V468</f>
        <v>-3.3780857514075406</v>
      </c>
      <c r="H31" s="239">
        <f ca="1">前月比データ!V469</f>
        <v>14.542483660130728</v>
      </c>
    </row>
    <row r="32" spans="1:8" ht="15" customHeight="1">
      <c r="A32" s="464"/>
      <c r="B32" s="465" t="s">
        <v>136</v>
      </c>
      <c r="C32" s="1312">
        <f ca="1">寄与度データ!X406</f>
        <v>1.4</v>
      </c>
      <c r="D32" s="239">
        <f ca="1">寄与度データ!X407</f>
        <v>-2.4</v>
      </c>
      <c r="E32" s="239">
        <f ca="1">寄与度データ!X408</f>
        <v>1.3</v>
      </c>
      <c r="F32" s="239">
        <f ca="1">寄与度データ!X409</f>
        <v>-0.9</v>
      </c>
      <c r="G32" s="239">
        <f ca="1">寄与度データ!X410</f>
        <v>-0.4</v>
      </c>
      <c r="H32" s="239">
        <f ca="1">寄与度データ!X411</f>
        <v>1.5</v>
      </c>
    </row>
    <row r="33" spans="1:8" ht="15" customHeight="1">
      <c r="A33" s="468" t="s">
        <v>627</v>
      </c>
      <c r="B33" s="469" t="s">
        <v>135</v>
      </c>
      <c r="C33" s="1313">
        <f ca="1">前月比データ!W464</f>
        <v>0</v>
      </c>
      <c r="D33" s="242">
        <f ca="1">前月比データ!W465</f>
        <v>-0.20000000000000018</v>
      </c>
      <c r="E33" s="242">
        <f ca="1">前月比データ!W466</f>
        <v>0.30000000000000027</v>
      </c>
      <c r="F33" s="242">
        <f ca="1">前月比データ!W467</f>
        <v>0</v>
      </c>
      <c r="G33" s="242">
        <f ca="1">前月比データ!W468</f>
        <v>0</v>
      </c>
      <c r="H33" s="242">
        <f ca="1">前月比データ!W469</f>
        <v>0</v>
      </c>
    </row>
    <row r="34" spans="1:8" ht="15" customHeight="1">
      <c r="A34" s="466" t="s">
        <v>629</v>
      </c>
      <c r="B34" s="645" t="s">
        <v>628</v>
      </c>
      <c r="C34" s="1311">
        <f ca="1">寄与度データ!Y406</f>
        <v>-0.04</v>
      </c>
      <c r="D34" s="241">
        <f ca="1">寄与度データ!Y407</f>
        <v>1.3</v>
      </c>
      <c r="E34" s="241">
        <f ca="1">寄与度データ!Y408</f>
        <v>-2.0699999999999998</v>
      </c>
      <c r="F34" s="241">
        <f ca="1">寄与度データ!Y409</f>
        <v>-0.05</v>
      </c>
      <c r="G34" s="241">
        <f ca="1">寄与度データ!Y410</f>
        <v>-0.06</v>
      </c>
      <c r="H34" s="241">
        <f ca="1">寄与度データ!Y411</f>
        <v>-0.05</v>
      </c>
    </row>
    <row r="35" spans="1:8" ht="15" customHeight="1">
      <c r="A35" s="464" t="s">
        <v>638</v>
      </c>
      <c r="B35" s="469" t="s">
        <v>135</v>
      </c>
      <c r="C35" s="1313">
        <f ca="1">前月比データ!X464</f>
        <v>1.6</v>
      </c>
      <c r="D35" s="242">
        <f ca="1">前月比データ!X465</f>
        <v>2.6</v>
      </c>
      <c r="E35" s="242">
        <f ca="1">前月比データ!X466</f>
        <v>-3.7</v>
      </c>
      <c r="F35" s="242">
        <f ca="1">前月比データ!X467</f>
        <v>-1.4999999999999998</v>
      </c>
      <c r="G35" s="242">
        <f ca="1">前月比データ!X468</f>
        <v>3.1999999999999997</v>
      </c>
      <c r="H35" s="242">
        <f ca="1">前月比データ!X469</f>
        <v>-0.7</v>
      </c>
    </row>
    <row r="36" spans="1:8" ht="15" customHeight="1">
      <c r="A36" s="464" t="s">
        <v>525</v>
      </c>
      <c r="B36" s="467" t="s">
        <v>136</v>
      </c>
      <c r="C36" s="1312">
        <f ca="1">寄与度データ!Z406</f>
        <v>0.6</v>
      </c>
      <c r="D36" s="239">
        <f ca="1">寄与度データ!Z407</f>
        <v>0.9</v>
      </c>
      <c r="E36" s="239">
        <f ca="1">寄与度データ!Z408</f>
        <v>-1.2</v>
      </c>
      <c r="F36" s="239">
        <f ca="1">寄与度データ!Z409</f>
        <v>-0.5</v>
      </c>
      <c r="G36" s="239">
        <f ca="1">寄与度データ!Z410</f>
        <v>1.1000000000000001</v>
      </c>
      <c r="H36" s="239">
        <f ca="1">寄与度データ!Z411</f>
        <v>-0.2</v>
      </c>
    </row>
    <row r="37" spans="1:8" ht="15" customHeight="1">
      <c r="A37" s="751" t="s">
        <v>544</v>
      </c>
      <c r="B37" s="469" t="s">
        <v>67</v>
      </c>
      <c r="C37" s="1313">
        <f ca="1">前月比データ!Y464</f>
        <v>-5.3475646410505702</v>
      </c>
      <c r="D37" s="242">
        <f ca="1">前月比データ!Y465</f>
        <v>36.015580219894744</v>
      </c>
      <c r="E37" s="242">
        <f ca="1">前月比データ!Y466</f>
        <v>-36.188266198222806</v>
      </c>
      <c r="F37" s="242">
        <f ca="1">前月比データ!Y467</f>
        <v>31.437635822176912</v>
      </c>
      <c r="G37" s="242">
        <f ca="1">前月比データ!Y468</f>
        <v>-3.841956098259792</v>
      </c>
      <c r="H37" s="242">
        <f ca="1">前月比データ!Y469</f>
        <v>13.556210010921108</v>
      </c>
    </row>
    <row r="38" spans="1:8" ht="15" customHeight="1">
      <c r="A38" s="466" t="s">
        <v>524</v>
      </c>
      <c r="B38" s="467" t="s">
        <v>136</v>
      </c>
      <c r="C38" s="1311">
        <f ca="1">寄与度データ!AA406</f>
        <v>-0.5</v>
      </c>
      <c r="D38" s="241">
        <f ca="1">寄与度データ!AA407</f>
        <v>3.1</v>
      </c>
      <c r="E38" s="241">
        <f ca="1">寄与度データ!AA408</f>
        <v>-3.7</v>
      </c>
      <c r="F38" s="241">
        <f ca="1">寄与度データ!AA409</f>
        <v>2.2000000000000002</v>
      </c>
      <c r="G38" s="241">
        <f ca="1">寄与度データ!AA410</f>
        <v>-0.4</v>
      </c>
      <c r="H38" s="241">
        <f ca="1">寄与度データ!AA411</f>
        <v>1.5</v>
      </c>
    </row>
    <row r="39" spans="1:8" ht="15" customHeight="1">
      <c r="A39" s="468" t="s">
        <v>522</v>
      </c>
      <c r="B39" s="469" t="s">
        <v>135</v>
      </c>
      <c r="C39" s="1312">
        <f ca="1">前月比データ!Z464</f>
        <v>0</v>
      </c>
      <c r="D39" s="239">
        <f ca="1">前月比データ!Z465</f>
        <v>-0.19999999999999973</v>
      </c>
      <c r="E39" s="239">
        <f ca="1">前月比データ!Z466</f>
        <v>-0.39999999999999991</v>
      </c>
      <c r="F39" s="239">
        <f ca="1">前月比データ!Z467</f>
        <v>0.89999999999999991</v>
      </c>
      <c r="G39" s="239">
        <f ca="1">前月比データ!Z468</f>
        <v>0.10000000000000009</v>
      </c>
      <c r="H39" s="239">
        <f ca="1">前月比データ!Z469</f>
        <v>9.9999999999999645E-2</v>
      </c>
    </row>
    <row r="40" spans="1:8" ht="15" customHeight="1">
      <c r="A40" s="464" t="s">
        <v>473</v>
      </c>
      <c r="B40" s="467" t="s">
        <v>136</v>
      </c>
      <c r="C40" s="1312">
        <f ca="1">寄与度データ!AB406</f>
        <v>-0.1</v>
      </c>
      <c r="D40" s="239">
        <f ca="1">寄与度データ!AB407</f>
        <v>-0.6</v>
      </c>
      <c r="E40" s="239">
        <f ca="1">寄与度データ!AB408</f>
        <v>-1</v>
      </c>
      <c r="F40" s="239">
        <f ca="1">寄与度データ!AB409</f>
        <v>1.9</v>
      </c>
      <c r="G40" s="239">
        <f ca="1">寄与度データ!AB410</f>
        <v>0.1</v>
      </c>
      <c r="H40" s="239">
        <f ca="1">寄与度データ!AB411</f>
        <v>0.1</v>
      </c>
    </row>
    <row r="41" spans="1:8" ht="15" customHeight="1">
      <c r="A41" s="468" t="s">
        <v>523</v>
      </c>
      <c r="B41" s="469" t="s">
        <v>67</v>
      </c>
      <c r="C41" s="1313">
        <f ca="1">前月比データ!AA464</f>
        <v>-20.440870084648221</v>
      </c>
      <c r="D41" s="242">
        <f ca="1">前月比データ!AA465</f>
        <v>-34.701300679857546</v>
      </c>
      <c r="E41" s="242">
        <f ca="1">前月比データ!AA466</f>
        <v>66.22279760803896</v>
      </c>
      <c r="F41" s="242">
        <f ca="1">前月比データ!AA467</f>
        <v>-16.955964731593347</v>
      </c>
      <c r="G41" s="242">
        <f ca="1">前月比データ!AA468</f>
        <v>12.00206398348814</v>
      </c>
      <c r="H41" s="242">
        <f ca="1">前月比データ!AA469</f>
        <v>-17.116283985520653</v>
      </c>
    </row>
    <row r="42" spans="1:8" ht="15" customHeight="1">
      <c r="A42" s="466" t="s">
        <v>474</v>
      </c>
      <c r="B42" s="467" t="s">
        <v>136</v>
      </c>
      <c r="C42" s="1312">
        <f ca="1">寄与度データ!AC406</f>
        <v>-1.2</v>
      </c>
      <c r="D42" s="239">
        <f ca="1">寄与度データ!AC407</f>
        <v>-1.9</v>
      </c>
      <c r="E42" s="239">
        <f ca="1">寄与度データ!AC408</f>
        <v>1.6</v>
      </c>
      <c r="F42" s="239">
        <f ca="1">寄与度データ!AC409</f>
        <v>-0.9</v>
      </c>
      <c r="G42" s="239">
        <f ca="1">寄与度データ!AC410</f>
        <v>0.7</v>
      </c>
      <c r="H42" s="239">
        <f ca="1">寄与度データ!AC411</f>
        <v>-0.9</v>
      </c>
    </row>
    <row r="43" spans="1:8" ht="15" customHeight="1">
      <c r="A43" s="468" t="s">
        <v>134</v>
      </c>
      <c r="B43" s="469"/>
      <c r="C43" s="1313"/>
      <c r="D43" s="242"/>
      <c r="E43" s="242"/>
      <c r="F43" s="242"/>
      <c r="G43" s="242"/>
      <c r="H43" s="242"/>
    </row>
    <row r="44" spans="1:8" ht="15" customHeight="1" thickBot="1">
      <c r="A44" s="464"/>
      <c r="B44" s="465" t="s">
        <v>136</v>
      </c>
      <c r="C44" s="1314">
        <f ca="1">寄与度データ!V406</f>
        <v>0.68</v>
      </c>
      <c r="D44" s="237">
        <f ca="1">寄与度データ!V407</f>
        <v>0.51</v>
      </c>
      <c r="E44" s="237">
        <f ca="1">寄与度データ!V408</f>
        <v>0.44</v>
      </c>
      <c r="F44" s="237">
        <f ca="1">寄与度データ!V409</f>
        <v>0.49</v>
      </c>
      <c r="G44" s="237">
        <f ca="1">寄与度データ!V410</f>
        <v>0.47</v>
      </c>
      <c r="H44" s="237">
        <f ca="1">寄与度データ!V411</f>
        <v>0.48</v>
      </c>
    </row>
    <row r="45" spans="1:8" ht="15" customHeight="1">
      <c r="A45" s="471" t="s">
        <v>142</v>
      </c>
      <c r="B45" s="461"/>
      <c r="C45" s="1308">
        <f ca="1">グラフデータ!O404</f>
        <v>124.36666666666667</v>
      </c>
      <c r="D45" s="566">
        <f ca="1">グラフデータ!O405</f>
        <v>124.3</v>
      </c>
      <c r="E45" s="566">
        <f ca="1">グラフデータ!O406</f>
        <v>122.53333333333335</v>
      </c>
      <c r="F45" s="566">
        <f ca="1">グラフデータ!O407</f>
        <v>121.16666666666667</v>
      </c>
      <c r="G45" s="566">
        <f ca="1">グラフデータ!O408</f>
        <v>120.16666666666667</v>
      </c>
      <c r="H45" s="566">
        <f ca="1">グラフデータ!O409</f>
        <v>122.5</v>
      </c>
    </row>
    <row r="46" spans="1:8" ht="15" customHeight="1">
      <c r="A46" s="466"/>
      <c r="B46" s="467" t="s">
        <v>65</v>
      </c>
      <c r="C46" s="1312">
        <f ca="1">グラフデータ!S404</f>
        <v>-1.2666666666666515</v>
      </c>
      <c r="D46" s="239">
        <f ca="1">グラフデータ!S405</f>
        <v>-6.6666666666677088E-2</v>
      </c>
      <c r="E46" s="239">
        <f ca="1">グラフデータ!S406</f>
        <v>-1.7666666666666515</v>
      </c>
      <c r="F46" s="239">
        <f ca="1">グラフデータ!S407</f>
        <v>-1.3666666666666742</v>
      </c>
      <c r="G46" s="239">
        <f ca="1">グラフデータ!S408</f>
        <v>-1</v>
      </c>
      <c r="H46" s="239">
        <f ca="1">グラフデータ!S409</f>
        <v>2.3333333333333286</v>
      </c>
    </row>
    <row r="47" spans="1:8" ht="15" customHeight="1">
      <c r="A47" s="464" t="s">
        <v>143</v>
      </c>
      <c r="B47" s="465"/>
      <c r="C47" s="1315">
        <f ca="1">グラフデータ!W404</f>
        <v>126.3142857142857</v>
      </c>
      <c r="D47" s="1110">
        <f ca="1">グラフデータ!W405</f>
        <v>126.02857142857144</v>
      </c>
      <c r="E47" s="1110">
        <f ca="1">グラフデータ!W406</f>
        <v>124.61428571428573</v>
      </c>
      <c r="F47" s="1110">
        <f ca="1">グラフデータ!W407</f>
        <v>123.47142857142856</v>
      </c>
      <c r="G47" s="1110">
        <f ca="1">グラフデータ!W408</f>
        <v>122.67142857142858</v>
      </c>
      <c r="H47" s="1110">
        <f ca="1">グラフデータ!W409</f>
        <v>122.71428571428571</v>
      </c>
    </row>
    <row r="48" spans="1:8" ht="15" customHeight="1" thickBot="1">
      <c r="A48" s="462"/>
      <c r="B48" s="463" t="s">
        <v>65</v>
      </c>
      <c r="C48" s="1314">
        <f ca="1">グラフデータ!AA404</f>
        <v>-0.71428571428572241</v>
      </c>
      <c r="D48" s="237">
        <f ca="1">グラフデータ!AA405</f>
        <v>-0.28571428571426338</v>
      </c>
      <c r="E48" s="237">
        <f ca="1">グラフデータ!AA406</f>
        <v>-1.414285714285711</v>
      </c>
      <c r="F48" s="237">
        <f ca="1">グラフデータ!AA407</f>
        <v>-1.1428571428571672</v>
      </c>
      <c r="G48" s="237">
        <f ca="1">グラフデータ!AA408</f>
        <v>-0.79999999999998295</v>
      </c>
      <c r="H48" s="237">
        <f ca="1">グラフデータ!AA409</f>
        <v>4.285714285713027E-2</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80"/>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27:H49">
    <cfRule type="cellIs" dxfId="168"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topLeftCell="A25" zoomScaleNormal="100" zoomScaleSheetLayoutView="100" workbookViewId="0">
      <selection activeCell="Q9" sqref="Q9"/>
    </sheetView>
  </sheetViews>
  <sheetFormatPr defaultColWidth="8.875" defaultRowHeight="14.25"/>
  <cols>
    <col min="1" max="1" width="4.625" style="214" customWidth="1"/>
    <col min="2" max="9" width="9.875" style="214" customWidth="1"/>
    <col min="10" max="16384" width="8.875" style="214"/>
  </cols>
  <sheetData>
    <row r="1" spans="2:15">
      <c r="B1" s="1482" t="s">
        <v>198</v>
      </c>
      <c r="C1" s="1482"/>
      <c r="D1" s="1482"/>
      <c r="E1" s="1482"/>
      <c r="F1" s="1482"/>
      <c r="G1" s="1482"/>
      <c r="H1" s="1482"/>
      <c r="I1" s="1482"/>
    </row>
    <row r="2" spans="2:15">
      <c r="B2" s="1483"/>
      <c r="C2" s="1483"/>
      <c r="D2" s="1483"/>
      <c r="E2" s="1483"/>
      <c r="F2" s="1483"/>
      <c r="G2" s="1483"/>
      <c r="H2" s="1483"/>
      <c r="I2" s="1483"/>
    </row>
    <row r="3" spans="2:15">
      <c r="B3" s="694" t="s">
        <v>52</v>
      </c>
    </row>
    <row r="13" spans="2:15">
      <c r="O13" s="214" t="s">
        <v>732</v>
      </c>
    </row>
    <row r="20" spans="2:2">
      <c r="B20" s="694" t="s">
        <v>53</v>
      </c>
    </row>
    <row r="36" spans="2:2">
      <c r="B36" s="694" t="s">
        <v>54</v>
      </c>
    </row>
    <row r="52" spans="2:2">
      <c r="B52" s="474" t="s">
        <v>384</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topLeftCell="A33" zoomScaleNormal="100" zoomScaleSheetLayoutView="100" workbookViewId="0">
      <selection activeCell="Q9" sqref="Q9"/>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82" t="s">
        <v>55</v>
      </c>
      <c r="B1" s="1482"/>
      <c r="C1" s="1482"/>
      <c r="D1" s="1482"/>
      <c r="E1" s="1482"/>
      <c r="F1" s="1482"/>
      <c r="G1" s="1482"/>
      <c r="H1" s="1482"/>
      <c r="I1" s="1482"/>
      <c r="J1" s="1482"/>
      <c r="K1" s="1482"/>
      <c r="L1" s="1482"/>
      <c r="M1" s="1482"/>
      <c r="N1" s="1482"/>
    </row>
    <row r="2" spans="1:14" ht="15" customHeight="1">
      <c r="A2" s="1483"/>
      <c r="B2" s="1483"/>
      <c r="C2" s="1483"/>
      <c r="D2" s="1483"/>
      <c r="E2" s="1483"/>
      <c r="F2" s="1483"/>
      <c r="G2" s="1483"/>
      <c r="H2" s="1483"/>
      <c r="I2" s="1483"/>
      <c r="J2" s="1483"/>
      <c r="K2" s="1483"/>
      <c r="L2" s="1483"/>
      <c r="M2" s="1483"/>
      <c r="N2" s="1483"/>
    </row>
    <row r="3" spans="1:14" ht="15" customHeight="1">
      <c r="A3" s="694" t="s">
        <v>52</v>
      </c>
      <c r="B3" s="244"/>
      <c r="C3" s="244"/>
      <c r="D3" s="244"/>
      <c r="E3" s="244"/>
      <c r="F3" s="244"/>
      <c r="G3" s="244"/>
      <c r="H3" s="244"/>
      <c r="I3" s="244"/>
      <c r="J3" s="244"/>
      <c r="K3" s="244"/>
      <c r="L3" s="244"/>
      <c r="M3" s="1166"/>
      <c r="N3" s="413" t="str">
        <f>初期登録!F15</f>
        <v>(令和２年=100)</v>
      </c>
    </row>
    <row r="4" spans="1:14" ht="15" customHeight="1">
      <c r="A4" s="443"/>
      <c r="B4" s="695" t="s">
        <v>189</v>
      </c>
      <c r="C4" s="1484" t="s">
        <v>259</v>
      </c>
      <c r="D4" s="1484" t="s">
        <v>385</v>
      </c>
      <c r="E4" s="1484" t="s">
        <v>386</v>
      </c>
      <c r="F4" s="1484" t="s">
        <v>387</v>
      </c>
      <c r="G4" s="1484" t="s">
        <v>388</v>
      </c>
      <c r="H4" s="1484" t="s">
        <v>389</v>
      </c>
      <c r="I4" s="1484" t="s">
        <v>390</v>
      </c>
      <c r="J4" s="1484" t="s">
        <v>391</v>
      </c>
      <c r="K4" s="1484" t="s">
        <v>392</v>
      </c>
      <c r="L4" s="1484" t="s">
        <v>191</v>
      </c>
      <c r="M4" s="1484" t="s">
        <v>192</v>
      </c>
      <c r="N4" s="1484" t="s">
        <v>193</v>
      </c>
    </row>
    <row r="5" spans="1:14" ht="15" customHeight="1">
      <c r="A5" s="696" t="s">
        <v>190</v>
      </c>
      <c r="B5" s="444"/>
      <c r="C5" s="1485"/>
      <c r="D5" s="1485"/>
      <c r="E5" s="1485"/>
      <c r="F5" s="1485"/>
      <c r="G5" s="1485"/>
      <c r="H5" s="1485"/>
      <c r="I5" s="1485"/>
      <c r="J5" s="1485"/>
      <c r="K5" s="1485"/>
      <c r="L5" s="1485"/>
      <c r="M5" s="1485"/>
      <c r="N5" s="1485"/>
    </row>
    <row r="6" spans="1:14" ht="15" customHeight="1">
      <c r="A6" s="1259" t="s">
        <v>677</v>
      </c>
      <c r="B6" s="1260"/>
      <c r="C6" s="958">
        <f>グラフデータ!D220</f>
        <v>113.5</v>
      </c>
      <c r="D6" s="958">
        <f>グラフデータ!D221</f>
        <v>113.6</v>
      </c>
      <c r="E6" s="958">
        <f>グラフデータ!D222</f>
        <v>83.1</v>
      </c>
      <c r="F6" s="958">
        <f>グラフデータ!D223</f>
        <v>88</v>
      </c>
      <c r="G6" s="958">
        <f>グラフデータ!D224</f>
        <v>95.8</v>
      </c>
      <c r="H6" s="958">
        <f>グラフデータ!D225</f>
        <v>101.4</v>
      </c>
      <c r="I6" s="958">
        <f>グラフデータ!D226</f>
        <v>109.6</v>
      </c>
      <c r="J6" s="958">
        <f>グラフデータ!D227</f>
        <v>119.2</v>
      </c>
      <c r="K6" s="958">
        <f>グラフデータ!D228</f>
        <v>119.8</v>
      </c>
      <c r="L6" s="958">
        <f>グラフデータ!D229</f>
        <v>125.1</v>
      </c>
      <c r="M6" s="958">
        <f>グラフデータ!D230</f>
        <v>129.6</v>
      </c>
      <c r="N6" s="959">
        <f>グラフデータ!D231</f>
        <v>133.4</v>
      </c>
    </row>
    <row r="7" spans="1:14" ht="15" customHeight="1">
      <c r="A7" s="1259" t="s">
        <v>678</v>
      </c>
      <c r="B7" s="1260"/>
      <c r="C7" s="958">
        <f>グラフデータ!D232</f>
        <v>148</v>
      </c>
      <c r="D7" s="958">
        <f>グラフデータ!D233</f>
        <v>150.5</v>
      </c>
      <c r="E7" s="958">
        <f>グラフデータ!D234</f>
        <v>143.1</v>
      </c>
      <c r="F7" s="958">
        <f>グラフデータ!D235</f>
        <v>159</v>
      </c>
      <c r="G7" s="958">
        <f>グラフデータ!D236</f>
        <v>157.1</v>
      </c>
      <c r="H7" s="958">
        <f>グラフデータ!D237</f>
        <v>157</v>
      </c>
      <c r="I7" s="958">
        <f>グラフデータ!D238</f>
        <v>155.6</v>
      </c>
      <c r="J7" s="958">
        <f>グラフデータ!D239</f>
        <v>154.19999999999999</v>
      </c>
      <c r="K7" s="958">
        <f>グラフデータ!D240</f>
        <v>147.1</v>
      </c>
      <c r="L7" s="958">
        <f>グラフデータ!D241</f>
        <v>145.69999999999999</v>
      </c>
      <c r="M7" s="958">
        <f>グラフデータ!D242</f>
        <v>144.9</v>
      </c>
      <c r="N7" s="959">
        <f>グラフデータ!D243</f>
        <v>138.6</v>
      </c>
    </row>
    <row r="8" spans="1:14" ht="15" customHeight="1">
      <c r="A8" s="1259" t="s">
        <v>679</v>
      </c>
      <c r="B8" s="1260"/>
      <c r="C8" s="958">
        <f>グラフデータ!D244</f>
        <v>140.5</v>
      </c>
      <c r="D8" s="958">
        <f>グラフデータ!D245</f>
        <v>145.69999999999999</v>
      </c>
      <c r="E8" s="958">
        <f>グラフデータ!D246</f>
        <v>140</v>
      </c>
      <c r="F8" s="958">
        <f>グラフデータ!D247</f>
        <v>138.19999999999999</v>
      </c>
      <c r="G8" s="958">
        <f>グラフデータ!D248</f>
        <v>138.4</v>
      </c>
      <c r="H8" s="958">
        <f>グラフデータ!D249</f>
        <v>136.80000000000001</v>
      </c>
      <c r="I8" s="958">
        <f>グラフデータ!D250</f>
        <v>136.69999999999999</v>
      </c>
      <c r="J8" s="958">
        <f>グラフデータ!D251</f>
        <v>141.5</v>
      </c>
      <c r="K8" s="958">
        <f>グラフデータ!D252</f>
        <v>141.9</v>
      </c>
      <c r="L8" s="958">
        <f>グラフデータ!D253</f>
        <v>140.5</v>
      </c>
      <c r="M8" s="958">
        <f>グラフデータ!D254</f>
        <v>139.1</v>
      </c>
      <c r="N8" s="959">
        <f>グラフデータ!D255</f>
        <v>139.5</v>
      </c>
    </row>
    <row r="9" spans="1:14" ht="15" customHeight="1">
      <c r="A9" s="1259" t="s">
        <v>680</v>
      </c>
      <c r="B9" s="1260"/>
      <c r="C9" s="958">
        <f>グラフデータ!D256</f>
        <v>139.80000000000001</v>
      </c>
      <c r="D9" s="958">
        <f>グラフデータ!D257</f>
        <v>139.1</v>
      </c>
      <c r="E9" s="958">
        <f>グラフデータ!D258</f>
        <v>135.9</v>
      </c>
      <c r="F9" s="958">
        <f>グラフデータ!D259</f>
        <v>130</v>
      </c>
      <c r="G9" s="958">
        <f>グラフデータ!D260</f>
        <v>129.9</v>
      </c>
      <c r="H9" s="958">
        <f>グラフデータ!D261</f>
        <v>128.4</v>
      </c>
      <c r="I9" s="958">
        <f>グラフデータ!D262</f>
        <v>125.3</v>
      </c>
      <c r="J9" s="958">
        <f>グラフデータ!D263</f>
        <v>124.2</v>
      </c>
      <c r="K9" s="958">
        <f>グラフデータ!D264</f>
        <v>128.6</v>
      </c>
      <c r="L9" s="958">
        <f>グラフデータ!D265</f>
        <v>129.1</v>
      </c>
      <c r="M9" s="958">
        <f>グラフデータ!D266</f>
        <v>127.9</v>
      </c>
      <c r="N9" s="959">
        <f>グラフデータ!D267</f>
        <v>135.30000000000001</v>
      </c>
    </row>
    <row r="10" spans="1:14" ht="15" customHeight="1">
      <c r="A10" s="1259" t="s">
        <v>681</v>
      </c>
      <c r="B10" s="1260"/>
      <c r="C10" s="958">
        <f>グラフデータ!D268</f>
        <v>128.69999999999999</v>
      </c>
      <c r="D10" s="958">
        <f>グラフデータ!D269</f>
        <v>124.1</v>
      </c>
      <c r="E10" s="958">
        <f>グラフデータ!D270</f>
        <v>122.9</v>
      </c>
      <c r="F10" s="958">
        <f>グラフデータ!D271</f>
        <v>119.1</v>
      </c>
      <c r="G10" s="958">
        <f>グラフデータ!D272</f>
        <v>122.2</v>
      </c>
      <c r="H10" s="958">
        <f>グラフデータ!D273</f>
        <v>121</v>
      </c>
      <c r="I10" s="958">
        <f>グラフデータ!D274</f>
        <v>120.9</v>
      </c>
      <c r="J10" s="958">
        <f>グラフデータ!D275</f>
        <v>121.5</v>
      </c>
      <c r="K10" s="958">
        <f>グラフデータ!D276</f>
        <v>118.7</v>
      </c>
      <c r="L10" s="958">
        <f>グラフデータ!D277</f>
        <v>116.2</v>
      </c>
      <c r="M10" s="958">
        <f>グラフデータ!D278</f>
        <v>113.6</v>
      </c>
      <c r="N10" s="959">
        <f>グラフデータ!D279</f>
        <v>114.7</v>
      </c>
    </row>
    <row r="11" spans="1:14" ht="15" customHeight="1">
      <c r="A11" s="1259" t="s">
        <v>682</v>
      </c>
      <c r="B11" s="1260"/>
      <c r="C11" s="960">
        <f>グラフデータ!D280</f>
        <v>114.2</v>
      </c>
      <c r="D11" s="960">
        <f>グラフデータ!D281</f>
        <v>112</v>
      </c>
      <c r="E11" s="960">
        <f>グラフデータ!D282</f>
        <v>109.5</v>
      </c>
      <c r="F11" s="960">
        <f>グラフデータ!D283</f>
        <v>110.9</v>
      </c>
      <c r="G11" s="960">
        <f>グラフデータ!D284</f>
        <v>110.3</v>
      </c>
      <c r="H11" s="960">
        <f>グラフデータ!D285</f>
        <v>106.1</v>
      </c>
      <c r="I11" s="958">
        <f>グラフデータ!D286</f>
        <v>107.8</v>
      </c>
      <c r="J11" s="960">
        <f>グラフデータ!D287</f>
        <v>105.6</v>
      </c>
      <c r="K11" s="960">
        <f>グラフデータ!D288</f>
        <v>108.4</v>
      </c>
      <c r="L11" s="960">
        <f>グラフデータ!D289</f>
        <v>109.8</v>
      </c>
      <c r="M11" s="960">
        <f>グラフデータ!D290</f>
        <v>111.1</v>
      </c>
      <c r="N11" s="959">
        <f>グラフデータ!D291</f>
        <v>115.8</v>
      </c>
    </row>
    <row r="12" spans="1:14" ht="15" customHeight="1">
      <c r="A12" s="1259" t="s">
        <v>683</v>
      </c>
      <c r="B12" s="1260"/>
      <c r="C12" s="962">
        <f>グラフデータ!D292</f>
        <v>110.8</v>
      </c>
      <c r="D12" s="962">
        <f>グラフデータ!D293</f>
        <v>112.5</v>
      </c>
      <c r="E12" s="962">
        <f>グラフデータ!D294</f>
        <v>110.1</v>
      </c>
      <c r="F12" s="962">
        <f>グラフデータ!D295</f>
        <v>113.4</v>
      </c>
      <c r="G12" s="962">
        <f>グラフデータ!D296</f>
        <v>112</v>
      </c>
      <c r="H12" s="962">
        <f>グラフデータ!D297</f>
        <v>114</v>
      </c>
      <c r="I12" s="962">
        <f>グラフデータ!D298</f>
        <v>114.3</v>
      </c>
      <c r="J12" s="962">
        <f>グラフデータ!D299</f>
        <v>108.7</v>
      </c>
      <c r="K12" s="962">
        <f>グラフデータ!D300</f>
        <v>110.2</v>
      </c>
      <c r="L12" s="962">
        <f>グラフデータ!D301</f>
        <v>108.5</v>
      </c>
      <c r="M12" s="960">
        <f>グラフデータ!D302</f>
        <v>111.9</v>
      </c>
      <c r="N12" s="962">
        <f>グラフデータ!D303</f>
        <v>113.9</v>
      </c>
    </row>
    <row r="13" spans="1:14" ht="15" customHeight="1">
      <c r="A13" s="1259" t="s">
        <v>684</v>
      </c>
      <c r="B13" s="1260"/>
      <c r="C13" s="960">
        <f>グラフデータ!D304</f>
        <v>114.4</v>
      </c>
      <c r="D13" s="960">
        <f>グラフデータ!D305</f>
        <v>114.7</v>
      </c>
      <c r="E13" s="962">
        <f>グラフデータ!D306</f>
        <v>117.6</v>
      </c>
      <c r="F13" s="960">
        <f>グラフデータ!D307</f>
        <v>120.4</v>
      </c>
      <c r="G13" s="960">
        <f>グラフデータ!D308</f>
        <v>119</v>
      </c>
      <c r="H13" s="960">
        <f>グラフデータ!D309</f>
        <v>119.1</v>
      </c>
      <c r="I13" s="960">
        <f>グラフデータ!D310</f>
        <v>122.5</v>
      </c>
      <c r="J13" s="962">
        <f>グラフデータ!D311</f>
        <v>121.7</v>
      </c>
      <c r="K13" s="960">
        <f>グラフデータ!D312</f>
        <v>122.4</v>
      </c>
      <c r="L13" s="960">
        <f>グラフデータ!D313</f>
        <v>124.3</v>
      </c>
      <c r="M13" s="960">
        <f>グラフデータ!D314</f>
        <v>128.4</v>
      </c>
      <c r="N13" s="959">
        <f>グラフデータ!D315</f>
        <v>125.1</v>
      </c>
    </row>
    <row r="14" spans="1:14" ht="15" customHeight="1">
      <c r="A14" s="1259" t="s">
        <v>686</v>
      </c>
      <c r="B14" s="1260"/>
      <c r="C14" s="960">
        <f>グラフデータ!D316</f>
        <v>125</v>
      </c>
      <c r="D14" s="991">
        <f>グラフデータ!D317</f>
        <v>123.8</v>
      </c>
      <c r="E14" s="991">
        <f>グラフデータ!D318</f>
        <v>120.1</v>
      </c>
      <c r="F14" s="991">
        <f>グラフデータ!D319</f>
        <v>121.5</v>
      </c>
      <c r="G14" s="991">
        <f>グラフデータ!D320</f>
        <v>125.8</v>
      </c>
      <c r="H14" s="991">
        <f>グラフデータ!D321</f>
        <v>124.6</v>
      </c>
      <c r="I14" s="991">
        <f>グラフデータ!D322</f>
        <v>122.4</v>
      </c>
      <c r="J14" s="991">
        <f>グラフデータ!D323</f>
        <v>117.8</v>
      </c>
      <c r="K14" s="991">
        <f>グラフデータ!D324</f>
        <v>116.6</v>
      </c>
      <c r="L14" s="991">
        <f>グラフデータ!D325</f>
        <v>113.5</v>
      </c>
      <c r="M14" s="991">
        <f>グラフデータ!D326</f>
        <v>119.2</v>
      </c>
      <c r="N14" s="962">
        <f>グラフデータ!D327</f>
        <v>112.6</v>
      </c>
    </row>
    <row r="15" spans="1:14" ht="15" customHeight="1">
      <c r="A15" s="1259" t="s">
        <v>685</v>
      </c>
      <c r="B15" s="1260"/>
      <c r="C15" s="960">
        <f>グラフデータ!D328</f>
        <v>111.6</v>
      </c>
      <c r="D15" s="991">
        <f>グラフデータ!D329</f>
        <v>112.5</v>
      </c>
      <c r="E15" s="991">
        <f>グラフデータ!D330</f>
        <v>106.9</v>
      </c>
      <c r="F15" s="991">
        <f>グラフデータ!D331</f>
        <v>97.3</v>
      </c>
      <c r="G15" s="991">
        <f>グラフデータ!D332</f>
        <v>88.8</v>
      </c>
      <c r="H15" s="991">
        <f>グラフデータ!D333</f>
        <v>86.5</v>
      </c>
      <c r="I15" s="991">
        <f>グラフデータ!D334</f>
        <v>91.7</v>
      </c>
      <c r="J15" s="991">
        <f>グラフデータ!D335</f>
        <v>96.3</v>
      </c>
      <c r="K15" s="991">
        <f>グラフデータ!D336</f>
        <v>98.4</v>
      </c>
      <c r="L15" s="991">
        <f>グラフデータ!D337</f>
        <v>101.8</v>
      </c>
      <c r="M15" s="991">
        <f>グラフデータ!D338</f>
        <v>102</v>
      </c>
      <c r="N15" s="962">
        <f>グラフデータ!D339</f>
        <v>106.2</v>
      </c>
    </row>
    <row r="16" spans="1:14" ht="15" customHeight="1">
      <c r="A16" s="1259" t="s">
        <v>692</v>
      </c>
      <c r="B16" s="1260"/>
      <c r="C16" s="962">
        <f>グラフデータ!D340</f>
        <v>109.2</v>
      </c>
      <c r="D16" s="962">
        <f>グラフデータ!D341</f>
        <v>109</v>
      </c>
      <c r="E16" s="962">
        <f>グラフデータ!D342</f>
        <v>109.7</v>
      </c>
      <c r="F16" s="962">
        <f>グラフデータ!D343</f>
        <v>113.9</v>
      </c>
      <c r="G16" s="962">
        <f>グラフデータ!D344</f>
        <v>113.3</v>
      </c>
      <c r="H16" s="991">
        <f>グラフデータ!D345</f>
        <v>109.3</v>
      </c>
      <c r="I16" s="962">
        <f>グラフデータ!D346</f>
        <v>114.3</v>
      </c>
      <c r="J16" s="962">
        <f>グラフデータ!D347</f>
        <v>113.7</v>
      </c>
      <c r="K16" s="962">
        <f>グラフデータ!D348</f>
        <v>107.7</v>
      </c>
      <c r="L16" s="962">
        <f>グラフデータ!D349</f>
        <v>109.2</v>
      </c>
      <c r="M16" s="962">
        <f>グラフデータ!D350</f>
        <v>114.2</v>
      </c>
      <c r="N16" s="962">
        <f>グラフデータ!D351</f>
        <v>118.3</v>
      </c>
    </row>
    <row r="17" spans="1:14" ht="15" customHeight="1">
      <c r="A17" s="1083" t="s">
        <v>696</v>
      </c>
      <c r="B17" s="1084"/>
      <c r="C17" s="962">
        <f>グラフデータ!D352</f>
        <v>112.8</v>
      </c>
      <c r="D17" s="962">
        <f>グラフデータ!D353</f>
        <v>108.2</v>
      </c>
      <c r="E17" s="962">
        <f>グラフデータ!D354</f>
        <v>110.1</v>
      </c>
      <c r="F17" s="962">
        <f>グラフデータ!D355</f>
        <v>115.6</v>
      </c>
      <c r="G17" s="962">
        <f>グラフデータ!D356</f>
        <v>119.4</v>
      </c>
      <c r="H17" s="962">
        <f>グラフデータ!D357</f>
        <v>121.4</v>
      </c>
      <c r="I17" s="962">
        <f>グラフデータ!D358</f>
        <v>122.9</v>
      </c>
      <c r="J17" s="962">
        <f>グラフデータ!D359</f>
        <v>120.7</v>
      </c>
      <c r="K17" s="962">
        <f>グラフデータ!D360</f>
        <v>121.5</v>
      </c>
      <c r="L17" s="962">
        <f>グラフデータ!D361</f>
        <v>126.9</v>
      </c>
      <c r="M17" s="962">
        <f>グラフデータ!D362</f>
        <v>125.2</v>
      </c>
      <c r="N17" s="962">
        <f>グラフデータ!D363</f>
        <v>127.4</v>
      </c>
    </row>
    <row r="18" spans="1:14" ht="15" customHeight="1">
      <c r="A18" s="1083" t="s">
        <v>707</v>
      </c>
      <c r="B18" s="1084"/>
      <c r="C18" s="962">
        <f>グラフデータ!D364</f>
        <v>128.1</v>
      </c>
      <c r="D18" s="962">
        <f>グラフデータ!D365</f>
        <v>130.9</v>
      </c>
      <c r="E18" s="962">
        <f>グラフデータ!D366</f>
        <v>124</v>
      </c>
      <c r="F18" s="962">
        <f>グラフデータ!D367</f>
        <v>130</v>
      </c>
      <c r="G18" s="962">
        <f>グラフデータ!D368</f>
        <v>130.1</v>
      </c>
      <c r="H18" s="962">
        <f>グラフデータ!D369</f>
        <v>139.80000000000001</v>
      </c>
      <c r="I18" s="962">
        <f>グラフデータ!D370</f>
        <v>130.30000000000001</v>
      </c>
      <c r="J18" s="962">
        <f>グラフデータ!D371</f>
        <v>131.9</v>
      </c>
      <c r="K18" s="962">
        <f>グラフデータ!D372</f>
        <v>139</v>
      </c>
      <c r="L18" s="962">
        <f>グラフデータ!D373</f>
        <v>135</v>
      </c>
      <c r="M18" s="962">
        <f>グラフデータ!D374</f>
        <v>138</v>
      </c>
      <c r="N18" s="962">
        <f>グラフデータ!D375</f>
        <v>138.30000000000001</v>
      </c>
    </row>
    <row r="19" spans="1:14" ht="15" customHeight="1">
      <c r="A19" s="1083" t="s">
        <v>811</v>
      </c>
      <c r="B19" s="1084"/>
      <c r="C19" s="962">
        <f>グラフデータ!D376</f>
        <v>126.6</v>
      </c>
      <c r="D19" s="962">
        <f>グラフデータ!D377</f>
        <v>124.6</v>
      </c>
      <c r="E19" s="962">
        <f>グラフデータ!$D378</f>
        <v>130.80000000000001</v>
      </c>
      <c r="F19" s="962">
        <f>グラフデータ!$D379</f>
        <v>136.80000000000001</v>
      </c>
      <c r="G19" s="962">
        <f>グラフデータ!$D380</f>
        <v>135.80000000000001</v>
      </c>
      <c r="H19" s="962">
        <f>グラフデータ!$D381</f>
        <v>134.80000000000001</v>
      </c>
      <c r="I19" s="962">
        <f>グラフデータ!$D382</f>
        <v>137.4</v>
      </c>
      <c r="J19" s="962">
        <f>グラフデータ!$D383</f>
        <v>137.69999999999999</v>
      </c>
      <c r="K19" s="962">
        <f>グラフデータ!$D384</f>
        <v>140.4</v>
      </c>
      <c r="L19" s="962">
        <f>グラフデータ!$D385</f>
        <v>140.80000000000001</v>
      </c>
      <c r="M19" s="962">
        <f>グラフデータ!$D386</f>
        <v>140.1</v>
      </c>
      <c r="N19" s="962">
        <f>グラフデータ!$D387</f>
        <v>141.1</v>
      </c>
    </row>
    <row r="20" spans="1:14" ht="15" customHeight="1">
      <c r="A20" s="1263" t="s">
        <v>815</v>
      </c>
      <c r="B20" s="1081"/>
      <c r="C20" s="961">
        <f>グラフデータ!$D388</f>
        <v>146.30000000000001</v>
      </c>
      <c r="D20" s="961">
        <f>グラフデータ!$D389</f>
        <v>147.5</v>
      </c>
      <c r="E20" s="961">
        <f>グラフデータ!$D390</f>
        <v>145.30000000000001</v>
      </c>
      <c r="F20" s="961">
        <f>グラフデータ!$D391</f>
        <v>150.4</v>
      </c>
      <c r="G20" s="961">
        <f>グラフデータ!$D392</f>
        <v>141.19999999999999</v>
      </c>
      <c r="H20" s="961">
        <f>グラフデータ!$D393</f>
        <v>155.69999999999999</v>
      </c>
      <c r="I20" s="961">
        <f>グラフデータ!$D394</f>
        <v>148.9</v>
      </c>
      <c r="J20" s="961">
        <f>グラフデータ!$D395</f>
        <v>146.6</v>
      </c>
      <c r="K20" s="961">
        <f>グラフデータ!$D396</f>
        <v>150.9</v>
      </c>
      <c r="L20" s="961">
        <f>グラフデータ!$D397</f>
        <v>150.6</v>
      </c>
      <c r="M20" s="961">
        <f>グラフデータ!$D398</f>
        <v>153.9</v>
      </c>
      <c r="N20" s="961"/>
    </row>
    <row r="21" spans="1:14" ht="7.5" customHeight="1">
      <c r="A21" s="1076"/>
      <c r="B21" s="1076"/>
      <c r="C21" s="1077"/>
      <c r="D21" s="1077"/>
      <c r="E21" s="1077"/>
      <c r="F21" s="1077"/>
      <c r="G21" s="1077"/>
      <c r="H21" s="1077"/>
      <c r="I21" s="1077"/>
      <c r="J21" s="1077"/>
      <c r="K21" s="1077"/>
      <c r="L21" s="1077"/>
      <c r="M21" s="1077"/>
      <c r="N21" s="1077"/>
    </row>
    <row r="22" spans="1:14" ht="7.5" customHeight="1"/>
    <row r="23" spans="1:14" ht="15" customHeight="1">
      <c r="A23" s="694" t="s">
        <v>53</v>
      </c>
      <c r="B23" s="244"/>
      <c r="C23" s="244"/>
      <c r="D23" s="244"/>
      <c r="E23" s="244"/>
      <c r="F23" s="244"/>
      <c r="G23" s="244"/>
      <c r="H23" s="244"/>
      <c r="I23" s="244"/>
      <c r="J23" s="244"/>
      <c r="K23" s="244"/>
      <c r="L23" s="244"/>
      <c r="M23" s="1166"/>
      <c r="N23" s="413" t="str">
        <f>初期登録!F15</f>
        <v>(令和２年=100)</v>
      </c>
    </row>
    <row r="24" spans="1:14" ht="15" customHeight="1">
      <c r="A24" s="443"/>
      <c r="B24" s="695" t="s">
        <v>189</v>
      </c>
      <c r="C24" s="1484" t="s">
        <v>259</v>
      </c>
      <c r="D24" s="1484" t="s">
        <v>385</v>
      </c>
      <c r="E24" s="1484" t="s">
        <v>386</v>
      </c>
      <c r="F24" s="1484" t="s">
        <v>387</v>
      </c>
      <c r="G24" s="1484" t="s">
        <v>388</v>
      </c>
      <c r="H24" s="1484" t="s">
        <v>389</v>
      </c>
      <c r="I24" s="1484" t="s">
        <v>390</v>
      </c>
      <c r="J24" s="1484" t="s">
        <v>391</v>
      </c>
      <c r="K24" s="1484" t="s">
        <v>392</v>
      </c>
      <c r="L24" s="1484" t="s">
        <v>191</v>
      </c>
      <c r="M24" s="1484" t="s">
        <v>192</v>
      </c>
      <c r="N24" s="1484" t="s">
        <v>193</v>
      </c>
    </row>
    <row r="25" spans="1:14" ht="15" customHeight="1">
      <c r="A25" s="696" t="s">
        <v>190</v>
      </c>
      <c r="B25" s="444"/>
      <c r="C25" s="1485"/>
      <c r="D25" s="1485"/>
      <c r="E25" s="1485"/>
      <c r="F25" s="1485"/>
      <c r="G25" s="1485"/>
      <c r="H25" s="1485"/>
      <c r="I25" s="1485"/>
      <c r="J25" s="1485"/>
      <c r="K25" s="1485"/>
      <c r="L25" s="1485"/>
      <c r="M25" s="1485"/>
      <c r="N25" s="1485"/>
    </row>
    <row r="26" spans="1:14" ht="15" customHeight="1">
      <c r="A26" s="1259" t="s">
        <v>677</v>
      </c>
      <c r="B26" s="1260"/>
      <c r="C26" s="958">
        <f>グラフデータ!E220</f>
        <v>113.3</v>
      </c>
      <c r="D26" s="958">
        <f>グラフデータ!E221</f>
        <v>117.3</v>
      </c>
      <c r="E26" s="958">
        <f>グラフデータ!E222</f>
        <v>71.400000000000006</v>
      </c>
      <c r="F26" s="958">
        <f>グラフデータ!E223</f>
        <v>83.1</v>
      </c>
      <c r="G26" s="958">
        <f>グラフデータ!E224</f>
        <v>96.4</v>
      </c>
      <c r="H26" s="958">
        <f>グラフデータ!E225</f>
        <v>99.9</v>
      </c>
      <c r="I26" s="958">
        <f>グラフデータ!E226</f>
        <v>104.7</v>
      </c>
      <c r="J26" s="958">
        <f>グラフデータ!E227</f>
        <v>112.4</v>
      </c>
      <c r="K26" s="958">
        <f>グラフデータ!E228</f>
        <v>119.7</v>
      </c>
      <c r="L26" s="958">
        <f>グラフデータ!E229</f>
        <v>120.6</v>
      </c>
      <c r="M26" s="958">
        <f>グラフデータ!E230</f>
        <v>119.8</v>
      </c>
      <c r="N26" s="959">
        <f>グラフデータ!E231</f>
        <v>128</v>
      </c>
    </row>
    <row r="27" spans="1:14" ht="15" customHeight="1">
      <c r="A27" s="1259" t="s">
        <v>678</v>
      </c>
      <c r="B27" s="1260"/>
      <c r="C27" s="958">
        <f>グラフデータ!E232</f>
        <v>138.6</v>
      </c>
      <c r="D27" s="958">
        <f>グラフデータ!E233</f>
        <v>145</v>
      </c>
      <c r="E27" s="958">
        <f>グラフデータ!E234</f>
        <v>154.19999999999999</v>
      </c>
      <c r="F27" s="958">
        <f>グラフデータ!E235</f>
        <v>151.80000000000001</v>
      </c>
      <c r="G27" s="958">
        <f>グラフデータ!E236</f>
        <v>156.5</v>
      </c>
      <c r="H27" s="958">
        <f>グラフデータ!E237</f>
        <v>157.1</v>
      </c>
      <c r="I27" s="958">
        <f>グラフデータ!E238</f>
        <v>160</v>
      </c>
      <c r="J27" s="958">
        <f>グラフデータ!E239</f>
        <v>152.19999999999999</v>
      </c>
      <c r="K27" s="958">
        <f>グラフデータ!E240</f>
        <v>150.80000000000001</v>
      </c>
      <c r="L27" s="958">
        <f>グラフデータ!E241</f>
        <v>146.1</v>
      </c>
      <c r="M27" s="958">
        <f>グラフデータ!E242</f>
        <v>145</v>
      </c>
      <c r="N27" s="959">
        <f>グラフデータ!E243</f>
        <v>146.30000000000001</v>
      </c>
    </row>
    <row r="28" spans="1:14" ht="15" customHeight="1">
      <c r="A28" s="1259" t="s">
        <v>679</v>
      </c>
      <c r="B28" s="1260"/>
      <c r="C28" s="958">
        <f>グラフデータ!E244</f>
        <v>150.80000000000001</v>
      </c>
      <c r="D28" s="958">
        <f>グラフデータ!E245</f>
        <v>149.4</v>
      </c>
      <c r="E28" s="958">
        <f>グラフデータ!E246</f>
        <v>153.1</v>
      </c>
      <c r="F28" s="958">
        <f>グラフデータ!E247</f>
        <v>145.69999999999999</v>
      </c>
      <c r="G28" s="958">
        <f>グラフデータ!E248</f>
        <v>148</v>
      </c>
      <c r="H28" s="958">
        <f>グラフデータ!E249</f>
        <v>152.5</v>
      </c>
      <c r="I28" s="958">
        <f>グラフデータ!E250</f>
        <v>152.9</v>
      </c>
      <c r="J28" s="958">
        <f>グラフデータ!E251</f>
        <v>158</v>
      </c>
      <c r="K28" s="958">
        <f>グラフデータ!E252</f>
        <v>156.1</v>
      </c>
      <c r="L28" s="958">
        <f>グラフデータ!E253</f>
        <v>153.1</v>
      </c>
      <c r="M28" s="958">
        <f>グラフデータ!E254</f>
        <v>157.5</v>
      </c>
      <c r="N28" s="959">
        <f>グラフデータ!E255</f>
        <v>154</v>
      </c>
    </row>
    <row r="29" spans="1:14" ht="15" customHeight="1">
      <c r="A29" s="1259" t="s">
        <v>680</v>
      </c>
      <c r="B29" s="1260"/>
      <c r="C29" s="958">
        <f>グラフデータ!E256</f>
        <v>156.69999999999999</v>
      </c>
      <c r="D29" s="958">
        <f>グラフデータ!E257</f>
        <v>156</v>
      </c>
      <c r="E29" s="958">
        <f>グラフデータ!E258</f>
        <v>145.6</v>
      </c>
      <c r="F29" s="958">
        <f>グラフデータ!E259</f>
        <v>142.30000000000001</v>
      </c>
      <c r="G29" s="958">
        <f>グラフデータ!E260</f>
        <v>145.30000000000001</v>
      </c>
      <c r="H29" s="958">
        <f>グラフデータ!E261</f>
        <v>146.6</v>
      </c>
      <c r="I29" s="958">
        <f>グラフデータ!E262</f>
        <v>143.6</v>
      </c>
      <c r="J29" s="958">
        <f>グラフデータ!E263</f>
        <v>135.69999999999999</v>
      </c>
      <c r="K29" s="958">
        <f>グラフデータ!E264</f>
        <v>141.30000000000001</v>
      </c>
      <c r="L29" s="958">
        <f>グラフデータ!E265</f>
        <v>143.19999999999999</v>
      </c>
      <c r="M29" s="958">
        <f>グラフデータ!E266</f>
        <v>149.80000000000001</v>
      </c>
      <c r="N29" s="959">
        <f>グラフデータ!E267</f>
        <v>141.69999999999999</v>
      </c>
    </row>
    <row r="30" spans="1:14" ht="15" customHeight="1">
      <c r="A30" s="1259" t="s">
        <v>681</v>
      </c>
      <c r="B30" s="1260"/>
      <c r="C30" s="958">
        <f>グラフデータ!E268</f>
        <v>150.30000000000001</v>
      </c>
      <c r="D30" s="958">
        <f>グラフデータ!E269</f>
        <v>144.9</v>
      </c>
      <c r="E30" s="958">
        <f>グラフデータ!E270</f>
        <v>146</v>
      </c>
      <c r="F30" s="958">
        <f>グラフデータ!E271</f>
        <v>149.4</v>
      </c>
      <c r="G30" s="958">
        <f>グラフデータ!E272</f>
        <v>144</v>
      </c>
      <c r="H30" s="958">
        <f>グラフデータ!E273</f>
        <v>140.30000000000001</v>
      </c>
      <c r="I30" s="958">
        <f>グラフデータ!E274</f>
        <v>142.4</v>
      </c>
      <c r="J30" s="958">
        <f>グラフデータ!E275</f>
        <v>142.30000000000001</v>
      </c>
      <c r="K30" s="958">
        <f>グラフデータ!E276</f>
        <v>137.5</v>
      </c>
      <c r="L30" s="958">
        <f>グラフデータ!E277</f>
        <v>136.9</v>
      </c>
      <c r="M30" s="958">
        <f>グラフデータ!E278</f>
        <v>130.1</v>
      </c>
      <c r="N30" s="959">
        <f>グラフデータ!E279</f>
        <v>132.6</v>
      </c>
    </row>
    <row r="31" spans="1:14" ht="15" customHeight="1">
      <c r="A31" s="1259" t="s">
        <v>682</v>
      </c>
      <c r="B31" s="1260"/>
      <c r="C31" s="958">
        <f>グラフデータ!E280</f>
        <v>130.5</v>
      </c>
      <c r="D31" s="958">
        <f>グラフデータ!E281</f>
        <v>130.4</v>
      </c>
      <c r="E31" s="958">
        <f>グラフデータ!E282</f>
        <v>129.4</v>
      </c>
      <c r="F31" s="958">
        <f>グラフデータ!E283</f>
        <v>130.69999999999999</v>
      </c>
      <c r="G31" s="958">
        <f>グラフデータ!E284</f>
        <v>128.4</v>
      </c>
      <c r="H31" s="958">
        <f>グラフデータ!E285</f>
        <v>126.2</v>
      </c>
      <c r="I31" s="958">
        <f>グラフデータ!E286</f>
        <v>125.4</v>
      </c>
      <c r="J31" s="958">
        <f>グラフデータ!E287</f>
        <v>125</v>
      </c>
      <c r="K31" s="958">
        <f>グラフデータ!E288</f>
        <v>131.9</v>
      </c>
      <c r="L31" s="958">
        <f>グラフデータ!E289</f>
        <v>128.9</v>
      </c>
      <c r="M31" s="958">
        <f>グラフデータ!E290</f>
        <v>131.19999999999999</v>
      </c>
      <c r="N31" s="959">
        <f>グラフデータ!E291</f>
        <v>134.19999999999999</v>
      </c>
    </row>
    <row r="32" spans="1:14" ht="15" customHeight="1">
      <c r="A32" s="1259" t="s">
        <v>683</v>
      </c>
      <c r="B32" s="1260"/>
      <c r="C32" s="958">
        <f>グラフデータ!E292</f>
        <v>136.4</v>
      </c>
      <c r="D32" s="958">
        <f>グラフデータ!E293</f>
        <v>137.69999999999999</v>
      </c>
      <c r="E32" s="958">
        <f>グラフデータ!E294</f>
        <v>135.6</v>
      </c>
      <c r="F32" s="958">
        <f>グラフデータ!E295</f>
        <v>141.9</v>
      </c>
      <c r="G32" s="958">
        <f>グラフデータ!E296</f>
        <v>141.69999999999999</v>
      </c>
      <c r="H32" s="958">
        <f>グラフデータ!E297</f>
        <v>142.6</v>
      </c>
      <c r="I32" s="958">
        <f>グラフデータ!E298</f>
        <v>144</v>
      </c>
      <c r="J32" s="958">
        <f>グラフデータ!E299</f>
        <v>140.9</v>
      </c>
      <c r="K32" s="958">
        <f>グラフデータ!E300</f>
        <v>137.1</v>
      </c>
      <c r="L32" s="958">
        <f>グラフデータ!E301</f>
        <v>140.80000000000001</v>
      </c>
      <c r="M32" s="958">
        <f>グラフデータ!E302</f>
        <v>144.5</v>
      </c>
      <c r="N32" s="962">
        <f>グラフデータ!E303</f>
        <v>144.9</v>
      </c>
    </row>
    <row r="33" spans="1:14" ht="15" customHeight="1">
      <c r="A33" s="1259" t="s">
        <v>684</v>
      </c>
      <c r="B33" s="1260"/>
      <c r="C33" s="958">
        <f>グラフデータ!E304</f>
        <v>144.80000000000001</v>
      </c>
      <c r="D33" s="958">
        <f>グラフデータ!E305</f>
        <v>141.4</v>
      </c>
      <c r="E33" s="958">
        <f>グラフデータ!E306</f>
        <v>144.5</v>
      </c>
      <c r="F33" s="958">
        <f>グラフデータ!E307</f>
        <v>146.6</v>
      </c>
      <c r="G33" s="958">
        <f>グラフデータ!E308</f>
        <v>145.4</v>
      </c>
      <c r="H33" s="958">
        <f>グラフデータ!E309</f>
        <v>148.19999999999999</v>
      </c>
      <c r="I33" s="958">
        <f>グラフデータ!E310</f>
        <v>147.69999999999999</v>
      </c>
      <c r="J33" s="958">
        <f>グラフデータ!E311</f>
        <v>145.4</v>
      </c>
      <c r="K33" s="958">
        <f>グラフデータ!E312</f>
        <v>144.30000000000001</v>
      </c>
      <c r="L33" s="958">
        <f>グラフデータ!E313</f>
        <v>144.1</v>
      </c>
      <c r="M33" s="958">
        <f>グラフデータ!E314</f>
        <v>140.30000000000001</v>
      </c>
      <c r="N33" s="959">
        <f>グラフデータ!E315</f>
        <v>141.5</v>
      </c>
    </row>
    <row r="34" spans="1:14" ht="15" customHeight="1">
      <c r="A34" s="1259" t="s">
        <v>686</v>
      </c>
      <c r="B34" s="1260"/>
      <c r="C34" s="991">
        <f>グラフデータ!E316</f>
        <v>133</v>
      </c>
      <c r="D34" s="991">
        <f>グラフデータ!E317</f>
        <v>136.30000000000001</v>
      </c>
      <c r="E34" s="991">
        <f>グラフデータ!E318</f>
        <v>135.69999999999999</v>
      </c>
      <c r="F34" s="991">
        <f>グラフデータ!E319</f>
        <v>132.1</v>
      </c>
      <c r="G34" s="991">
        <f>グラフデータ!E320</f>
        <v>134.5</v>
      </c>
      <c r="H34" s="991">
        <f>グラフデータ!E321</f>
        <v>129.5</v>
      </c>
      <c r="I34" s="991">
        <f>グラフデータ!E322</f>
        <v>127.4</v>
      </c>
      <c r="J34" s="991">
        <f>グラフデータ!E323</f>
        <v>124.6</v>
      </c>
      <c r="K34" s="991">
        <f>グラフデータ!E324</f>
        <v>126.8</v>
      </c>
      <c r="L34" s="991">
        <f>グラフデータ!E325</f>
        <v>126.5</v>
      </c>
      <c r="M34" s="991">
        <f>グラフデータ!E326</f>
        <v>120.2</v>
      </c>
      <c r="N34" s="962">
        <f>グラフデータ!E327</f>
        <v>113</v>
      </c>
    </row>
    <row r="35" spans="1:14" ht="15" customHeight="1">
      <c r="A35" s="1259" t="s">
        <v>685</v>
      </c>
      <c r="B35" s="1260"/>
      <c r="C35" s="962">
        <f>グラフデータ!E328</f>
        <v>109</v>
      </c>
      <c r="D35" s="991">
        <f>グラフデータ!E329</f>
        <v>117.2</v>
      </c>
      <c r="E35" s="991">
        <f>グラフデータ!E330</f>
        <v>111.2</v>
      </c>
      <c r="F35" s="991">
        <f>グラフデータ!E331</f>
        <v>106.4</v>
      </c>
      <c r="G35" s="991">
        <f>グラフデータ!E332</f>
        <v>90.4</v>
      </c>
      <c r="H35" s="962">
        <f>グラフデータ!E333</f>
        <v>88.4</v>
      </c>
      <c r="I35" s="991">
        <f>グラフデータ!E334</f>
        <v>90.1</v>
      </c>
      <c r="J35" s="991">
        <f>グラフデータ!E335</f>
        <v>92.1</v>
      </c>
      <c r="K35" s="991">
        <f>グラフデータ!E336</f>
        <v>93.1</v>
      </c>
      <c r="L35" s="991">
        <f>グラフデータ!E337</f>
        <v>97.8</v>
      </c>
      <c r="M35" s="991">
        <f>グラフデータ!E338</f>
        <v>100.9</v>
      </c>
      <c r="N35" s="962">
        <f>グラフデータ!E339</f>
        <v>103.5</v>
      </c>
    </row>
    <row r="36" spans="1:14" ht="15" customHeight="1">
      <c r="A36" s="1259" t="s">
        <v>692</v>
      </c>
      <c r="B36" s="1260"/>
      <c r="C36" s="962">
        <f>グラフデータ!E340</f>
        <v>114.6</v>
      </c>
      <c r="D36" s="962">
        <f>グラフデータ!E341</f>
        <v>113.1</v>
      </c>
      <c r="E36" s="962">
        <f>グラフデータ!E342</f>
        <v>114.7</v>
      </c>
      <c r="F36" s="962">
        <f>グラフデータ!E343</f>
        <v>120.7</v>
      </c>
      <c r="G36" s="962">
        <f>グラフデータ!E344</f>
        <v>122.1</v>
      </c>
      <c r="H36" s="962">
        <f>グラフデータ!E345</f>
        <v>130.80000000000001</v>
      </c>
      <c r="I36" s="962">
        <f>グラフデータ!E346</f>
        <v>132.30000000000001</v>
      </c>
      <c r="J36" s="962">
        <f>グラフデータ!E347</f>
        <v>139.30000000000001</v>
      </c>
      <c r="K36" s="962">
        <f>グラフデータ!E348</f>
        <v>135.6</v>
      </c>
      <c r="L36" s="962">
        <f>グラフデータ!E349</f>
        <v>134.1</v>
      </c>
      <c r="M36" s="962">
        <f>グラフデータ!E350</f>
        <v>136.30000000000001</v>
      </c>
      <c r="N36" s="962">
        <f>グラフデータ!E351</f>
        <v>143.1</v>
      </c>
    </row>
    <row r="37" spans="1:14" ht="15" customHeight="1">
      <c r="A37" s="1083" t="s">
        <v>696</v>
      </c>
      <c r="B37" s="1084"/>
      <c r="C37" s="962">
        <f>グラフデータ!E352</f>
        <v>149</v>
      </c>
      <c r="D37" s="962">
        <f>グラフデータ!E353</f>
        <v>148.4</v>
      </c>
      <c r="E37" s="962">
        <f>グラフデータ!E354</f>
        <v>149.4</v>
      </c>
      <c r="F37" s="962">
        <f>グラフデータ!E355</f>
        <v>147.30000000000001</v>
      </c>
      <c r="G37" s="962">
        <f>グラフデータ!E356</f>
        <v>151.5</v>
      </c>
      <c r="H37" s="962">
        <f>グラフデータ!E357</f>
        <v>151</v>
      </c>
      <c r="I37" s="962">
        <f>グラフデータ!E358</f>
        <v>157.6</v>
      </c>
      <c r="J37" s="962">
        <f>グラフデータ!E359</f>
        <v>154.80000000000001</v>
      </c>
      <c r="K37" s="962">
        <f>グラフデータ!E360</f>
        <v>159.30000000000001</v>
      </c>
      <c r="L37" s="962">
        <f>グラフデータ!E361</f>
        <v>147.80000000000001</v>
      </c>
      <c r="M37" s="962">
        <f>グラフデータ!E362</f>
        <v>153.9</v>
      </c>
      <c r="N37" s="962">
        <f>グラフデータ!E363</f>
        <v>147.5</v>
      </c>
    </row>
    <row r="38" spans="1:14" ht="15" customHeight="1">
      <c r="A38" s="1083" t="s">
        <v>707</v>
      </c>
      <c r="B38" s="1084"/>
      <c r="C38" s="962">
        <f>グラフデータ!E364</f>
        <v>149.5</v>
      </c>
      <c r="D38" s="962">
        <f>グラフデータ!E365</f>
        <v>148.69999999999999</v>
      </c>
      <c r="E38" s="962">
        <f>グラフデータ!E366</f>
        <v>144.80000000000001</v>
      </c>
      <c r="F38" s="962">
        <f>グラフデータ!E367</f>
        <v>141</v>
      </c>
      <c r="G38" s="962">
        <f>グラフデータ!E368</f>
        <v>139.30000000000001</v>
      </c>
      <c r="H38" s="962">
        <f>グラフデータ!E369</f>
        <v>140.6</v>
      </c>
      <c r="I38" s="962">
        <f>グラフデータ!E370</f>
        <v>134.80000000000001</v>
      </c>
      <c r="J38" s="962">
        <f>グラフデータ!E371</f>
        <v>129.30000000000001</v>
      </c>
      <c r="K38" s="962">
        <f>グラフデータ!E372</f>
        <v>127.9</v>
      </c>
      <c r="L38" s="962">
        <f>グラフデータ!E373</f>
        <v>127.7</v>
      </c>
      <c r="M38" s="962">
        <f>グラフデータ!E374</f>
        <v>124.9</v>
      </c>
      <c r="N38" s="962">
        <f>グラフデータ!E375</f>
        <v>127.9</v>
      </c>
    </row>
    <row r="39" spans="1:14" ht="15" customHeight="1">
      <c r="A39" s="1083" t="s">
        <v>711</v>
      </c>
      <c r="B39" s="1084"/>
      <c r="C39" s="962">
        <f>グラフデータ!$E376</f>
        <v>123.3</v>
      </c>
      <c r="D39" s="962">
        <f>グラフデータ!$E377</f>
        <v>128.19999999999999</v>
      </c>
      <c r="E39" s="962">
        <f>グラフデータ!$E378</f>
        <v>131.6</v>
      </c>
      <c r="F39" s="962">
        <f>グラフデータ!$E379</f>
        <v>135.1</v>
      </c>
      <c r="G39" s="962">
        <f>グラフデータ!$E380</f>
        <v>136.69999999999999</v>
      </c>
      <c r="H39" s="962">
        <f>グラフデータ!$E381</f>
        <v>135</v>
      </c>
      <c r="I39" s="962">
        <f>グラフデータ!$E382</f>
        <v>130.5</v>
      </c>
      <c r="J39" s="962">
        <f>グラフデータ!$E383</f>
        <v>132.5</v>
      </c>
      <c r="K39" s="962">
        <f>グラフデータ!$E384</f>
        <v>137.30000000000001</v>
      </c>
      <c r="L39" s="962">
        <f>グラフデータ!$E385</f>
        <v>146.9</v>
      </c>
      <c r="M39" s="962">
        <f>グラフデータ!$E386</f>
        <v>140.4</v>
      </c>
      <c r="N39" s="962">
        <f>グラフデータ!$E387</f>
        <v>138.69999999999999</v>
      </c>
    </row>
    <row r="40" spans="1:14" ht="15" customHeight="1">
      <c r="A40" s="1263" t="s">
        <v>815</v>
      </c>
      <c r="B40" s="1081"/>
      <c r="C40" s="961">
        <f>グラフデータ!$E388</f>
        <v>146.4</v>
      </c>
      <c r="D40" s="961">
        <f>グラフデータ!$E389</f>
        <v>148.1</v>
      </c>
      <c r="E40" s="961">
        <f>グラフデータ!$E390</f>
        <v>153.5</v>
      </c>
      <c r="F40" s="961">
        <f>グラフデータ!$E391</f>
        <v>138.80000000000001</v>
      </c>
      <c r="G40" s="961">
        <f>グラフデータ!$E392</f>
        <v>141</v>
      </c>
      <c r="H40" s="961">
        <f>グラフデータ!$E393</f>
        <v>141.30000000000001</v>
      </c>
      <c r="I40" s="961">
        <f>グラフデータ!$E394</f>
        <v>133.5</v>
      </c>
      <c r="J40" s="961">
        <f>グラフデータ!$E395</f>
        <v>131.5</v>
      </c>
      <c r="K40" s="961">
        <f>グラフデータ!$E396</f>
        <v>132.1</v>
      </c>
      <c r="L40" s="961">
        <f>グラフデータ!$E397</f>
        <v>132.69999999999999</v>
      </c>
      <c r="M40" s="961">
        <f>グラフデータ!$E398</f>
        <v>138.19999999999999</v>
      </c>
      <c r="N40" s="961"/>
    </row>
    <row r="41" spans="1:14" ht="7.5" customHeight="1">
      <c r="A41" s="1076"/>
      <c r="B41" s="1076"/>
      <c r="C41" s="1077"/>
      <c r="D41" s="1077"/>
      <c r="E41" s="1077"/>
      <c r="F41" s="1077"/>
      <c r="G41" s="1077"/>
      <c r="H41" s="1077"/>
      <c r="I41" s="1077"/>
      <c r="J41" s="1077"/>
      <c r="K41" s="1077"/>
      <c r="L41" s="1077"/>
      <c r="M41" s="1077"/>
      <c r="N41" s="1077"/>
    </row>
    <row r="42" spans="1:14" ht="7.5" customHeight="1"/>
    <row r="43" spans="1:14" ht="15" customHeight="1">
      <c r="A43" s="694" t="s">
        <v>54</v>
      </c>
      <c r="B43" s="244"/>
      <c r="C43" s="244"/>
      <c r="D43" s="244"/>
      <c r="E43" s="244"/>
      <c r="F43" s="244"/>
      <c r="G43" s="244"/>
      <c r="H43" s="244"/>
      <c r="I43" s="244"/>
      <c r="J43" s="244"/>
      <c r="K43" s="244"/>
      <c r="L43" s="244"/>
      <c r="M43" s="1166"/>
      <c r="N43" s="413" t="str">
        <f>初期登録!F15</f>
        <v>(令和２年=100)</v>
      </c>
    </row>
    <row r="44" spans="1:14" ht="15" customHeight="1">
      <c r="A44" s="443"/>
      <c r="B44" s="695" t="s">
        <v>189</v>
      </c>
      <c r="C44" s="1484" t="s">
        <v>259</v>
      </c>
      <c r="D44" s="1484" t="s">
        <v>385</v>
      </c>
      <c r="E44" s="1484" t="s">
        <v>386</v>
      </c>
      <c r="F44" s="1484" t="s">
        <v>387</v>
      </c>
      <c r="G44" s="1484" t="s">
        <v>388</v>
      </c>
      <c r="H44" s="1484" t="s">
        <v>389</v>
      </c>
      <c r="I44" s="1484" t="s">
        <v>390</v>
      </c>
      <c r="J44" s="1484" t="s">
        <v>391</v>
      </c>
      <c r="K44" s="1484" t="s">
        <v>392</v>
      </c>
      <c r="L44" s="1484" t="s">
        <v>191</v>
      </c>
      <c r="M44" s="1484" t="s">
        <v>192</v>
      </c>
      <c r="N44" s="1484" t="s">
        <v>193</v>
      </c>
    </row>
    <row r="45" spans="1:14" ht="15" customHeight="1">
      <c r="A45" s="696" t="s">
        <v>190</v>
      </c>
      <c r="B45" s="444"/>
      <c r="C45" s="1485"/>
      <c r="D45" s="1485"/>
      <c r="E45" s="1485"/>
      <c r="F45" s="1485"/>
      <c r="G45" s="1485"/>
      <c r="H45" s="1485"/>
      <c r="I45" s="1485"/>
      <c r="J45" s="1485"/>
      <c r="K45" s="1485"/>
      <c r="L45" s="1485"/>
      <c r="M45" s="1485"/>
      <c r="N45" s="1485"/>
    </row>
    <row r="46" spans="1:14" ht="15" customHeight="1">
      <c r="A46" s="1259" t="s">
        <v>677</v>
      </c>
      <c r="B46" s="1260"/>
      <c r="C46" s="958">
        <f>グラフデータ!F220</f>
        <v>93.3</v>
      </c>
      <c r="D46" s="958">
        <f>グラフデータ!F221</f>
        <v>93.2</v>
      </c>
      <c r="E46" s="958">
        <f>グラフデータ!F222</f>
        <v>78.2</v>
      </c>
      <c r="F46" s="958">
        <f>グラフデータ!F223</f>
        <v>84.5</v>
      </c>
      <c r="G46" s="958">
        <f>グラフデータ!F224</f>
        <v>89.1</v>
      </c>
      <c r="H46" s="958">
        <f>グラフデータ!F225</f>
        <v>86.9</v>
      </c>
      <c r="I46" s="958">
        <f>グラフデータ!F226</f>
        <v>90.9</v>
      </c>
      <c r="J46" s="958">
        <f>グラフデータ!F227</f>
        <v>95.2</v>
      </c>
      <c r="K46" s="958">
        <f>グラフデータ!F228</f>
        <v>93.9</v>
      </c>
      <c r="L46" s="958">
        <f>グラフデータ!F229</f>
        <v>91.7</v>
      </c>
      <c r="M46" s="958">
        <f>グラフデータ!F230</f>
        <v>90.3</v>
      </c>
      <c r="N46" s="959">
        <f>グラフデータ!F231</f>
        <v>93</v>
      </c>
    </row>
    <row r="47" spans="1:14" ht="15" customHeight="1">
      <c r="A47" s="1259" t="s">
        <v>678</v>
      </c>
      <c r="B47" s="1260"/>
      <c r="C47" s="958">
        <f>グラフデータ!F232</f>
        <v>94.6</v>
      </c>
      <c r="D47" s="958">
        <f>グラフデータ!F233</f>
        <v>95.1</v>
      </c>
      <c r="E47" s="958">
        <f>グラフデータ!F234</f>
        <v>97.4</v>
      </c>
      <c r="F47" s="958">
        <f>グラフデータ!F235</f>
        <v>97.9</v>
      </c>
      <c r="G47" s="958">
        <f>グラフデータ!F236</f>
        <v>100.9</v>
      </c>
      <c r="H47" s="958">
        <f>グラフデータ!F237</f>
        <v>100.6</v>
      </c>
      <c r="I47" s="958">
        <f>グラフデータ!F238</f>
        <v>98.8</v>
      </c>
      <c r="J47" s="958">
        <f>グラフデータ!F239</f>
        <v>98.2</v>
      </c>
      <c r="K47" s="958">
        <f>グラフデータ!F240</f>
        <v>99.8</v>
      </c>
      <c r="L47" s="958">
        <f>グラフデータ!F241</f>
        <v>98.2</v>
      </c>
      <c r="M47" s="958">
        <f>グラフデータ!F242</f>
        <v>98</v>
      </c>
      <c r="N47" s="959">
        <f>グラフデータ!F243</f>
        <v>97.9</v>
      </c>
    </row>
    <row r="48" spans="1:14" ht="15" customHeight="1">
      <c r="A48" s="1259" t="s">
        <v>679</v>
      </c>
      <c r="B48" s="1260"/>
      <c r="C48" s="958">
        <f>グラフデータ!F244</f>
        <v>96.2</v>
      </c>
      <c r="D48" s="958">
        <f>グラフデータ!F245</f>
        <v>98.8</v>
      </c>
      <c r="E48" s="958">
        <f>グラフデータ!F246</f>
        <v>103</v>
      </c>
      <c r="F48" s="958">
        <f>グラフデータ!F247</f>
        <v>99.3</v>
      </c>
      <c r="G48" s="958">
        <f>グラフデータ!F248</f>
        <v>102.2</v>
      </c>
      <c r="H48" s="958">
        <f>グラフデータ!F249</f>
        <v>105.7</v>
      </c>
      <c r="I48" s="958">
        <f>グラフデータ!F250</f>
        <v>105.6</v>
      </c>
      <c r="J48" s="958">
        <f>グラフデータ!F251</f>
        <v>106.4</v>
      </c>
      <c r="K48" s="958">
        <f>グラフデータ!F252</f>
        <v>107.3</v>
      </c>
      <c r="L48" s="958">
        <f>グラフデータ!F253</f>
        <v>106.9</v>
      </c>
      <c r="M48" s="958">
        <f>グラフデータ!F254</f>
        <v>110.1</v>
      </c>
      <c r="N48" s="959">
        <f>グラフデータ!F255</f>
        <v>111</v>
      </c>
    </row>
    <row r="49" spans="1:17" ht="15" customHeight="1">
      <c r="A49" s="1259" t="s">
        <v>680</v>
      </c>
      <c r="B49" s="1260"/>
      <c r="C49" s="958">
        <f>グラフデータ!F256</f>
        <v>111.9</v>
      </c>
      <c r="D49" s="958">
        <f>グラフデータ!F257</f>
        <v>112.3</v>
      </c>
      <c r="E49" s="958">
        <f>グラフデータ!F258</f>
        <v>106.5</v>
      </c>
      <c r="F49" s="958">
        <f>グラフデータ!F259</f>
        <v>108.6</v>
      </c>
      <c r="G49" s="958">
        <f>グラフデータ!F260</f>
        <v>114.1</v>
      </c>
      <c r="H49" s="958">
        <f>グラフデータ!F261</f>
        <v>114.7</v>
      </c>
      <c r="I49" s="958">
        <f>グラフデータ!F262</f>
        <v>114.7</v>
      </c>
      <c r="J49" s="958">
        <f>グラフデータ!F263</f>
        <v>114.4</v>
      </c>
      <c r="K49" s="958">
        <f>グラフデータ!F264</f>
        <v>115.2</v>
      </c>
      <c r="L49" s="958">
        <f>グラフデータ!F265</f>
        <v>115.2</v>
      </c>
      <c r="M49" s="958">
        <f>グラフデータ!F266</f>
        <v>113.5</v>
      </c>
      <c r="N49" s="959">
        <f>グラフデータ!F267</f>
        <v>109.8</v>
      </c>
    </row>
    <row r="50" spans="1:17" ht="15" customHeight="1">
      <c r="A50" s="1259" t="s">
        <v>681</v>
      </c>
      <c r="B50" s="1260"/>
      <c r="C50" s="958">
        <f>グラフデータ!F268</f>
        <v>102.3</v>
      </c>
      <c r="D50" s="958">
        <f>グラフデータ!F269</f>
        <v>106.5</v>
      </c>
      <c r="E50" s="958">
        <f>グラフデータ!F270</f>
        <v>105.8</v>
      </c>
      <c r="F50" s="958">
        <f>グラフデータ!F271</f>
        <v>105.5</v>
      </c>
      <c r="G50" s="958">
        <f>グラフデータ!F272</f>
        <v>104.8</v>
      </c>
      <c r="H50" s="958">
        <f>グラフデータ!F273</f>
        <v>102.5</v>
      </c>
      <c r="I50" s="958">
        <f>グラフデータ!F274</f>
        <v>100.3</v>
      </c>
      <c r="J50" s="958">
        <f>グラフデータ!F275</f>
        <v>100.8</v>
      </c>
      <c r="K50" s="958">
        <f>グラフデータ!F276</f>
        <v>97</v>
      </c>
      <c r="L50" s="958">
        <f>グラフデータ!F277</f>
        <v>101.3</v>
      </c>
      <c r="M50" s="958">
        <f>グラフデータ!F278</f>
        <v>97.5</v>
      </c>
      <c r="N50" s="959">
        <f>グラフデータ!F279</f>
        <v>100.2</v>
      </c>
    </row>
    <row r="51" spans="1:17" ht="15" customHeight="1">
      <c r="A51" s="1259" t="s">
        <v>682</v>
      </c>
      <c r="B51" s="1260"/>
      <c r="C51" s="958">
        <f>グラフデータ!F280</f>
        <v>101.5</v>
      </c>
      <c r="D51" s="958">
        <f>グラフデータ!F281</f>
        <v>101.4</v>
      </c>
      <c r="E51" s="958">
        <f>グラフデータ!F282</f>
        <v>101.1</v>
      </c>
      <c r="F51" s="958">
        <f>グラフデータ!F283</f>
        <v>99.7</v>
      </c>
      <c r="G51" s="958">
        <f>グラフデータ!F284</f>
        <v>98.9</v>
      </c>
      <c r="H51" s="958">
        <f>グラフデータ!F285</f>
        <v>97.3</v>
      </c>
      <c r="I51" s="958">
        <f>グラフデータ!F286</f>
        <v>99.7</v>
      </c>
      <c r="J51" s="958">
        <f>グラフデータ!F287</f>
        <v>97.7</v>
      </c>
      <c r="K51" s="958">
        <f>グラフデータ!F288</f>
        <v>98</v>
      </c>
      <c r="L51" s="958">
        <f>グラフデータ!F289</f>
        <v>99.7</v>
      </c>
      <c r="M51" s="958">
        <f>グラフデータ!F290</f>
        <v>101</v>
      </c>
      <c r="N51" s="959">
        <f>グラフデータ!F291</f>
        <v>101.1</v>
      </c>
    </row>
    <row r="52" spans="1:17" ht="15" customHeight="1">
      <c r="A52" s="1259" t="s">
        <v>683</v>
      </c>
      <c r="B52" s="1260"/>
      <c r="C52" s="958">
        <f>グラフデータ!F292</f>
        <v>101</v>
      </c>
      <c r="D52" s="958">
        <f>グラフデータ!F293</f>
        <v>101.3</v>
      </c>
      <c r="E52" s="958">
        <f>グラフデータ!F294</f>
        <v>100.5</v>
      </c>
      <c r="F52" s="958">
        <f>グラフデータ!F295</f>
        <v>102.4</v>
      </c>
      <c r="G52" s="958">
        <f>グラフデータ!F296</f>
        <v>98.7</v>
      </c>
      <c r="H52" s="958">
        <f>グラフデータ!F297</f>
        <v>100.6</v>
      </c>
      <c r="I52" s="958">
        <f>グラフデータ!F298</f>
        <v>100.1</v>
      </c>
      <c r="J52" s="958">
        <f>グラフデータ!F299</f>
        <v>100.1</v>
      </c>
      <c r="K52" s="958"/>
      <c r="L52" s="958">
        <f>グラフデータ!F301</f>
        <v>99.2</v>
      </c>
      <c r="M52" s="958">
        <f>グラフデータ!F302</f>
        <v>100.6</v>
      </c>
      <c r="N52" s="962">
        <f>グラフデータ!F303</f>
        <v>103.2</v>
      </c>
    </row>
    <row r="53" spans="1:17" ht="15" customHeight="1">
      <c r="A53" s="1259" t="s">
        <v>684</v>
      </c>
      <c r="B53" s="1260"/>
      <c r="C53" s="958">
        <f>グラフデータ!F304</f>
        <v>104.9</v>
      </c>
      <c r="D53" s="958">
        <f>グラフデータ!F305</f>
        <v>102.9</v>
      </c>
      <c r="E53" s="958">
        <f>グラフデータ!F306</f>
        <v>102.6</v>
      </c>
      <c r="F53" s="958">
        <f>グラフデータ!F307</f>
        <v>99.1</v>
      </c>
      <c r="G53" s="958">
        <f>グラフデータ!F308</f>
        <v>103.3</v>
      </c>
      <c r="H53" s="958">
        <f>グラフデータ!F309</f>
        <v>103</v>
      </c>
      <c r="I53" s="958">
        <f>グラフデータ!F310</f>
        <v>104.7</v>
      </c>
      <c r="J53" s="958">
        <f>グラフデータ!F311</f>
        <v>101.5</v>
      </c>
      <c r="K53" s="958">
        <f>グラフデータ!F312</f>
        <v>99.8</v>
      </c>
      <c r="L53" s="958">
        <f>グラフデータ!F313</f>
        <v>98.7</v>
      </c>
      <c r="M53" s="958">
        <f>グラフデータ!F314</f>
        <v>98.3</v>
      </c>
      <c r="N53" s="959">
        <f>グラフデータ!F315</f>
        <v>99.2</v>
      </c>
      <c r="O53" s="267"/>
      <c r="P53" s="267"/>
    </row>
    <row r="54" spans="1:17" ht="15" customHeight="1">
      <c r="A54" s="1259" t="s">
        <v>686</v>
      </c>
      <c r="B54" s="1260"/>
      <c r="C54" s="991">
        <f>グラフデータ!F316</f>
        <v>94.8</v>
      </c>
      <c r="D54" s="991">
        <f>グラフデータ!$F317</f>
        <v>96.2</v>
      </c>
      <c r="E54" s="991">
        <f>グラフデータ!$F318</f>
        <v>96.8</v>
      </c>
      <c r="F54" s="991">
        <f>グラフデータ!$F319</f>
        <v>95.1</v>
      </c>
      <c r="G54" s="991">
        <f>グラフデータ!$F320</f>
        <v>101.2</v>
      </c>
      <c r="H54" s="991">
        <f>グラフデータ!$F321</f>
        <v>103.7</v>
      </c>
      <c r="I54" s="991">
        <f>グラフデータ!$F322</f>
        <v>97.2</v>
      </c>
      <c r="J54" s="991">
        <f>グラフデータ!$F323</f>
        <v>103</v>
      </c>
      <c r="K54" s="991">
        <f>グラフデータ!$F324</f>
        <v>103.7</v>
      </c>
      <c r="L54" s="991">
        <f>グラフデータ!$F325</f>
        <v>100.1</v>
      </c>
      <c r="M54" s="991">
        <f>グラフデータ!$F326</f>
        <v>101.2</v>
      </c>
      <c r="N54" s="962">
        <f>グラフデータ!$F327</f>
        <v>102.5</v>
      </c>
      <c r="O54" s="267"/>
      <c r="P54" s="267"/>
    </row>
    <row r="55" spans="1:17" ht="15" customHeight="1">
      <c r="A55" s="1259" t="s">
        <v>685</v>
      </c>
      <c r="B55" s="1260"/>
      <c r="C55" s="962">
        <f>グラフデータ!$F328</f>
        <v>103.7</v>
      </c>
      <c r="D55" s="991">
        <f>グラフデータ!$F329</f>
        <v>103.5</v>
      </c>
      <c r="E55" s="991">
        <f>グラフデータ!$F330</f>
        <v>100.8</v>
      </c>
      <c r="F55" s="991">
        <f>グラフデータ!$F331</f>
        <v>101</v>
      </c>
      <c r="G55" s="991">
        <f>グラフデータ!$F332</f>
        <v>97.5</v>
      </c>
      <c r="H55" s="962">
        <f>グラフデータ!$F333</f>
        <v>102.2</v>
      </c>
      <c r="I55" s="991">
        <f>グラフデータ!$F334</f>
        <v>103</v>
      </c>
      <c r="J55" s="991">
        <f>グラフデータ!$F335</f>
        <v>97.6</v>
      </c>
      <c r="K55" s="991">
        <f>グラフデータ!$F336</f>
        <v>99</v>
      </c>
      <c r="L55" s="991">
        <f>グラフデータ!$F337</f>
        <v>99.8</v>
      </c>
      <c r="M55" s="991">
        <f>グラフデータ!$F338</f>
        <v>97.8</v>
      </c>
      <c r="N55" s="962">
        <f>グラフデータ!$F339</f>
        <v>94.1</v>
      </c>
      <c r="O55" s="267"/>
      <c r="P55" s="267"/>
    </row>
    <row r="56" spans="1:17" ht="15" customHeight="1">
      <c r="A56" s="1259" t="s">
        <v>692</v>
      </c>
      <c r="B56" s="1260"/>
      <c r="C56" s="962">
        <f>グラフデータ!$F340</f>
        <v>98.3</v>
      </c>
      <c r="D56" s="962">
        <f>グラフデータ!$F341</f>
        <v>97</v>
      </c>
      <c r="E56" s="962">
        <f>グラフデータ!$F342</f>
        <v>103.2</v>
      </c>
      <c r="F56" s="962">
        <f>グラフデータ!$F343</f>
        <v>105.3</v>
      </c>
      <c r="G56" s="962">
        <f>グラフデータ!$F344</f>
        <v>102.5</v>
      </c>
      <c r="H56" s="962">
        <f>グラフデータ!$F345</f>
        <v>103.7</v>
      </c>
      <c r="I56" s="962">
        <f>グラフデータ!$F346</f>
        <v>101.4</v>
      </c>
      <c r="J56" s="962">
        <f>グラフデータ!$F347</f>
        <v>101.7</v>
      </c>
      <c r="K56" s="962">
        <f>グラフデータ!$F348</f>
        <v>101.8</v>
      </c>
      <c r="L56" s="962">
        <f>グラフデータ!$F349</f>
        <v>104</v>
      </c>
      <c r="M56" s="962">
        <f>グラフデータ!$F350</f>
        <v>104.5</v>
      </c>
      <c r="N56" s="962">
        <f>グラフデータ!$F351</f>
        <v>105.2</v>
      </c>
      <c r="O56" s="267"/>
      <c r="P56" s="267"/>
    </row>
    <row r="57" spans="1:17" ht="15" customHeight="1">
      <c r="A57" s="1083" t="s">
        <v>696</v>
      </c>
      <c r="B57" s="1084"/>
      <c r="C57" s="962">
        <f>グラフデータ!$F352</f>
        <v>105.8</v>
      </c>
      <c r="D57" s="962">
        <f>グラフデータ!$F353</f>
        <v>102.4</v>
      </c>
      <c r="E57" s="962">
        <f>グラフデータ!$F354</f>
        <v>110.4</v>
      </c>
      <c r="F57" s="962">
        <f>グラフデータ!$F355</f>
        <v>107.1</v>
      </c>
      <c r="G57" s="962">
        <f>グラフデータ!$F356</f>
        <v>117.2</v>
      </c>
      <c r="H57" s="962">
        <f>グラフデータ!$F357</f>
        <v>113.5</v>
      </c>
      <c r="I57" s="962">
        <f>グラフデータ!$F358</f>
        <v>120.6</v>
      </c>
      <c r="J57" s="962">
        <f>グラフデータ!$F359</f>
        <v>116.8</v>
      </c>
      <c r="K57" s="962">
        <f>グラフデータ!$F360</f>
        <v>118.6</v>
      </c>
      <c r="L57" s="962">
        <f>グラフデータ!$F361</f>
        <v>118</v>
      </c>
      <c r="M57" s="962">
        <f>グラフデータ!$F362</f>
        <v>120.7</v>
      </c>
      <c r="N57" s="962">
        <f>グラフデータ!$F363</f>
        <v>125.1</v>
      </c>
    </row>
    <row r="58" spans="1:17" ht="15" customHeight="1">
      <c r="A58" s="1083" t="s">
        <v>707</v>
      </c>
      <c r="B58" s="1084"/>
      <c r="C58" s="962">
        <f>グラフデータ!$F364</f>
        <v>126</v>
      </c>
      <c r="D58" s="962">
        <f>グラフデータ!$F365</f>
        <v>125.6</v>
      </c>
      <c r="E58" s="962">
        <f>グラフデータ!$F366</f>
        <v>123.7</v>
      </c>
      <c r="F58" s="962">
        <f>グラフデータ!$F367</f>
        <v>123.1</v>
      </c>
      <c r="G58" s="962">
        <f>グラフデータ!$F368</f>
        <v>121.4</v>
      </c>
      <c r="H58" s="962">
        <f>グラフデータ!$F369</f>
        <v>119.4</v>
      </c>
      <c r="I58" s="962">
        <f>グラフデータ!$F370</f>
        <v>123.1</v>
      </c>
      <c r="J58" s="962">
        <f>グラフデータ!$F371</f>
        <v>126.2</v>
      </c>
      <c r="K58" s="962">
        <f>グラフデータ!$F372</f>
        <v>126.3</v>
      </c>
      <c r="L58" s="962">
        <f>グラフデータ!$F373</f>
        <v>128.4</v>
      </c>
      <c r="M58" s="962">
        <f>グラフデータ!$F374</f>
        <v>123.5</v>
      </c>
      <c r="N58" s="962">
        <f>グラフデータ!$F375</f>
        <v>125.7</v>
      </c>
    </row>
    <row r="59" spans="1:17" ht="15" customHeight="1">
      <c r="A59" s="1083" t="s">
        <v>711</v>
      </c>
      <c r="B59" s="1084"/>
      <c r="C59" s="962">
        <f>グラフデータ!$F376</f>
        <v>118.2</v>
      </c>
      <c r="D59" s="962">
        <f>グラフデータ!$F377</f>
        <v>125.1</v>
      </c>
      <c r="E59" s="962">
        <f>グラフデータ!$F378</f>
        <v>123.4</v>
      </c>
      <c r="F59" s="962">
        <f>グラフデータ!$F379</f>
        <v>121.5</v>
      </c>
      <c r="G59" s="962">
        <f>グラフデータ!$F380</f>
        <v>122.8</v>
      </c>
      <c r="H59" s="962">
        <f>グラフデータ!$F381</f>
        <v>126.7</v>
      </c>
      <c r="I59" s="962">
        <f>グラフデータ!$F382</f>
        <v>119.5</v>
      </c>
      <c r="J59" s="962">
        <f>グラフデータ!$F383</f>
        <v>124.4</v>
      </c>
      <c r="K59" s="962">
        <f>グラフデータ!$F384</f>
        <v>122.8</v>
      </c>
      <c r="L59" s="962">
        <f>グラフデータ!$F385</f>
        <v>123.2</v>
      </c>
      <c r="M59" s="962">
        <f>グラフデータ!$F386</f>
        <v>128.9</v>
      </c>
      <c r="N59" s="962">
        <f>グラフデータ!$F387</f>
        <v>127.1</v>
      </c>
      <c r="Q59" s="1078"/>
    </row>
    <row r="60" spans="1:17" ht="15" customHeight="1">
      <c r="A60" s="1263" t="s">
        <v>815</v>
      </c>
      <c r="B60" s="1081"/>
      <c r="C60" s="961">
        <f>グラフデータ!$F388</f>
        <v>128.5</v>
      </c>
      <c r="D60" s="961">
        <f>グラフデータ!$F389</f>
        <v>127.8</v>
      </c>
      <c r="E60" s="961">
        <f>グラフデータ!$F390</f>
        <v>127.7</v>
      </c>
      <c r="F60" s="961">
        <f>グラフデータ!$F391</f>
        <v>125.3</v>
      </c>
      <c r="G60" s="961">
        <f>グラフデータ!$F392</f>
        <v>123.9</v>
      </c>
      <c r="H60" s="961">
        <f>グラフデータ!$F393</f>
        <v>123.9</v>
      </c>
      <c r="I60" s="961">
        <f>グラフデータ!$F394</f>
        <v>125.1</v>
      </c>
      <c r="J60" s="961">
        <f>グラフデータ!$F395</f>
        <v>118.6</v>
      </c>
      <c r="K60" s="961">
        <f>グラフデータ!$F396</f>
        <v>119.8</v>
      </c>
      <c r="L60" s="961">
        <f>グラフデータ!$F397</f>
        <v>122.1</v>
      </c>
      <c r="M60" s="961">
        <f>グラフデータ!$F398</f>
        <v>125.6</v>
      </c>
      <c r="N60" s="961"/>
      <c r="Q60" s="1078"/>
    </row>
    <row r="61" spans="1:17" ht="3.95" customHeight="1">
      <c r="A61" s="1076"/>
      <c r="B61" s="1076"/>
      <c r="C61" s="1077"/>
      <c r="D61" s="1077"/>
      <c r="E61" s="1077"/>
      <c r="F61" s="1077"/>
      <c r="G61" s="1077"/>
      <c r="H61" s="1077"/>
      <c r="I61" s="1077"/>
      <c r="J61" s="1077"/>
      <c r="K61" s="1077"/>
      <c r="L61" s="1077"/>
      <c r="M61" s="1077"/>
      <c r="N61" s="1077"/>
    </row>
    <row r="62" spans="1:17" ht="3.95" customHeight="1"/>
    <row r="63" spans="1:17">
      <c r="A63" s="475" t="s">
        <v>381</v>
      </c>
      <c r="B63" s="244" t="s">
        <v>554</v>
      </c>
      <c r="C63" s="244"/>
      <c r="D63" s="244"/>
      <c r="E63" s="244"/>
    </row>
    <row r="64" spans="1:17">
      <c r="A64" s="475"/>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3"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佐藤 由紀</cp:lastModifiedBy>
  <cp:lastPrinted>2026-02-27T07:53:36Z</cp:lastPrinted>
  <dcterms:created xsi:type="dcterms:W3CDTF">2009-03-03T08:10:44Z</dcterms:created>
  <dcterms:modified xsi:type="dcterms:W3CDTF">2026-03-03T04:29:12Z</dcterms:modified>
</cp:coreProperties>
</file>