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backupFile="1" codeName="ThisWorkbook" defaultThemeVersion="124226"/>
  <mc:AlternateContent xmlns:mc="http://schemas.openxmlformats.org/markup-compatibility/2006">
    <mc:Choice Requires="x15">
      <x15ac:absPath xmlns:x15ac="http://schemas.microsoft.com/office/spreadsheetml/2010/11/ac" url="C:\Users\066155\Desktop\"/>
    </mc:Choice>
  </mc:AlternateContent>
  <xr:revisionPtr revIDLastSave="0" documentId="8_{984DB907-4351-4089-AE65-B2D2FE1155C2}" xr6:coauthVersionLast="47" xr6:coauthVersionMax="47" xr10:uidLastSave="{00000000-0000-0000-0000-000000000000}"/>
  <bookViews>
    <workbookView xWindow="-28920" yWindow="-120" windowWidth="29040" windowHeight="15720" firstSheet="9" activeTab="15"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 r:id="rId27"/>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'P10.DI変化方向表'!$A$1:$AX$43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'P8.一致系列'!$A$1:$L$62</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6" i="9" l="1"/>
  <c r="V396" i="9"/>
  <c r="W396" i="9"/>
  <c r="M396" i="9"/>
  <c r="N396" i="9"/>
  <c r="O396" i="9"/>
  <c r="D565" i="24"/>
  <c r="E565" i="24"/>
  <c r="F565" i="24"/>
  <c r="W395" i="9"/>
  <c r="V395" i="9"/>
  <c r="U395" i="9"/>
  <c r="O395" i="9"/>
  <c r="N395" i="9"/>
  <c r="M395" i="9"/>
  <c r="U394" i="9" l="1"/>
  <c r="Y395" i="9" s="1"/>
  <c r="V394" i="9"/>
  <c r="W394" i="9"/>
  <c r="AA395" i="9" s="1"/>
  <c r="M394" i="9"/>
  <c r="Q395" i="9" s="1"/>
  <c r="N394" i="9"/>
  <c r="R395" i="9" s="1"/>
  <c r="O394" i="9"/>
  <c r="U393" i="9"/>
  <c r="Y394" i="9" s="1"/>
  <c r="V393" i="9"/>
  <c r="W393" i="9"/>
  <c r="M393" i="9"/>
  <c r="N393" i="9"/>
  <c r="R393" i="9" s="1"/>
  <c r="O393" i="9"/>
  <c r="I393" i="9"/>
  <c r="J393" i="9"/>
  <c r="K393" i="9"/>
  <c r="I394" i="9"/>
  <c r="J394" i="9"/>
  <c r="K394" i="9"/>
  <c r="I395" i="9"/>
  <c r="J395" i="9"/>
  <c r="K395" i="9"/>
  <c r="I396" i="9"/>
  <c r="J396" i="9"/>
  <c r="K396" i="9"/>
  <c r="U392" i="9"/>
  <c r="V392" i="9"/>
  <c r="Z392" i="9" s="1"/>
  <c r="W392" i="9"/>
  <c r="M392" i="9"/>
  <c r="N392" i="9"/>
  <c r="O392" i="9"/>
  <c r="M391" i="9"/>
  <c r="N391" i="9"/>
  <c r="O391" i="9"/>
  <c r="U391" i="9"/>
  <c r="Y392" i="9" s="1"/>
  <c r="V391" i="9"/>
  <c r="W391" i="9"/>
  <c r="I391" i="9"/>
  <c r="J391" i="9"/>
  <c r="K391" i="9"/>
  <c r="U390" i="9"/>
  <c r="V390" i="9"/>
  <c r="W390" i="9"/>
  <c r="M389" i="9"/>
  <c r="N389" i="9"/>
  <c r="R390" i="9" s="1"/>
  <c r="O389" i="9"/>
  <c r="O390" i="9"/>
  <c r="N390" i="9"/>
  <c r="M390" i="9"/>
  <c r="I390" i="9"/>
  <c r="J390" i="9"/>
  <c r="K390" i="9"/>
  <c r="I392" i="9"/>
  <c r="J392" i="9"/>
  <c r="K392" i="9"/>
  <c r="AA396" i="9"/>
  <c r="Y396" i="9"/>
  <c r="Q396" i="9"/>
  <c r="Z396" i="9"/>
  <c r="S396" i="9"/>
  <c r="R396" i="9"/>
  <c r="W389" i="9"/>
  <c r="V389" i="9"/>
  <c r="Z390" i="9" s="1"/>
  <c r="U389" i="9"/>
  <c r="K389" i="9"/>
  <c r="J389" i="9"/>
  <c r="I389" i="9"/>
  <c r="W400" i="9"/>
  <c r="AA400" i="9" s="1"/>
  <c r="V400" i="9"/>
  <c r="Z400" i="9" s="1"/>
  <c r="U400" i="9"/>
  <c r="Y400" i="9" s="1"/>
  <c r="O400" i="9"/>
  <c r="S400" i="9" s="1"/>
  <c r="N400" i="9"/>
  <c r="R400" i="9" s="1"/>
  <c r="M400" i="9"/>
  <c r="Q400" i="9" s="1"/>
  <c r="K400" i="9"/>
  <c r="J400" i="9"/>
  <c r="I400" i="9"/>
  <c r="W388" i="9"/>
  <c r="V388" i="9"/>
  <c r="U388" i="9"/>
  <c r="O388" i="9"/>
  <c r="N388" i="9"/>
  <c r="M388" i="9"/>
  <c r="Q388" i="9" s="1"/>
  <c r="K388" i="9"/>
  <c r="J388" i="9"/>
  <c r="I388" i="9"/>
  <c r="W387" i="9"/>
  <c r="V387" i="9"/>
  <c r="U387" i="9"/>
  <c r="Y387" i="9" s="1"/>
  <c r="O387" i="9"/>
  <c r="N387" i="9"/>
  <c r="M387" i="9"/>
  <c r="K387" i="9"/>
  <c r="J387" i="9"/>
  <c r="I387" i="9"/>
  <c r="I386" i="9"/>
  <c r="J386" i="9"/>
  <c r="K386" i="9"/>
  <c r="M386" i="9"/>
  <c r="N386" i="9"/>
  <c r="O386" i="9"/>
  <c r="U386" i="9"/>
  <c r="V386" i="9"/>
  <c r="W386" i="9"/>
  <c r="W385" i="9"/>
  <c r="V385" i="9"/>
  <c r="U385" i="9"/>
  <c r="O385" i="9"/>
  <c r="N385" i="9"/>
  <c r="M385" i="9"/>
  <c r="I385" i="9"/>
  <c r="J385" i="9"/>
  <c r="K385" i="9"/>
  <c r="U384" i="9"/>
  <c r="V384" i="9"/>
  <c r="W384" i="9"/>
  <c r="I384" i="9"/>
  <c r="J384" i="9"/>
  <c r="K384" i="9"/>
  <c r="M384" i="9"/>
  <c r="N384" i="9"/>
  <c r="O384" i="9"/>
  <c r="T407" i="9"/>
  <c r="T408" i="9"/>
  <c r="T409" i="9"/>
  <c r="U383" i="9"/>
  <c r="V383" i="9"/>
  <c r="W383" i="9"/>
  <c r="U382" i="9"/>
  <c r="V382" i="9"/>
  <c r="W382" i="9"/>
  <c r="O383" i="9"/>
  <c r="N383" i="9"/>
  <c r="R383" i="9" s="1"/>
  <c r="M383" i="9"/>
  <c r="O382" i="9"/>
  <c r="N382" i="9"/>
  <c r="M382" i="9"/>
  <c r="K383" i="9"/>
  <c r="J383" i="9"/>
  <c r="I383" i="9"/>
  <c r="K382" i="9"/>
  <c r="J382" i="9"/>
  <c r="I382" i="9"/>
  <c r="T404" i="9"/>
  <c r="T405" i="9"/>
  <c r="T406" i="9"/>
  <c r="U380" i="9"/>
  <c r="V380" i="9"/>
  <c r="Z381" i="9" s="1"/>
  <c r="W380" i="9"/>
  <c r="U381" i="9"/>
  <c r="V381" i="9"/>
  <c r="W381" i="9"/>
  <c r="M380" i="9"/>
  <c r="N380" i="9"/>
  <c r="R381" i="9" s="1"/>
  <c r="O380" i="9"/>
  <c r="M381" i="9"/>
  <c r="N381" i="9"/>
  <c r="O381" i="9"/>
  <c r="I380" i="9"/>
  <c r="J380" i="9"/>
  <c r="K380" i="9"/>
  <c r="I381" i="9"/>
  <c r="J381" i="9"/>
  <c r="K381" i="9"/>
  <c r="I378" i="9"/>
  <c r="J378" i="9"/>
  <c r="K378" i="9"/>
  <c r="I379" i="9"/>
  <c r="J379" i="9"/>
  <c r="K379" i="9"/>
  <c r="D10" i="1"/>
  <c r="I377" i="9"/>
  <c r="J377" i="9"/>
  <c r="K377" i="9"/>
  <c r="W379" i="9"/>
  <c r="W378" i="9"/>
  <c r="V379" i="9"/>
  <c r="U379" i="9"/>
  <c r="O379" i="9"/>
  <c r="N379" i="9"/>
  <c r="M379" i="9"/>
  <c r="Q379" i="9" s="1"/>
  <c r="M378" i="9"/>
  <c r="W377" i="9"/>
  <c r="V378" i="9"/>
  <c r="U378" i="9"/>
  <c r="O378" i="9"/>
  <c r="N378" i="9"/>
  <c r="R379" i="9" s="1"/>
  <c r="W376" i="9"/>
  <c r="V377" i="9"/>
  <c r="U377" i="9"/>
  <c r="U376" i="9"/>
  <c r="O377" i="9"/>
  <c r="N377" i="9"/>
  <c r="N376" i="9"/>
  <c r="M377" i="9"/>
  <c r="M376" i="9"/>
  <c r="V376" i="9"/>
  <c r="V375" i="9"/>
  <c r="U375" i="9"/>
  <c r="O376" i="9"/>
  <c r="O375" i="9"/>
  <c r="N375" i="9"/>
  <c r="M375" i="9"/>
  <c r="K376" i="9"/>
  <c r="J376" i="9"/>
  <c r="I376" i="9"/>
  <c r="I375" i="9"/>
  <c r="J375" i="9"/>
  <c r="K375" i="9"/>
  <c r="M374" i="9"/>
  <c r="W375" i="9"/>
  <c r="W374" i="9"/>
  <c r="I374" i="9"/>
  <c r="J374" i="9"/>
  <c r="K374" i="9"/>
  <c r="M373" i="9"/>
  <c r="N374" i="9"/>
  <c r="O374" i="9"/>
  <c r="U374" i="9"/>
  <c r="V374" i="9"/>
  <c r="W373" i="9"/>
  <c r="I373" i="9"/>
  <c r="J373" i="9"/>
  <c r="K373" i="9"/>
  <c r="M372" i="9"/>
  <c r="N373" i="9"/>
  <c r="R374" i="9" s="1"/>
  <c r="O373" i="9"/>
  <c r="U373" i="9"/>
  <c r="V373" i="9"/>
  <c r="I372" i="9"/>
  <c r="J372" i="9"/>
  <c r="K372" i="9"/>
  <c r="M371" i="9"/>
  <c r="N372" i="9"/>
  <c r="N371" i="9"/>
  <c r="O372" i="9"/>
  <c r="U372" i="9"/>
  <c r="V372" i="9"/>
  <c r="W372" i="9"/>
  <c r="I371" i="9"/>
  <c r="J371" i="9"/>
  <c r="K371" i="9"/>
  <c r="M370" i="9"/>
  <c r="N370" i="9"/>
  <c r="O371" i="9"/>
  <c r="O370" i="9"/>
  <c r="U371" i="9"/>
  <c r="U370" i="9"/>
  <c r="V371" i="9"/>
  <c r="W371" i="9"/>
  <c r="I370" i="9"/>
  <c r="J370" i="9"/>
  <c r="K370" i="9"/>
  <c r="U369" i="9"/>
  <c r="V370" i="9"/>
  <c r="W370" i="9"/>
  <c r="AA371" i="9" s="1"/>
  <c r="I369" i="9"/>
  <c r="J369" i="9"/>
  <c r="K369" i="9"/>
  <c r="M369" i="9"/>
  <c r="N369" i="9"/>
  <c r="O369" i="9"/>
  <c r="O368" i="9"/>
  <c r="V369" i="9"/>
  <c r="V368" i="9"/>
  <c r="Z368" i="9" s="1"/>
  <c r="W369" i="9"/>
  <c r="I368" i="9"/>
  <c r="J368" i="9"/>
  <c r="K368" i="9"/>
  <c r="M368" i="9"/>
  <c r="M367" i="9"/>
  <c r="N368" i="9"/>
  <c r="U368" i="9"/>
  <c r="Y368" i="9" s="1"/>
  <c r="U367" i="9"/>
  <c r="V367" i="9"/>
  <c r="W368" i="9"/>
  <c r="I367" i="9"/>
  <c r="J367" i="9"/>
  <c r="K367" i="9"/>
  <c r="N367" i="9"/>
  <c r="O367" i="9"/>
  <c r="U366" i="9"/>
  <c r="W367" i="9"/>
  <c r="AA367" i="9" s="1"/>
  <c r="W366" i="9"/>
  <c r="I366" i="9"/>
  <c r="J366" i="9"/>
  <c r="K366" i="9"/>
  <c r="M366" i="9"/>
  <c r="N366" i="9"/>
  <c r="O366" i="9"/>
  <c r="V366" i="9"/>
  <c r="I365" i="9"/>
  <c r="J365" i="9"/>
  <c r="K365" i="9"/>
  <c r="M365" i="9"/>
  <c r="Q365" i="9" s="1"/>
  <c r="N365" i="9"/>
  <c r="N364" i="9"/>
  <c r="O365" i="9"/>
  <c r="U365" i="9"/>
  <c r="V365" i="9"/>
  <c r="V364" i="9"/>
  <c r="W365" i="9"/>
  <c r="N363" i="9"/>
  <c r="I364" i="9"/>
  <c r="J364" i="9"/>
  <c r="K364" i="9"/>
  <c r="M364" i="9"/>
  <c r="M363" i="9"/>
  <c r="O364" i="9"/>
  <c r="U364" i="9"/>
  <c r="U363" i="9"/>
  <c r="W364" i="9"/>
  <c r="I363" i="9"/>
  <c r="J363" i="9"/>
  <c r="K363" i="9"/>
  <c r="O363" i="9"/>
  <c r="V363" i="9"/>
  <c r="W363" i="9"/>
  <c r="I362" i="9"/>
  <c r="J362" i="9"/>
  <c r="K362" i="9"/>
  <c r="M362" i="9"/>
  <c r="N362" i="9"/>
  <c r="O362" i="9"/>
  <c r="U362" i="9"/>
  <c r="V362" i="9"/>
  <c r="W362" i="9"/>
  <c r="W361" i="9"/>
  <c r="I361" i="9"/>
  <c r="J361" i="9"/>
  <c r="K361" i="9"/>
  <c r="M361" i="9"/>
  <c r="N361" i="9"/>
  <c r="O361" i="9"/>
  <c r="U361" i="9"/>
  <c r="V361" i="9"/>
  <c r="I360" i="9"/>
  <c r="J360" i="9"/>
  <c r="K360" i="9"/>
  <c r="M360" i="9"/>
  <c r="Q360" i="9" s="1"/>
  <c r="N360" i="9"/>
  <c r="O360" i="9"/>
  <c r="O359" i="9"/>
  <c r="U360" i="9"/>
  <c r="V360" i="9"/>
  <c r="W360" i="9"/>
  <c r="I359" i="9"/>
  <c r="J359" i="9"/>
  <c r="K359" i="9"/>
  <c r="M359" i="9"/>
  <c r="N359" i="9"/>
  <c r="U359" i="9"/>
  <c r="V359" i="9"/>
  <c r="W359" i="9"/>
  <c r="I358" i="9"/>
  <c r="J358" i="9"/>
  <c r="K358" i="9"/>
  <c r="M358" i="9"/>
  <c r="Q358" i="9" s="1"/>
  <c r="N358" i="9"/>
  <c r="O358" i="9"/>
  <c r="O357" i="9"/>
  <c r="U358" i="9"/>
  <c r="U357" i="9"/>
  <c r="V358" i="9"/>
  <c r="W358" i="9"/>
  <c r="I357" i="9"/>
  <c r="J357" i="9"/>
  <c r="K357" i="9"/>
  <c r="M357" i="9"/>
  <c r="N357" i="9"/>
  <c r="O356" i="9"/>
  <c r="V357" i="9"/>
  <c r="W357" i="9"/>
  <c r="I356" i="9"/>
  <c r="J356" i="9"/>
  <c r="K356" i="9"/>
  <c r="M356" i="9"/>
  <c r="N356" i="9"/>
  <c r="O355" i="9"/>
  <c r="U356" i="9"/>
  <c r="U355" i="9"/>
  <c r="V356" i="9"/>
  <c r="Z356" i="9" s="1"/>
  <c r="W356" i="9"/>
  <c r="I355" i="9"/>
  <c r="J355" i="9"/>
  <c r="K355" i="9"/>
  <c r="M355" i="9"/>
  <c r="N355" i="9"/>
  <c r="V355" i="9"/>
  <c r="W355" i="9"/>
  <c r="I354" i="9"/>
  <c r="J354" i="9"/>
  <c r="K354" i="9"/>
  <c r="M354" i="9"/>
  <c r="N354" i="9"/>
  <c r="O354" i="9"/>
  <c r="U354" i="9"/>
  <c r="V354" i="9"/>
  <c r="W354" i="9"/>
  <c r="W353" i="9"/>
  <c r="I353" i="9"/>
  <c r="J353" i="9"/>
  <c r="K353" i="9"/>
  <c r="M353" i="9"/>
  <c r="M352" i="9"/>
  <c r="N353" i="9"/>
  <c r="R353" i="9" s="1"/>
  <c r="O353" i="9"/>
  <c r="U353" i="9"/>
  <c r="V353" i="9"/>
  <c r="W352" i="9"/>
  <c r="I297" i="9"/>
  <c r="J297" i="9"/>
  <c r="K297" i="9"/>
  <c r="M297" i="9"/>
  <c r="N297" i="9"/>
  <c r="O297" i="9"/>
  <c r="U297" i="9"/>
  <c r="V297" i="9"/>
  <c r="Z297" i="9" s="1"/>
  <c r="W297" i="9"/>
  <c r="W298" i="9"/>
  <c r="I298" i="9"/>
  <c r="J298" i="9"/>
  <c r="K298" i="9"/>
  <c r="M298" i="9"/>
  <c r="Q298" i="9" s="1"/>
  <c r="N298" i="9"/>
  <c r="O298" i="9"/>
  <c r="U298" i="9"/>
  <c r="V298" i="9"/>
  <c r="I299" i="9"/>
  <c r="J299" i="9"/>
  <c r="K299" i="9"/>
  <c r="M299" i="9"/>
  <c r="N299" i="9"/>
  <c r="O299" i="9"/>
  <c r="U299" i="9"/>
  <c r="V299" i="9"/>
  <c r="W299" i="9"/>
  <c r="I300" i="9"/>
  <c r="J300" i="9"/>
  <c r="K300" i="9"/>
  <c r="M300" i="9"/>
  <c r="N300" i="9"/>
  <c r="R300" i="9" s="1"/>
  <c r="O300" i="9"/>
  <c r="U300" i="9"/>
  <c r="V300" i="9"/>
  <c r="W300" i="9"/>
  <c r="I301" i="9"/>
  <c r="J301" i="9"/>
  <c r="K301" i="9"/>
  <c r="M301" i="9"/>
  <c r="N301" i="9"/>
  <c r="O301" i="9"/>
  <c r="U301" i="9"/>
  <c r="V301" i="9"/>
  <c r="W301" i="9"/>
  <c r="I302" i="9"/>
  <c r="J302" i="9"/>
  <c r="K302" i="9"/>
  <c r="M302" i="9"/>
  <c r="N302" i="9"/>
  <c r="R303" i="9" s="1"/>
  <c r="O302" i="9"/>
  <c r="U302" i="9"/>
  <c r="V302" i="9"/>
  <c r="W302" i="9"/>
  <c r="I303" i="9"/>
  <c r="J303" i="9"/>
  <c r="K303" i="9"/>
  <c r="M303" i="9"/>
  <c r="N303" i="9"/>
  <c r="O303" i="9"/>
  <c r="U303" i="9"/>
  <c r="V303" i="9"/>
  <c r="W303" i="9"/>
  <c r="I304" i="9"/>
  <c r="J304" i="9"/>
  <c r="K304" i="9"/>
  <c r="M304" i="9"/>
  <c r="N304" i="9"/>
  <c r="R304" i="9" s="1"/>
  <c r="N305" i="9"/>
  <c r="O304" i="9"/>
  <c r="U304" i="9"/>
  <c r="V304" i="9"/>
  <c r="W304" i="9"/>
  <c r="I305" i="9"/>
  <c r="J305" i="9"/>
  <c r="K305" i="9"/>
  <c r="M305" i="9"/>
  <c r="O305" i="9"/>
  <c r="U305" i="9"/>
  <c r="V305" i="9"/>
  <c r="Z306" i="9" s="1"/>
  <c r="W305" i="9"/>
  <c r="I306" i="9"/>
  <c r="J306" i="9"/>
  <c r="K306" i="9"/>
  <c r="M306" i="9"/>
  <c r="N306" i="9"/>
  <c r="O306" i="9"/>
  <c r="U306" i="9"/>
  <c r="U307" i="9"/>
  <c r="V306" i="9"/>
  <c r="W306" i="9"/>
  <c r="I307" i="9"/>
  <c r="J307" i="9"/>
  <c r="K307" i="9"/>
  <c r="M307" i="9"/>
  <c r="N307" i="9"/>
  <c r="N308" i="9"/>
  <c r="O307" i="9"/>
  <c r="S307" i="9" s="1"/>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Z311" i="9" s="1"/>
  <c r="W311" i="9"/>
  <c r="I312" i="9"/>
  <c r="J312" i="9"/>
  <c r="K312" i="9"/>
  <c r="M312" i="9"/>
  <c r="N312" i="9"/>
  <c r="O312" i="9"/>
  <c r="U312" i="9"/>
  <c r="V312" i="9"/>
  <c r="W312" i="9"/>
  <c r="I313" i="9"/>
  <c r="J313" i="9"/>
  <c r="K313" i="9"/>
  <c r="M313" i="9"/>
  <c r="N313" i="9"/>
  <c r="O313" i="9"/>
  <c r="U313" i="9"/>
  <c r="V313" i="9"/>
  <c r="W313" i="9"/>
  <c r="I314" i="9"/>
  <c r="J314" i="9"/>
  <c r="K314" i="9"/>
  <c r="M314" i="9"/>
  <c r="N314" i="9"/>
  <c r="R315" i="9" s="1"/>
  <c r="O314" i="9"/>
  <c r="U314" i="9"/>
  <c r="V314" i="9"/>
  <c r="W314" i="9"/>
  <c r="I315" i="9"/>
  <c r="J315" i="9"/>
  <c r="K315" i="9"/>
  <c r="M315" i="9"/>
  <c r="N315" i="9"/>
  <c r="O315" i="9"/>
  <c r="U315" i="9"/>
  <c r="V315" i="9"/>
  <c r="Z315" i="9" s="1"/>
  <c r="W315" i="9"/>
  <c r="I316" i="9"/>
  <c r="J316" i="9"/>
  <c r="K316" i="9"/>
  <c r="M316" i="9"/>
  <c r="N316" i="9"/>
  <c r="O316" i="9"/>
  <c r="U316" i="9"/>
  <c r="V316" i="9"/>
  <c r="W316" i="9"/>
  <c r="I317" i="9"/>
  <c r="J317" i="9"/>
  <c r="K317" i="9"/>
  <c r="M317" i="9"/>
  <c r="N317" i="9"/>
  <c r="O317" i="9"/>
  <c r="U317" i="9"/>
  <c r="V317" i="9"/>
  <c r="Z317" i="9" s="1"/>
  <c r="W317" i="9"/>
  <c r="W318" i="9"/>
  <c r="I318" i="9"/>
  <c r="J318" i="9"/>
  <c r="K318" i="9"/>
  <c r="M318" i="9"/>
  <c r="Q319" i="9" s="1"/>
  <c r="N318" i="9"/>
  <c r="O318" i="9"/>
  <c r="U318" i="9"/>
  <c r="U319" i="9"/>
  <c r="V318" i="9"/>
  <c r="I319" i="9"/>
  <c r="J319" i="9"/>
  <c r="K319" i="9"/>
  <c r="M319" i="9"/>
  <c r="N319" i="9"/>
  <c r="N320" i="9"/>
  <c r="O319" i="9"/>
  <c r="S320" i="9" s="1"/>
  <c r="V319" i="9"/>
  <c r="W319" i="9"/>
  <c r="AA319" i="9" s="1"/>
  <c r="I320" i="9"/>
  <c r="J320" i="9"/>
  <c r="K320" i="9"/>
  <c r="M320" i="9"/>
  <c r="O320" i="9"/>
  <c r="U320" i="9"/>
  <c r="U321" i="9"/>
  <c r="V320" i="9"/>
  <c r="W320" i="9"/>
  <c r="I321" i="9"/>
  <c r="J321" i="9"/>
  <c r="K321" i="9"/>
  <c r="M321" i="9"/>
  <c r="N321" i="9"/>
  <c r="O321" i="9"/>
  <c r="O322" i="9"/>
  <c r="S322" i="9" s="1"/>
  <c r="V321" i="9"/>
  <c r="V322" i="9"/>
  <c r="W321" i="9"/>
  <c r="I322" i="9"/>
  <c r="J322" i="9"/>
  <c r="K322" i="9"/>
  <c r="M322" i="9"/>
  <c r="N322" i="9"/>
  <c r="U322" i="9"/>
  <c r="W322" i="9"/>
  <c r="I323" i="9"/>
  <c r="J323" i="9"/>
  <c r="K323" i="9"/>
  <c r="M323" i="9"/>
  <c r="N323" i="9"/>
  <c r="O323" i="9"/>
  <c r="U323" i="9"/>
  <c r="V323" i="9"/>
  <c r="W323" i="9"/>
  <c r="I324" i="9"/>
  <c r="J324" i="9"/>
  <c r="K324" i="9"/>
  <c r="M324" i="9"/>
  <c r="N324" i="9"/>
  <c r="O324" i="9"/>
  <c r="U324" i="9"/>
  <c r="V324" i="9"/>
  <c r="W324" i="9"/>
  <c r="I325" i="9"/>
  <c r="J325" i="9"/>
  <c r="K325" i="9"/>
  <c r="M325" i="9"/>
  <c r="N325" i="9"/>
  <c r="O325" i="9"/>
  <c r="U325" i="9"/>
  <c r="U326" i="9"/>
  <c r="V325" i="9"/>
  <c r="W325" i="9"/>
  <c r="I326" i="9"/>
  <c r="J326" i="9"/>
  <c r="K326" i="9"/>
  <c r="M326" i="9"/>
  <c r="N326" i="9"/>
  <c r="O326" i="9"/>
  <c r="V326" i="9"/>
  <c r="W326" i="9"/>
  <c r="I327" i="9"/>
  <c r="J327" i="9"/>
  <c r="K327" i="9"/>
  <c r="M327" i="9"/>
  <c r="N327" i="9"/>
  <c r="O327" i="9"/>
  <c r="U327" i="9"/>
  <c r="V327" i="9"/>
  <c r="W327" i="9"/>
  <c r="I328" i="9"/>
  <c r="J328" i="9"/>
  <c r="K328" i="9"/>
  <c r="M328" i="9"/>
  <c r="N328" i="9"/>
  <c r="R328" i="9" s="1"/>
  <c r="O328" i="9"/>
  <c r="U328" i="9"/>
  <c r="V328" i="9"/>
  <c r="W328" i="9"/>
  <c r="I329" i="9"/>
  <c r="J329" i="9"/>
  <c r="K329" i="9"/>
  <c r="M329" i="9"/>
  <c r="N329" i="9"/>
  <c r="O329" i="9"/>
  <c r="U329" i="9"/>
  <c r="V329" i="9"/>
  <c r="W329" i="9"/>
  <c r="I330" i="9"/>
  <c r="J330" i="9"/>
  <c r="K330" i="9"/>
  <c r="M330" i="9"/>
  <c r="N330" i="9"/>
  <c r="R330" i="9" s="1"/>
  <c r="O330" i="9"/>
  <c r="U330" i="9"/>
  <c r="V330" i="9"/>
  <c r="W330" i="9"/>
  <c r="I331" i="9"/>
  <c r="J331" i="9"/>
  <c r="K331" i="9"/>
  <c r="M331" i="9"/>
  <c r="N331" i="9"/>
  <c r="O331" i="9"/>
  <c r="U331" i="9"/>
  <c r="V331" i="9"/>
  <c r="W331" i="9"/>
  <c r="I332" i="9"/>
  <c r="J332" i="9"/>
  <c r="K332" i="9"/>
  <c r="M332" i="9"/>
  <c r="N332" i="9"/>
  <c r="O332" i="9"/>
  <c r="U332" i="9"/>
  <c r="V332" i="9"/>
  <c r="V333" i="9"/>
  <c r="W332" i="9"/>
  <c r="I333" i="9"/>
  <c r="J333" i="9"/>
  <c r="K333" i="9"/>
  <c r="M333" i="9"/>
  <c r="N333" i="9"/>
  <c r="O333" i="9"/>
  <c r="U333" i="9"/>
  <c r="Y334" i="9" s="1"/>
  <c r="W333" i="9"/>
  <c r="I334" i="9"/>
  <c r="J334" i="9"/>
  <c r="K334" i="9"/>
  <c r="M334" i="9"/>
  <c r="N334" i="9"/>
  <c r="R334" i="9" s="1"/>
  <c r="O334" i="9"/>
  <c r="U334" i="9"/>
  <c r="V334" i="9"/>
  <c r="Z334" i="9" s="1"/>
  <c r="W334" i="9"/>
  <c r="I335" i="9"/>
  <c r="J335" i="9"/>
  <c r="K335" i="9"/>
  <c r="M335" i="9"/>
  <c r="N335" i="9"/>
  <c r="O335" i="9"/>
  <c r="U335" i="9"/>
  <c r="Y335" i="9" s="1"/>
  <c r="V335" i="9"/>
  <c r="W335" i="9"/>
  <c r="I336" i="9"/>
  <c r="J336" i="9"/>
  <c r="K336" i="9"/>
  <c r="M336" i="9"/>
  <c r="Q336" i="9" s="1"/>
  <c r="N336" i="9"/>
  <c r="O336" i="9"/>
  <c r="U336" i="9"/>
  <c r="V336" i="9"/>
  <c r="W336" i="9"/>
  <c r="I337" i="9"/>
  <c r="J337" i="9"/>
  <c r="K337" i="9"/>
  <c r="M337" i="9"/>
  <c r="N337" i="9"/>
  <c r="O337" i="9"/>
  <c r="U337" i="9"/>
  <c r="V337" i="9"/>
  <c r="W337" i="9"/>
  <c r="I338" i="9"/>
  <c r="J338" i="9"/>
  <c r="K338" i="9"/>
  <c r="M338" i="9"/>
  <c r="Q338" i="9" s="1"/>
  <c r="N338" i="9"/>
  <c r="O338" i="9"/>
  <c r="U338" i="9"/>
  <c r="V338" i="9"/>
  <c r="W338" i="9"/>
  <c r="I339" i="9"/>
  <c r="J339" i="9"/>
  <c r="K339" i="9"/>
  <c r="M339" i="9"/>
  <c r="N339" i="9"/>
  <c r="N340" i="9"/>
  <c r="O339" i="9"/>
  <c r="U339" i="9"/>
  <c r="V339" i="9"/>
  <c r="W339" i="9"/>
  <c r="I340" i="9"/>
  <c r="J340" i="9"/>
  <c r="K340" i="9"/>
  <c r="M340" i="9"/>
  <c r="O340" i="9"/>
  <c r="U340" i="9"/>
  <c r="V340" i="9"/>
  <c r="W340" i="9"/>
  <c r="I341" i="9"/>
  <c r="J341" i="9"/>
  <c r="K341" i="9"/>
  <c r="M341" i="9"/>
  <c r="N341" i="9"/>
  <c r="O341" i="9"/>
  <c r="U341" i="9"/>
  <c r="V341" i="9"/>
  <c r="W341" i="9"/>
  <c r="I342" i="9"/>
  <c r="J342" i="9"/>
  <c r="K342" i="9"/>
  <c r="M342" i="9"/>
  <c r="N342" i="9"/>
  <c r="O342" i="9"/>
  <c r="U342" i="9"/>
  <c r="V342" i="9"/>
  <c r="V343" i="9"/>
  <c r="W342" i="9"/>
  <c r="AA343" i="9" s="1"/>
  <c r="I343" i="9"/>
  <c r="J343" i="9"/>
  <c r="K343" i="9"/>
  <c r="M343" i="9"/>
  <c r="N343" i="9"/>
  <c r="O343" i="9"/>
  <c r="O344" i="9"/>
  <c r="U343" i="9"/>
  <c r="W343" i="9"/>
  <c r="I344" i="9"/>
  <c r="J344" i="9"/>
  <c r="K344" i="9"/>
  <c r="M344" i="9"/>
  <c r="N344" i="9"/>
  <c r="U344" i="9"/>
  <c r="V344" i="9"/>
  <c r="W344" i="9"/>
  <c r="I345" i="9"/>
  <c r="J345" i="9"/>
  <c r="K345" i="9"/>
  <c r="M345" i="9"/>
  <c r="N345" i="9"/>
  <c r="O345" i="9"/>
  <c r="U345" i="9"/>
  <c r="Y346" i="9" s="1"/>
  <c r="V345" i="9"/>
  <c r="W345" i="9"/>
  <c r="I346" i="9"/>
  <c r="J346" i="9"/>
  <c r="K346" i="9"/>
  <c r="M346" i="9"/>
  <c r="Q346" i="9" s="1"/>
  <c r="N346" i="9"/>
  <c r="O346" i="9"/>
  <c r="U346" i="9"/>
  <c r="U347" i="9"/>
  <c r="V346" i="9"/>
  <c r="W346" i="9"/>
  <c r="I347" i="9"/>
  <c r="J347" i="9"/>
  <c r="K347" i="9"/>
  <c r="M347" i="9"/>
  <c r="N347" i="9"/>
  <c r="O347" i="9"/>
  <c r="V347" i="9"/>
  <c r="W347" i="9"/>
  <c r="I348" i="9"/>
  <c r="J348" i="9"/>
  <c r="K348" i="9"/>
  <c r="M348" i="9"/>
  <c r="N348" i="9"/>
  <c r="O348" i="9"/>
  <c r="U348" i="9"/>
  <c r="U349" i="9"/>
  <c r="V348" i="9"/>
  <c r="W348" i="9"/>
  <c r="AA348" i="9" s="1"/>
  <c r="I349" i="9"/>
  <c r="J349" i="9"/>
  <c r="K349" i="9"/>
  <c r="M349" i="9"/>
  <c r="N349" i="9"/>
  <c r="O349" i="9"/>
  <c r="S350" i="9" s="1"/>
  <c r="V349" i="9"/>
  <c r="W349" i="9"/>
  <c r="I350" i="9"/>
  <c r="J350" i="9"/>
  <c r="K350" i="9"/>
  <c r="M350" i="9"/>
  <c r="N350" i="9"/>
  <c r="N351" i="9"/>
  <c r="O350" i="9"/>
  <c r="U350" i="9"/>
  <c r="V350" i="9"/>
  <c r="W350" i="9"/>
  <c r="I351" i="9"/>
  <c r="J351" i="9"/>
  <c r="K351" i="9"/>
  <c r="M351" i="9"/>
  <c r="O351" i="9"/>
  <c r="O352" i="9"/>
  <c r="S353" i="9" s="1"/>
  <c r="U351" i="9"/>
  <c r="V351" i="9"/>
  <c r="W351" i="9"/>
  <c r="I352" i="9"/>
  <c r="J352" i="9"/>
  <c r="K352" i="9"/>
  <c r="N352" i="9"/>
  <c r="R352" i="9" s="1"/>
  <c r="U352" i="9"/>
  <c r="V352" i="9"/>
  <c r="U277" i="9"/>
  <c r="V277" i="9"/>
  <c r="W277" i="9"/>
  <c r="AA278" i="9" s="1"/>
  <c r="U278" i="9"/>
  <c r="V278" i="9"/>
  <c r="W278" i="9"/>
  <c r="U279" i="9"/>
  <c r="V279" i="9"/>
  <c r="W279" i="9"/>
  <c r="AA280" i="9" s="1"/>
  <c r="U280" i="9"/>
  <c r="V280" i="9"/>
  <c r="W280" i="9"/>
  <c r="U281" i="9"/>
  <c r="V281" i="9"/>
  <c r="W281" i="9"/>
  <c r="AA282" i="9" s="1"/>
  <c r="U282" i="9"/>
  <c r="V282" i="9"/>
  <c r="W282" i="9"/>
  <c r="U283" i="9"/>
  <c r="V283" i="9"/>
  <c r="W283" i="9"/>
  <c r="AA284" i="9" s="1"/>
  <c r="U284" i="9"/>
  <c r="V284" i="9"/>
  <c r="W284" i="9"/>
  <c r="U285" i="9"/>
  <c r="V285" i="9"/>
  <c r="W285" i="9"/>
  <c r="AA286" i="9" s="1"/>
  <c r="U286" i="9"/>
  <c r="V286" i="9"/>
  <c r="W286" i="9"/>
  <c r="U287" i="9"/>
  <c r="V287" i="9"/>
  <c r="W287" i="9"/>
  <c r="AA287" i="9" s="1"/>
  <c r="U288" i="9"/>
  <c r="V288" i="9"/>
  <c r="W288" i="9"/>
  <c r="U289" i="9"/>
  <c r="V289" i="9"/>
  <c r="W289" i="9"/>
  <c r="U290" i="9"/>
  <c r="V290" i="9"/>
  <c r="W290" i="9"/>
  <c r="U291" i="9"/>
  <c r="V291" i="9"/>
  <c r="W291" i="9"/>
  <c r="AA291" i="9" s="1"/>
  <c r="U292" i="9"/>
  <c r="V292" i="9"/>
  <c r="W292" i="9"/>
  <c r="U293" i="9"/>
  <c r="V293" i="9"/>
  <c r="W293" i="9"/>
  <c r="AA293" i="9" s="1"/>
  <c r="U294" i="9"/>
  <c r="V294" i="9"/>
  <c r="W294" i="9"/>
  <c r="U295" i="9"/>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Q296" i="9" s="1"/>
  <c r="O294" i="9"/>
  <c r="N294" i="9"/>
  <c r="N293" i="9"/>
  <c r="M294" i="9"/>
  <c r="O293" i="9"/>
  <c r="M293" i="9"/>
  <c r="O292" i="9"/>
  <c r="N292" i="9"/>
  <c r="M292" i="9"/>
  <c r="W256" i="9"/>
  <c r="V256" i="9"/>
  <c r="U256" i="9"/>
  <c r="O256" i="9"/>
  <c r="N256" i="9"/>
  <c r="M256" i="9"/>
  <c r="O289" i="9"/>
  <c r="N289" i="9"/>
  <c r="N290" i="9"/>
  <c r="N288" i="9"/>
  <c r="M288" i="9"/>
  <c r="M287" i="9"/>
  <c r="M280" i="9"/>
  <c r="N280" i="9"/>
  <c r="O280" i="9"/>
  <c r="S281" i="9" s="1"/>
  <c r="M281" i="9"/>
  <c r="N281" i="9"/>
  <c r="O281" i="9"/>
  <c r="M282" i="9"/>
  <c r="N282" i="9"/>
  <c r="O282" i="9"/>
  <c r="S283" i="9" s="1"/>
  <c r="M283" i="9"/>
  <c r="N283" i="9"/>
  <c r="O283" i="9"/>
  <c r="M284" i="9"/>
  <c r="N284" i="9"/>
  <c r="O284" i="9"/>
  <c r="M285" i="9"/>
  <c r="N285" i="9"/>
  <c r="O285" i="9"/>
  <c r="M286" i="9"/>
  <c r="N286" i="9"/>
  <c r="O286" i="9"/>
  <c r="N287" i="9"/>
  <c r="O287" i="9"/>
  <c r="U268" i="9"/>
  <c r="U257" i="9"/>
  <c r="N275" i="9"/>
  <c r="N274" i="9"/>
  <c r="N272" i="9"/>
  <c r="N271" i="9"/>
  <c r="N270" i="9"/>
  <c r="N269" i="9"/>
  <c r="N268" i="9"/>
  <c r="O268" i="9"/>
  <c r="O269" i="9"/>
  <c r="O270" i="9"/>
  <c r="O271" i="9"/>
  <c r="O272" i="9"/>
  <c r="N273" i="9"/>
  <c r="O273" i="9"/>
  <c r="M275" i="9"/>
  <c r="Q275" i="9" s="1"/>
  <c r="M274" i="9"/>
  <c r="M273" i="9"/>
  <c r="M272" i="9"/>
  <c r="M271" i="9"/>
  <c r="M270" i="9"/>
  <c r="M269" i="9"/>
  <c r="M268" i="9"/>
  <c r="M276" i="9"/>
  <c r="M267" i="9"/>
  <c r="M266" i="9"/>
  <c r="M265" i="9"/>
  <c r="M264" i="9"/>
  <c r="M263" i="9"/>
  <c r="M262" i="9"/>
  <c r="M261" i="9"/>
  <c r="M260" i="9"/>
  <c r="M259" i="9"/>
  <c r="M258" i="9"/>
  <c r="Q258" i="9" s="1"/>
  <c r="M257" i="9"/>
  <c r="M255" i="9"/>
  <c r="M254" i="9"/>
  <c r="M291" i="9"/>
  <c r="O291" i="9"/>
  <c r="S291" i="9" s="1"/>
  <c r="N291" i="9"/>
  <c r="O290" i="9"/>
  <c r="M290" i="9"/>
  <c r="M289" i="9"/>
  <c r="O288" i="9"/>
  <c r="M279" i="9"/>
  <c r="K268" i="9"/>
  <c r="J268" i="9"/>
  <c r="I268" i="9"/>
  <c r="U269" i="9"/>
  <c r="U270" i="9"/>
  <c r="U271" i="9"/>
  <c r="U272" i="9"/>
  <c r="U273" i="9"/>
  <c r="U274" i="9"/>
  <c r="U275" i="9"/>
  <c r="U276" i="9"/>
  <c r="V268" i="9"/>
  <c r="W268" i="9"/>
  <c r="V269" i="9"/>
  <c r="W269" i="9"/>
  <c r="V270" i="9"/>
  <c r="W270" i="9"/>
  <c r="V271" i="9"/>
  <c r="W271" i="9"/>
  <c r="V272" i="9"/>
  <c r="W272" i="9"/>
  <c r="V273" i="9"/>
  <c r="W273" i="9"/>
  <c r="V274" i="9"/>
  <c r="Z275" i="9" s="1"/>
  <c r="W274" i="9"/>
  <c r="V275" i="9"/>
  <c r="W275" i="9"/>
  <c r="V276" i="9"/>
  <c r="W276" i="9"/>
  <c r="O279" i="9"/>
  <c r="N279" i="9"/>
  <c r="O278" i="9"/>
  <c r="N278" i="9"/>
  <c r="M278" i="9"/>
  <c r="O277" i="9"/>
  <c r="N277" i="9"/>
  <c r="M277" i="9"/>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V267" i="9"/>
  <c r="W267" i="9"/>
  <c r="AA268" i="9" s="1"/>
  <c r="I267" i="9"/>
  <c r="J267" i="9"/>
  <c r="K267" i="9"/>
  <c r="N257" i="9"/>
  <c r="O257" i="9"/>
  <c r="N258" i="9"/>
  <c r="O258" i="9"/>
  <c r="N259" i="9"/>
  <c r="O259" i="9"/>
  <c r="N260" i="9"/>
  <c r="O260" i="9"/>
  <c r="S261" i="9" s="1"/>
  <c r="N261" i="9"/>
  <c r="O261" i="9"/>
  <c r="N262" i="9"/>
  <c r="O262" i="9"/>
  <c r="N263" i="9"/>
  <c r="O263" i="9"/>
  <c r="N264" i="9"/>
  <c r="O264" i="9"/>
  <c r="N265" i="9"/>
  <c r="O265" i="9"/>
  <c r="N266" i="9"/>
  <c r="O266" i="9"/>
  <c r="S267" i="9" s="1"/>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AA255" i="9" s="1"/>
  <c r="N254" i="9"/>
  <c r="O254" i="9"/>
  <c r="U254" i="9"/>
  <c r="V254" i="9"/>
  <c r="W254" i="9"/>
  <c r="M253" i="9"/>
  <c r="N253" i="9"/>
  <c r="O253" i="9"/>
  <c r="S253" i="9" s="1"/>
  <c r="U253" i="9"/>
  <c r="V253" i="9"/>
  <c r="W253" i="9"/>
  <c r="AA254" i="9" s="1"/>
  <c r="M252" i="9"/>
  <c r="N252" i="9"/>
  <c r="O252" i="9"/>
  <c r="U252" i="9"/>
  <c r="V252" i="9"/>
  <c r="W252" i="9"/>
  <c r="M251" i="9"/>
  <c r="Q252" i="9" s="1"/>
  <c r="N251" i="9"/>
  <c r="O251" i="9"/>
  <c r="U251" i="9"/>
  <c r="V251" i="9"/>
  <c r="W251" i="9"/>
  <c r="M250" i="9"/>
  <c r="N250" i="9"/>
  <c r="O250" i="9"/>
  <c r="U250" i="9"/>
  <c r="V250" i="9"/>
  <c r="W250" i="9"/>
  <c r="U249" i="9"/>
  <c r="V249" i="9"/>
  <c r="W249" i="9"/>
  <c r="M249" i="9"/>
  <c r="N249" i="9"/>
  <c r="O249" i="9"/>
  <c r="M248" i="9"/>
  <c r="N248" i="9"/>
  <c r="O248" i="9"/>
  <c r="U248" i="9"/>
  <c r="V248" i="9"/>
  <c r="W248" i="9"/>
  <c r="W247" i="9"/>
  <c r="AA247" i="9" s="1"/>
  <c r="V247" i="9"/>
  <c r="U247" i="9"/>
  <c r="W246" i="9"/>
  <c r="V246" i="9"/>
  <c r="U246" i="9"/>
  <c r="W245" i="9"/>
  <c r="V245" i="9"/>
  <c r="U245" i="9"/>
  <c r="W244" i="9"/>
  <c r="V244" i="9"/>
  <c r="U244" i="9"/>
  <c r="O247" i="9"/>
  <c r="N247" i="9"/>
  <c r="M247" i="9"/>
  <c r="O246" i="9"/>
  <c r="S246" i="9" s="1"/>
  <c r="N246" i="9"/>
  <c r="M246" i="9"/>
  <c r="O245" i="9"/>
  <c r="N245" i="9"/>
  <c r="M245" i="9"/>
  <c r="O244" i="9"/>
  <c r="N244" i="9"/>
  <c r="M244" i="9"/>
  <c r="U242" i="9"/>
  <c r="V242" i="9"/>
  <c r="W242" i="9"/>
  <c r="U243" i="9"/>
  <c r="V243" i="9"/>
  <c r="W243" i="9"/>
  <c r="M242" i="9"/>
  <c r="N242" i="9"/>
  <c r="O242" i="9"/>
  <c r="M243" i="9"/>
  <c r="N243" i="9"/>
  <c r="R244" i="9" s="1"/>
  <c r="O243" i="9"/>
  <c r="N241" i="9"/>
  <c r="O241" i="9"/>
  <c r="U241" i="9"/>
  <c r="V241" i="9"/>
  <c r="W241" i="9"/>
  <c r="M241" i="9"/>
  <c r="U240" i="9"/>
  <c r="Y240" i="9" s="1"/>
  <c r="V240" i="9"/>
  <c r="W240" i="9"/>
  <c r="M240" i="9"/>
  <c r="N240" i="9"/>
  <c r="O240" i="9"/>
  <c r="S240" i="9" s="1"/>
  <c r="U239" i="9"/>
  <c r="V239" i="9"/>
  <c r="W239" i="9"/>
  <c r="M239" i="9"/>
  <c r="N239" i="9"/>
  <c r="R240" i="9" s="1"/>
  <c r="O239" i="9"/>
  <c r="U238" i="9"/>
  <c r="V238" i="9"/>
  <c r="W238" i="9"/>
  <c r="M238" i="9"/>
  <c r="N238" i="9"/>
  <c r="O238" i="9"/>
  <c r="U237" i="9"/>
  <c r="V237" i="9"/>
  <c r="W237" i="9"/>
  <c r="N237" i="9"/>
  <c r="O237" i="9"/>
  <c r="M237" i="9"/>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R63" i="9" s="1"/>
  <c r="O63" i="9"/>
  <c r="U63" i="9"/>
  <c r="Y63" i="9" s="1"/>
  <c r="V63" i="9"/>
  <c r="Z63" i="9" s="1"/>
  <c r="W63" i="9"/>
  <c r="M64" i="9"/>
  <c r="Q64" i="9" s="1"/>
  <c r="N64" i="9"/>
  <c r="R64" i="9" s="1"/>
  <c r="O64" i="9"/>
  <c r="S64" i="9" s="1"/>
  <c r="U64" i="9"/>
  <c r="V64" i="9"/>
  <c r="Z64" i="9" s="1"/>
  <c r="W64" i="9"/>
  <c r="AA64" i="9" s="1"/>
  <c r="M65" i="9"/>
  <c r="Q65" i="9" s="1"/>
  <c r="N65" i="9"/>
  <c r="R65" i="9" s="1"/>
  <c r="O65" i="9"/>
  <c r="S65" i="9" s="1"/>
  <c r="U65" i="9"/>
  <c r="V65" i="9"/>
  <c r="W65" i="9"/>
  <c r="AA65" i="9" s="1"/>
  <c r="M66" i="9"/>
  <c r="N66" i="9"/>
  <c r="O66" i="9"/>
  <c r="U66" i="9"/>
  <c r="V66" i="9"/>
  <c r="W66" i="9"/>
  <c r="M67" i="9"/>
  <c r="Q67" i="9" s="1"/>
  <c r="N67" i="9"/>
  <c r="O67" i="9"/>
  <c r="S67" i="9" s="1"/>
  <c r="U67" i="9"/>
  <c r="V67" i="9"/>
  <c r="Z67" i="9" s="1"/>
  <c r="W67" i="9"/>
  <c r="AA67" i="9" s="1"/>
  <c r="M68" i="9"/>
  <c r="Q68" i="9" s="1"/>
  <c r="N68" i="9"/>
  <c r="R68" i="9" s="1"/>
  <c r="O68" i="9"/>
  <c r="U68" i="9"/>
  <c r="V68" i="9"/>
  <c r="Z68" i="9" s="1"/>
  <c r="W68" i="9"/>
  <c r="AA68" i="9" s="1"/>
  <c r="M69" i="9"/>
  <c r="Q69" i="9" s="1"/>
  <c r="N69" i="9"/>
  <c r="R69" i="9" s="1"/>
  <c r="O69" i="9"/>
  <c r="U69" i="9"/>
  <c r="Y69" i="9" s="1"/>
  <c r="V69" i="9"/>
  <c r="Z69" i="9" s="1"/>
  <c r="W69" i="9"/>
  <c r="AA69" i="9" s="1"/>
  <c r="M70" i="9"/>
  <c r="Q70" i="9" s="1"/>
  <c r="N70" i="9"/>
  <c r="O70" i="9"/>
  <c r="U70" i="9"/>
  <c r="V70" i="9"/>
  <c r="Z70" i="9" s="1"/>
  <c r="W70" i="9"/>
  <c r="AA70" i="9" s="1"/>
  <c r="M71" i="9"/>
  <c r="Q71" i="9" s="1"/>
  <c r="N71" i="9"/>
  <c r="O71" i="9"/>
  <c r="S71" i="9" s="1"/>
  <c r="U71" i="9"/>
  <c r="Y71" i="9" s="1"/>
  <c r="V71" i="9"/>
  <c r="Z71" i="9" s="1"/>
  <c r="W71" i="9"/>
  <c r="AA71" i="9" s="1"/>
  <c r="M72" i="9"/>
  <c r="N72" i="9"/>
  <c r="O72" i="9"/>
  <c r="S72" i="9" s="1"/>
  <c r="U72" i="9"/>
  <c r="V72" i="9"/>
  <c r="W72" i="9"/>
  <c r="AA72" i="9" s="1"/>
  <c r="M73" i="9"/>
  <c r="N73" i="9"/>
  <c r="O73" i="9"/>
  <c r="S73" i="9" s="1"/>
  <c r="U73" i="9"/>
  <c r="V73" i="9"/>
  <c r="Z73" i="9" s="1"/>
  <c r="W73" i="9"/>
  <c r="AA73" i="9" s="1"/>
  <c r="M74" i="9"/>
  <c r="Q74" i="9" s="1"/>
  <c r="N74" i="9"/>
  <c r="O74" i="9"/>
  <c r="S74" i="9" s="1"/>
  <c r="U74" i="9"/>
  <c r="Y74" i="9" s="1"/>
  <c r="V74" i="9"/>
  <c r="Z74" i="9" s="1"/>
  <c r="W74" i="9"/>
  <c r="AA74" i="9" s="1"/>
  <c r="M75" i="9"/>
  <c r="Q75" i="9" s="1"/>
  <c r="N75" i="9"/>
  <c r="R75" i="9" s="1"/>
  <c r="O75" i="9"/>
  <c r="S75" i="9" s="1"/>
  <c r="U75" i="9"/>
  <c r="Y75" i="9" s="1"/>
  <c r="V75" i="9"/>
  <c r="Z75" i="9" s="1"/>
  <c r="W75" i="9"/>
  <c r="AA75" i="9" s="1"/>
  <c r="M76" i="9"/>
  <c r="N76" i="9"/>
  <c r="R76" i="9" s="1"/>
  <c r="O76" i="9"/>
  <c r="U76" i="9"/>
  <c r="Y76" i="9" s="1"/>
  <c r="V76" i="9"/>
  <c r="Z76" i="9" s="1"/>
  <c r="W76" i="9"/>
  <c r="AA76" i="9" s="1"/>
  <c r="M77" i="9"/>
  <c r="Q77" i="9" s="1"/>
  <c r="N77" i="9"/>
  <c r="O77" i="9"/>
  <c r="U77" i="9"/>
  <c r="Y77" i="9" s="1"/>
  <c r="V77" i="9"/>
  <c r="W77" i="9"/>
  <c r="M78" i="9"/>
  <c r="N78" i="9"/>
  <c r="O78" i="9"/>
  <c r="S78" i="9" s="1"/>
  <c r="U78" i="9"/>
  <c r="Y78" i="9" s="1"/>
  <c r="V78" i="9"/>
  <c r="Z78" i="9" s="1"/>
  <c r="W78" i="9"/>
  <c r="M79" i="9"/>
  <c r="Q79" i="9" s="1"/>
  <c r="N79" i="9"/>
  <c r="R79" i="9" s="1"/>
  <c r="O79" i="9"/>
  <c r="S79" i="9" s="1"/>
  <c r="U79" i="9"/>
  <c r="V79" i="9"/>
  <c r="Z79" i="9" s="1"/>
  <c r="W79" i="9"/>
  <c r="M80" i="9"/>
  <c r="Q80" i="9" s="1"/>
  <c r="N80" i="9"/>
  <c r="O80" i="9"/>
  <c r="S80" i="9" s="1"/>
  <c r="U80" i="9"/>
  <c r="Y80" i="9" s="1"/>
  <c r="V80" i="9"/>
  <c r="W80" i="9"/>
  <c r="AA80" i="9" s="1"/>
  <c r="M81" i="9"/>
  <c r="Q81" i="9" s="1"/>
  <c r="N81" i="9"/>
  <c r="R81" i="9" s="1"/>
  <c r="O81" i="9"/>
  <c r="U81" i="9"/>
  <c r="Y81" i="9" s="1"/>
  <c r="V81" i="9"/>
  <c r="Z81" i="9" s="1"/>
  <c r="W81" i="9"/>
  <c r="M82" i="9"/>
  <c r="N82" i="9"/>
  <c r="R82" i="9" s="1"/>
  <c r="O82" i="9"/>
  <c r="U82" i="9"/>
  <c r="Y82" i="9" s="1"/>
  <c r="V82" i="9"/>
  <c r="Z82" i="9" s="1"/>
  <c r="W82" i="9"/>
  <c r="M83" i="9"/>
  <c r="N83" i="9"/>
  <c r="O83" i="9"/>
  <c r="S83" i="9" s="1"/>
  <c r="U83" i="9"/>
  <c r="Y83" i="9" s="1"/>
  <c r="V83" i="9"/>
  <c r="Z83" i="9" s="1"/>
  <c r="W83" i="9"/>
  <c r="M84" i="9"/>
  <c r="Q84" i="9" s="1"/>
  <c r="N84" i="9"/>
  <c r="O84" i="9"/>
  <c r="U84" i="9"/>
  <c r="V84" i="9"/>
  <c r="Z84" i="9" s="1"/>
  <c r="W84" i="9"/>
  <c r="AA84" i="9" s="1"/>
  <c r="M85" i="9"/>
  <c r="Q85" i="9" s="1"/>
  <c r="N85" i="9"/>
  <c r="O85" i="9"/>
  <c r="S85" i="9" s="1"/>
  <c r="U85" i="9"/>
  <c r="V85" i="9"/>
  <c r="W85" i="9"/>
  <c r="AA85" i="9" s="1"/>
  <c r="M86" i="9"/>
  <c r="N86" i="9"/>
  <c r="O86" i="9"/>
  <c r="S86" i="9" s="1"/>
  <c r="U86" i="9"/>
  <c r="Y86" i="9" s="1"/>
  <c r="V86" i="9"/>
  <c r="W86" i="9"/>
  <c r="M87" i="9"/>
  <c r="N87" i="9"/>
  <c r="R87" i="9" s="1"/>
  <c r="O87" i="9"/>
  <c r="S87" i="9" s="1"/>
  <c r="U87" i="9"/>
  <c r="V87" i="9"/>
  <c r="Z87" i="9" s="1"/>
  <c r="W87" i="9"/>
  <c r="M88" i="9"/>
  <c r="Q88" i="9" s="1"/>
  <c r="N88" i="9"/>
  <c r="R88" i="9" s="1"/>
  <c r="O88" i="9"/>
  <c r="S88" i="9" s="1"/>
  <c r="U88" i="9"/>
  <c r="V88" i="9"/>
  <c r="Z88" i="9" s="1"/>
  <c r="W88" i="9"/>
  <c r="M89" i="9"/>
  <c r="Q89" i="9" s="1"/>
  <c r="N89" i="9"/>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N93" i="9"/>
  <c r="O93" i="9"/>
  <c r="S93" i="9" s="1"/>
  <c r="U93" i="9"/>
  <c r="Y93" i="9" s="1"/>
  <c r="V93" i="9"/>
  <c r="W93" i="9"/>
  <c r="M94" i="9"/>
  <c r="N94" i="9"/>
  <c r="O94" i="9"/>
  <c r="S94" i="9" s="1"/>
  <c r="U94" i="9"/>
  <c r="Y94" i="9" s="1"/>
  <c r="V94" i="9"/>
  <c r="Z94" i="9" s="1"/>
  <c r="W94" i="9"/>
  <c r="M95" i="9"/>
  <c r="N95" i="9"/>
  <c r="O95" i="9"/>
  <c r="S95" i="9" s="1"/>
  <c r="U95" i="9"/>
  <c r="Y95" i="9" s="1"/>
  <c r="V95" i="9"/>
  <c r="W95" i="9"/>
  <c r="AA95" i="9" s="1"/>
  <c r="M96" i="9"/>
  <c r="Q96" i="9" s="1"/>
  <c r="N96" i="9"/>
  <c r="R96" i="9" s="1"/>
  <c r="O96" i="9"/>
  <c r="S96" i="9" s="1"/>
  <c r="U96" i="9"/>
  <c r="Y96" i="9" s="1"/>
  <c r="V96" i="9"/>
  <c r="Z96" i="9" s="1"/>
  <c r="W96" i="9"/>
  <c r="M97" i="9"/>
  <c r="N97" i="9"/>
  <c r="R97" i="9" s="1"/>
  <c r="O97" i="9"/>
  <c r="S97" i="9" s="1"/>
  <c r="U97" i="9"/>
  <c r="V97" i="9"/>
  <c r="Z97" i="9" s="1"/>
  <c r="W97" i="9"/>
  <c r="M98" i="9"/>
  <c r="Q98" i="9" s="1"/>
  <c r="N98" i="9"/>
  <c r="O98" i="9"/>
  <c r="U98" i="9"/>
  <c r="Y98" i="9" s="1"/>
  <c r="V98" i="9"/>
  <c r="Z98" i="9" s="1"/>
  <c r="W98" i="9"/>
  <c r="AA98" i="9" s="1"/>
  <c r="M99" i="9"/>
  <c r="Q99" i="9" s="1"/>
  <c r="N99" i="9"/>
  <c r="R99" i="9" s="1"/>
  <c r="O99" i="9"/>
  <c r="S99" i="9" s="1"/>
  <c r="U99" i="9"/>
  <c r="Y99" i="9" s="1"/>
  <c r="V99" i="9"/>
  <c r="Z99" i="9" s="1"/>
  <c r="W99" i="9"/>
  <c r="M100" i="9"/>
  <c r="Q100" i="9" s="1"/>
  <c r="N100" i="9"/>
  <c r="R100" i="9" s="1"/>
  <c r="O100" i="9"/>
  <c r="S100" i="9" s="1"/>
  <c r="U100" i="9"/>
  <c r="Y100" i="9" s="1"/>
  <c r="V100" i="9"/>
  <c r="Z100" i="9" s="1"/>
  <c r="W100" i="9"/>
  <c r="M101" i="9"/>
  <c r="N101" i="9"/>
  <c r="R101" i="9" s="1"/>
  <c r="O101" i="9"/>
  <c r="S101" i="9" s="1"/>
  <c r="U101" i="9"/>
  <c r="Y101" i="9" s="1"/>
  <c r="V101" i="9"/>
  <c r="Z101" i="9" s="1"/>
  <c r="W101" i="9"/>
  <c r="AA101" i="9" s="1"/>
  <c r="M102" i="9"/>
  <c r="N102" i="9"/>
  <c r="O102" i="9"/>
  <c r="U102" i="9"/>
  <c r="Y102" i="9" s="1"/>
  <c r="V102" i="9"/>
  <c r="W102" i="9"/>
  <c r="AA102" i="9" s="1"/>
  <c r="M103" i="9"/>
  <c r="Q103" i="9" s="1"/>
  <c r="N103" i="9"/>
  <c r="R103" i="9" s="1"/>
  <c r="O103" i="9"/>
  <c r="S103" i="9" s="1"/>
  <c r="U103" i="9"/>
  <c r="V103" i="9"/>
  <c r="W103" i="9"/>
  <c r="M104" i="9"/>
  <c r="N104" i="9"/>
  <c r="O104" i="9"/>
  <c r="S104" i="9" s="1"/>
  <c r="U104" i="9"/>
  <c r="V104" i="9"/>
  <c r="Z104" i="9" s="1"/>
  <c r="W104" i="9"/>
  <c r="M105" i="9"/>
  <c r="N105" i="9"/>
  <c r="O105" i="9"/>
  <c r="U105" i="9"/>
  <c r="Y105" i="9" s="1"/>
  <c r="V105" i="9"/>
  <c r="Z105" i="9" s="1"/>
  <c r="W105" i="9"/>
  <c r="M106" i="9"/>
  <c r="N106" i="9"/>
  <c r="R106" i="9" s="1"/>
  <c r="O106" i="9"/>
  <c r="U106" i="9"/>
  <c r="Y106" i="9" s="1"/>
  <c r="V106" i="9"/>
  <c r="Z106" i="9" s="1"/>
  <c r="W106" i="9"/>
  <c r="M107" i="9"/>
  <c r="Q107" i="9" s="1"/>
  <c r="N107" i="9"/>
  <c r="R107" i="9" s="1"/>
  <c r="O107" i="9"/>
  <c r="S107" i="9" s="1"/>
  <c r="U107" i="9"/>
  <c r="Y107" i="9" s="1"/>
  <c r="V107" i="9"/>
  <c r="Z107" i="9" s="1"/>
  <c r="W107" i="9"/>
  <c r="M108" i="9"/>
  <c r="Q108" i="9" s="1"/>
  <c r="N108" i="9"/>
  <c r="R108" i="9" s="1"/>
  <c r="O108" i="9"/>
  <c r="S108" i="9" s="1"/>
  <c r="U108" i="9"/>
  <c r="Y108" i="9" s="1"/>
  <c r="V108" i="9"/>
  <c r="Z108" i="9" s="1"/>
  <c r="W108" i="9"/>
  <c r="M109" i="9"/>
  <c r="Q109" i="9" s="1"/>
  <c r="N109" i="9"/>
  <c r="R109" i="9" s="1"/>
  <c r="O109" i="9"/>
  <c r="S109" i="9" s="1"/>
  <c r="U109" i="9"/>
  <c r="Y109" i="9" s="1"/>
  <c r="V109" i="9"/>
  <c r="W109" i="9"/>
  <c r="M110" i="9"/>
  <c r="N110" i="9"/>
  <c r="O110" i="9"/>
  <c r="S110" i="9" s="1"/>
  <c r="U110" i="9"/>
  <c r="Y110" i="9" s="1"/>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N114" i="9"/>
  <c r="R114" i="9" s="1"/>
  <c r="O114" i="9"/>
  <c r="U114" i="9"/>
  <c r="Y114" i="9" s="1"/>
  <c r="V114" i="9"/>
  <c r="Z114" i="9" s="1"/>
  <c r="W114" i="9"/>
  <c r="AA114" i="9" s="1"/>
  <c r="M115" i="9"/>
  <c r="Q115" i="9" s="1"/>
  <c r="N115" i="9"/>
  <c r="R115" i="9" s="1"/>
  <c r="O115" i="9"/>
  <c r="S115" i="9" s="1"/>
  <c r="U115" i="9"/>
  <c r="Y115" i="9" s="1"/>
  <c r="V115" i="9"/>
  <c r="Z115" i="9" s="1"/>
  <c r="W115" i="9"/>
  <c r="M116" i="9"/>
  <c r="N116" i="9"/>
  <c r="O116" i="9"/>
  <c r="U116" i="9"/>
  <c r="Y116" i="9" s="1"/>
  <c r="V116" i="9"/>
  <c r="Z116" i="9" s="1"/>
  <c r="W116" i="9"/>
  <c r="M117" i="9"/>
  <c r="N117" i="9"/>
  <c r="R117" i="9" s="1"/>
  <c r="O117" i="9"/>
  <c r="S117" i="9" s="1"/>
  <c r="U117" i="9"/>
  <c r="Y117" i="9" s="1"/>
  <c r="V117" i="9"/>
  <c r="W117" i="9"/>
  <c r="AA117" i="9" s="1"/>
  <c r="M118" i="9"/>
  <c r="Q118" i="9" s="1"/>
  <c r="N118" i="9"/>
  <c r="R118" i="9" s="1"/>
  <c r="O118" i="9"/>
  <c r="S118" i="9" s="1"/>
  <c r="U118" i="9"/>
  <c r="Y118" i="9" s="1"/>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Z121" i="9" s="1"/>
  <c r="W121" i="9"/>
  <c r="AA121" i="9" s="1"/>
  <c r="M122" i="9"/>
  <c r="N122" i="9"/>
  <c r="O122" i="9"/>
  <c r="S122" i="9" s="1"/>
  <c r="U122" i="9"/>
  <c r="Y122" i="9" s="1"/>
  <c r="V122" i="9"/>
  <c r="Z122" i="9" s="1"/>
  <c r="W122" i="9"/>
  <c r="AA122" i="9" s="1"/>
  <c r="M123" i="9"/>
  <c r="N123" i="9"/>
  <c r="O123" i="9"/>
  <c r="U123" i="9"/>
  <c r="Y123" i="9" s="1"/>
  <c r="V123" i="9"/>
  <c r="W123" i="9"/>
  <c r="M124" i="9"/>
  <c r="Q124" i="9" s="1"/>
  <c r="N124" i="9"/>
  <c r="R124" i="9" s="1"/>
  <c r="O124" i="9"/>
  <c r="S124" i="9" s="1"/>
  <c r="U124" i="9"/>
  <c r="Y124" i="9" s="1"/>
  <c r="V124" i="9"/>
  <c r="Z124" i="9" s="1"/>
  <c r="W124" i="9"/>
  <c r="AA124" i="9" s="1"/>
  <c r="M125" i="9"/>
  <c r="Q125" i="9" s="1"/>
  <c r="N125" i="9"/>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Z128" i="9" s="1"/>
  <c r="W128" i="9"/>
  <c r="AA128" i="9" s="1"/>
  <c r="M129" i="9"/>
  <c r="Q129" i="9" s="1"/>
  <c r="N129" i="9"/>
  <c r="O129" i="9"/>
  <c r="S129" i="9" s="1"/>
  <c r="U129" i="9"/>
  <c r="Y129" i="9" s="1"/>
  <c r="V129" i="9"/>
  <c r="W129" i="9"/>
  <c r="AA129" i="9" s="1"/>
  <c r="M130" i="9"/>
  <c r="N130" i="9"/>
  <c r="R130" i="9" s="1"/>
  <c r="O130" i="9"/>
  <c r="U130" i="9"/>
  <c r="V130" i="9"/>
  <c r="Z130" i="9" s="1"/>
  <c r="W130" i="9"/>
  <c r="M131" i="9"/>
  <c r="N131" i="9"/>
  <c r="O131" i="9"/>
  <c r="S131" i="9" s="1"/>
  <c r="U131" i="9"/>
  <c r="V131" i="9"/>
  <c r="Z131" i="9" s="1"/>
  <c r="W131" i="9"/>
  <c r="AA131" i="9" s="1"/>
  <c r="M132" i="9"/>
  <c r="Q132" i="9" s="1"/>
  <c r="N132" i="9"/>
  <c r="O132" i="9"/>
  <c r="S132" i="9" s="1"/>
  <c r="U132" i="9"/>
  <c r="Y132" i="9" s="1"/>
  <c r="V132" i="9"/>
  <c r="Z132" i="9" s="1"/>
  <c r="W132" i="9"/>
  <c r="AA132" i="9" s="1"/>
  <c r="M133" i="9"/>
  <c r="Q133" i="9" s="1"/>
  <c r="N133" i="9"/>
  <c r="R133" i="9" s="1"/>
  <c r="O133" i="9"/>
  <c r="S133" i="9" s="1"/>
  <c r="U133" i="9"/>
  <c r="Y133" i="9" s="1"/>
  <c r="V133" i="9"/>
  <c r="Z133" i="9" s="1"/>
  <c r="W133" i="9"/>
  <c r="AA133" i="9" s="1"/>
  <c r="M134" i="9"/>
  <c r="N134" i="9"/>
  <c r="R134" i="9" s="1"/>
  <c r="O134" i="9"/>
  <c r="S134" i="9" s="1"/>
  <c r="U134" i="9"/>
  <c r="Y134" i="9" s="1"/>
  <c r="V134" i="9"/>
  <c r="W134" i="9"/>
  <c r="AA134" i="9" s="1"/>
  <c r="M135" i="9"/>
  <c r="Q135" i="9" s="1"/>
  <c r="N135" i="9"/>
  <c r="R135" i="9" s="1"/>
  <c r="O135" i="9"/>
  <c r="S135" i="9" s="1"/>
  <c r="U135" i="9"/>
  <c r="Y135" i="9" s="1"/>
  <c r="V135" i="9"/>
  <c r="Z135" i="9" s="1"/>
  <c r="W135" i="9"/>
  <c r="M136" i="9"/>
  <c r="N136" i="9"/>
  <c r="O136" i="9"/>
  <c r="S136" i="9" s="1"/>
  <c r="U136" i="9"/>
  <c r="Y136" i="9" s="1"/>
  <c r="V136" i="9"/>
  <c r="Z136" i="9" s="1"/>
  <c r="W136" i="9"/>
  <c r="AA136" i="9" s="1"/>
  <c r="M137" i="9"/>
  <c r="Q137" i="9" s="1"/>
  <c r="N137" i="9"/>
  <c r="R137" i="9" s="1"/>
  <c r="O137" i="9"/>
  <c r="S137" i="9" s="1"/>
  <c r="U137" i="9"/>
  <c r="Y137" i="9" s="1"/>
  <c r="V137" i="9"/>
  <c r="Z137" i="9" s="1"/>
  <c r="W137" i="9"/>
  <c r="M138" i="9"/>
  <c r="Q138" i="9" s="1"/>
  <c r="N138" i="9"/>
  <c r="O138" i="9"/>
  <c r="S138" i="9" s="1"/>
  <c r="U138" i="9"/>
  <c r="V138" i="9"/>
  <c r="Z138" i="9" s="1"/>
  <c r="W138" i="9"/>
  <c r="AA138" i="9" s="1"/>
  <c r="M139" i="9"/>
  <c r="Q139" i="9" s="1"/>
  <c r="N139" i="9"/>
  <c r="O139" i="9"/>
  <c r="S139" i="9" s="1"/>
  <c r="U139" i="9"/>
  <c r="Y139" i="9" s="1"/>
  <c r="V139" i="9"/>
  <c r="Z139" i="9" s="1"/>
  <c r="W139" i="9"/>
  <c r="M140" i="9"/>
  <c r="Q140" i="9" s="1"/>
  <c r="N140" i="9"/>
  <c r="R140" i="9" s="1"/>
  <c r="O140" i="9"/>
  <c r="S140" i="9" s="1"/>
  <c r="U140" i="9"/>
  <c r="Y140" i="9" s="1"/>
  <c r="V140" i="9"/>
  <c r="Z140" i="9" s="1"/>
  <c r="W140" i="9"/>
  <c r="AA140" i="9" s="1"/>
  <c r="M141" i="9"/>
  <c r="N141" i="9"/>
  <c r="R141" i="9" s="1"/>
  <c r="O141" i="9"/>
  <c r="S141" i="9" s="1"/>
  <c r="U141" i="9"/>
  <c r="V141" i="9"/>
  <c r="Z141" i="9" s="1"/>
  <c r="W141" i="9"/>
  <c r="M142" i="9"/>
  <c r="Q142" i="9" s="1"/>
  <c r="N142" i="9"/>
  <c r="O142" i="9"/>
  <c r="U142" i="9"/>
  <c r="Y142" i="9" s="1"/>
  <c r="V142" i="9"/>
  <c r="Z142" i="9" s="1"/>
  <c r="W142" i="9"/>
  <c r="M143" i="9"/>
  <c r="Q143" i="9" s="1"/>
  <c r="N143" i="9"/>
  <c r="R143" i="9" s="1"/>
  <c r="O143" i="9"/>
  <c r="U143" i="9"/>
  <c r="Y143" i="9" s="1"/>
  <c r="V143" i="9"/>
  <c r="Z143" i="9" s="1"/>
  <c r="W143" i="9"/>
  <c r="M144" i="9"/>
  <c r="Q144" i="9" s="1"/>
  <c r="N144" i="9"/>
  <c r="O144" i="9"/>
  <c r="S144" i="9" s="1"/>
  <c r="U144" i="9"/>
  <c r="Y144" i="9" s="1"/>
  <c r="V144" i="9"/>
  <c r="Z144" i="9" s="1"/>
  <c r="W144" i="9"/>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M148" i="9"/>
  <c r="Q148" i="9" s="1"/>
  <c r="N148" i="9"/>
  <c r="O148" i="9"/>
  <c r="S148" i="9" s="1"/>
  <c r="U148" i="9"/>
  <c r="Y148" i="9" s="1"/>
  <c r="V148" i="9"/>
  <c r="W148" i="9"/>
  <c r="AA148" i="9" s="1"/>
  <c r="M149" i="9"/>
  <c r="Q149" i="9" s="1"/>
  <c r="N149" i="9"/>
  <c r="R149" i="9" s="1"/>
  <c r="O149" i="9"/>
  <c r="S149" i="9" s="1"/>
  <c r="U149" i="9"/>
  <c r="V149" i="9"/>
  <c r="W149" i="9"/>
  <c r="M150" i="9"/>
  <c r="N150" i="9"/>
  <c r="O150" i="9"/>
  <c r="U150" i="9"/>
  <c r="Y150" i="9" s="1"/>
  <c r="V150" i="9"/>
  <c r="Z150" i="9" s="1"/>
  <c r="W150" i="9"/>
  <c r="AA150" i="9" s="1"/>
  <c r="M151" i="9"/>
  <c r="N151" i="9"/>
  <c r="R151" i="9" s="1"/>
  <c r="O151" i="9"/>
  <c r="U151" i="9"/>
  <c r="Y151" i="9" s="1"/>
  <c r="V151" i="9"/>
  <c r="W151" i="9"/>
  <c r="M152" i="9"/>
  <c r="N152" i="9"/>
  <c r="R152" i="9" s="1"/>
  <c r="O152" i="9"/>
  <c r="S152" i="9" s="1"/>
  <c r="U152" i="9"/>
  <c r="Y152" i="9" s="1"/>
  <c r="V152" i="9"/>
  <c r="Z152" i="9" s="1"/>
  <c r="W152" i="9"/>
  <c r="AA152" i="9" s="1"/>
  <c r="M153" i="9"/>
  <c r="Q153" i="9" s="1"/>
  <c r="N153" i="9"/>
  <c r="R153" i="9" s="1"/>
  <c r="O153" i="9"/>
  <c r="U153" i="9"/>
  <c r="Y153" i="9" s="1"/>
  <c r="V153" i="9"/>
  <c r="Z153" i="9" s="1"/>
  <c r="W153" i="9"/>
  <c r="AA153" i="9" s="1"/>
  <c r="M154" i="9"/>
  <c r="Q154" i="9" s="1"/>
  <c r="N154" i="9"/>
  <c r="O154" i="9"/>
  <c r="S154" i="9" s="1"/>
  <c r="U154" i="9"/>
  <c r="Y154" i="9" s="1"/>
  <c r="V154" i="9"/>
  <c r="W154" i="9"/>
  <c r="AA154" i="9" s="1"/>
  <c r="M155" i="9"/>
  <c r="Q155" i="9" s="1"/>
  <c r="N155" i="9"/>
  <c r="O155" i="9"/>
  <c r="S155" i="9" s="1"/>
  <c r="U155" i="9"/>
  <c r="Y155" i="9" s="1"/>
  <c r="V155" i="9"/>
  <c r="W155" i="9"/>
  <c r="AA155" i="9" s="1"/>
  <c r="M156" i="9"/>
  <c r="Q156" i="9" s="1"/>
  <c r="N156" i="9"/>
  <c r="R156" i="9" s="1"/>
  <c r="O156" i="9"/>
  <c r="U156" i="9"/>
  <c r="Y156" i="9" s="1"/>
  <c r="V156" i="9"/>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Z159" i="9" s="1"/>
  <c r="W159" i="9"/>
  <c r="M160" i="9"/>
  <c r="Q160" i="9" s="1"/>
  <c r="N160" i="9"/>
  <c r="O160" i="9"/>
  <c r="U160" i="9"/>
  <c r="Y160" i="9" s="1"/>
  <c r="V160" i="9"/>
  <c r="Z160" i="9" s="1"/>
  <c r="W160" i="9"/>
  <c r="AA160" i="9" s="1"/>
  <c r="M161" i="9"/>
  <c r="Q161" i="9" s="1"/>
  <c r="N161" i="9"/>
  <c r="O161" i="9"/>
  <c r="S161" i="9" s="1"/>
  <c r="U161" i="9"/>
  <c r="V161" i="9"/>
  <c r="Z161" i="9" s="1"/>
  <c r="W161" i="9"/>
  <c r="AA161" i="9" s="1"/>
  <c r="M162" i="9"/>
  <c r="N162" i="9"/>
  <c r="R162" i="9" s="1"/>
  <c r="O162" i="9"/>
  <c r="S162" i="9" s="1"/>
  <c r="U162" i="9"/>
  <c r="V162" i="9"/>
  <c r="Z162" i="9" s="1"/>
  <c r="W162" i="9"/>
  <c r="AA162" i="9" s="1"/>
  <c r="M163" i="9"/>
  <c r="Q163" i="9" s="1"/>
  <c r="N163" i="9"/>
  <c r="R163" i="9" s="1"/>
  <c r="O163" i="9"/>
  <c r="S163" i="9" s="1"/>
  <c r="U163" i="9"/>
  <c r="Y163" i="9" s="1"/>
  <c r="V163" i="9"/>
  <c r="W163" i="9"/>
  <c r="M164" i="9"/>
  <c r="Q164" i="9" s="1"/>
  <c r="N164" i="9"/>
  <c r="R164" i="9" s="1"/>
  <c r="O164" i="9"/>
  <c r="S164" i="9" s="1"/>
  <c r="U164" i="9"/>
  <c r="Y164" i="9" s="1"/>
  <c r="V164" i="9"/>
  <c r="W164" i="9"/>
  <c r="M165" i="9"/>
  <c r="Q165" i="9" s="1"/>
  <c r="N165" i="9"/>
  <c r="O165" i="9"/>
  <c r="U165" i="9"/>
  <c r="Y165" i="9" s="1"/>
  <c r="V165" i="9"/>
  <c r="Z165" i="9" s="1"/>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Y170" i="9" s="1"/>
  <c r="V170" i="9"/>
  <c r="Z170" i="9" s="1"/>
  <c r="W170" i="9"/>
  <c r="M171" i="9"/>
  <c r="Q171" i="9" s="1"/>
  <c r="N171" i="9"/>
  <c r="R171" i="9" s="1"/>
  <c r="O171" i="9"/>
  <c r="S171" i="9" s="1"/>
  <c r="U171" i="9"/>
  <c r="Y171" i="9" s="1"/>
  <c r="V171" i="9"/>
  <c r="W171" i="9"/>
  <c r="M172" i="9"/>
  <c r="Q172" i="9" s="1"/>
  <c r="N172" i="9"/>
  <c r="R172" i="9" s="1"/>
  <c r="O172" i="9"/>
  <c r="S172" i="9" s="1"/>
  <c r="U172" i="9"/>
  <c r="V172" i="9"/>
  <c r="Z172" i="9" s="1"/>
  <c r="W172" i="9"/>
  <c r="M173" i="9"/>
  <c r="Q173" i="9" s="1"/>
  <c r="N173" i="9"/>
  <c r="O173" i="9"/>
  <c r="S173" i="9" s="1"/>
  <c r="U173" i="9"/>
  <c r="Y173" i="9" s="1"/>
  <c r="V173" i="9"/>
  <c r="Z173" i="9" s="1"/>
  <c r="W173" i="9"/>
  <c r="AA173" i="9" s="1"/>
  <c r="M174" i="9"/>
  <c r="Q174" i="9" s="1"/>
  <c r="N174" i="9"/>
  <c r="O174" i="9"/>
  <c r="S174" i="9" s="1"/>
  <c r="U174" i="9"/>
  <c r="Y174" i="9" s="1"/>
  <c r="V174" i="9"/>
  <c r="W174" i="9"/>
  <c r="M175" i="9"/>
  <c r="Q175" i="9" s="1"/>
  <c r="N175" i="9"/>
  <c r="R175" i="9" s="1"/>
  <c r="O175" i="9"/>
  <c r="U175" i="9"/>
  <c r="Y175" i="9" s="1"/>
  <c r="V175" i="9"/>
  <c r="Z175" i="9" s="1"/>
  <c r="W175" i="9"/>
  <c r="AA175" i="9" s="1"/>
  <c r="M176" i="9"/>
  <c r="Q176" i="9" s="1"/>
  <c r="N176" i="9"/>
  <c r="R176" i="9" s="1"/>
  <c r="O176" i="9"/>
  <c r="S176" i="9" s="1"/>
  <c r="U176" i="9"/>
  <c r="Y176" i="9" s="1"/>
  <c r="V176" i="9"/>
  <c r="Z176" i="9" s="1"/>
  <c r="W176" i="9"/>
  <c r="AA176" i="9" s="1"/>
  <c r="M177" i="9"/>
  <c r="Q177" i="9" s="1"/>
  <c r="N177" i="9"/>
  <c r="O177" i="9"/>
  <c r="S177" i="9" s="1"/>
  <c r="U177" i="9"/>
  <c r="Y177" i="9" s="1"/>
  <c r="V177" i="9"/>
  <c r="W177" i="9"/>
  <c r="AA177" i="9" s="1"/>
  <c r="M178" i="9"/>
  <c r="Q178" i="9" s="1"/>
  <c r="N178" i="9"/>
  <c r="O178" i="9"/>
  <c r="S178" i="9" s="1"/>
  <c r="U178" i="9"/>
  <c r="Y178" i="9" s="1"/>
  <c r="V178" i="9"/>
  <c r="Z178" i="9" s="1"/>
  <c r="W178" i="9"/>
  <c r="AA178" i="9" s="1"/>
  <c r="M179" i="9"/>
  <c r="Q179" i="9" s="1"/>
  <c r="N179" i="9"/>
  <c r="O179" i="9"/>
  <c r="S179" i="9" s="1"/>
  <c r="U179" i="9"/>
  <c r="V179" i="9"/>
  <c r="Z179" i="9" s="1"/>
  <c r="W179" i="9"/>
  <c r="AA179" i="9" s="1"/>
  <c r="M180" i="9"/>
  <c r="Q180" i="9" s="1"/>
  <c r="N180" i="9"/>
  <c r="O180" i="9"/>
  <c r="S180" i="9" s="1"/>
  <c r="U180" i="9"/>
  <c r="Y180" i="9" s="1"/>
  <c r="V180" i="9"/>
  <c r="Z180" i="9" s="1"/>
  <c r="W180" i="9"/>
  <c r="AA180" i="9" s="1"/>
  <c r="M181" i="9"/>
  <c r="Q181" i="9" s="1"/>
  <c r="N181" i="9"/>
  <c r="O181" i="9"/>
  <c r="U181" i="9"/>
  <c r="Y181" i="9" s="1"/>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M184" i="9"/>
  <c r="Q184" i="9" s="1"/>
  <c r="N184" i="9"/>
  <c r="R184" i="9" s="1"/>
  <c r="O184" i="9"/>
  <c r="S184" i="9" s="1"/>
  <c r="U184" i="9"/>
  <c r="Y184" i="9" s="1"/>
  <c r="V184" i="9"/>
  <c r="Z184" i="9" s="1"/>
  <c r="W184" i="9"/>
  <c r="M185" i="9"/>
  <c r="Q185" i="9" s="1"/>
  <c r="N185" i="9"/>
  <c r="O185" i="9"/>
  <c r="S185" i="9" s="1"/>
  <c r="U185" i="9"/>
  <c r="Y185" i="9" s="1"/>
  <c r="V185" i="9"/>
  <c r="Z185" i="9" s="1"/>
  <c r="W185" i="9"/>
  <c r="M186" i="9"/>
  <c r="Q186" i="9" s="1"/>
  <c r="N186" i="9"/>
  <c r="O186" i="9"/>
  <c r="S186" i="9" s="1"/>
  <c r="U186" i="9"/>
  <c r="Y186" i="9" s="1"/>
  <c r="V186" i="9"/>
  <c r="W186" i="9"/>
  <c r="M187" i="9"/>
  <c r="Q187" i="9" s="1"/>
  <c r="N187" i="9"/>
  <c r="R187" i="9" s="1"/>
  <c r="O187" i="9"/>
  <c r="S187" i="9" s="1"/>
  <c r="U187" i="9"/>
  <c r="Y187" i="9" s="1"/>
  <c r="V187" i="9"/>
  <c r="W187" i="9"/>
  <c r="AA187" i="9" s="1"/>
  <c r="M188" i="9"/>
  <c r="Q188" i="9" s="1"/>
  <c r="N188" i="9"/>
  <c r="R188" i="9" s="1"/>
  <c r="O188" i="9"/>
  <c r="U188" i="9"/>
  <c r="V188" i="9"/>
  <c r="W188" i="9"/>
  <c r="M189" i="9"/>
  <c r="N189" i="9"/>
  <c r="O189" i="9"/>
  <c r="U189" i="9"/>
  <c r="V189" i="9"/>
  <c r="W189" i="9"/>
  <c r="AA189" i="9" s="1"/>
  <c r="M190" i="9"/>
  <c r="N190" i="9"/>
  <c r="O190" i="9"/>
  <c r="S190" i="9" s="1"/>
  <c r="U190" i="9"/>
  <c r="V190" i="9"/>
  <c r="W190" i="9"/>
  <c r="M191" i="9"/>
  <c r="N191" i="9"/>
  <c r="O191" i="9"/>
  <c r="S191" i="9" s="1"/>
  <c r="U191" i="9"/>
  <c r="Y191" i="9" s="1"/>
  <c r="V191" i="9"/>
  <c r="Z191" i="9" s="1"/>
  <c r="W191" i="9"/>
  <c r="M192" i="9"/>
  <c r="N192" i="9"/>
  <c r="O192" i="9"/>
  <c r="S192" i="9" s="1"/>
  <c r="U192" i="9"/>
  <c r="Y192" i="9" s="1"/>
  <c r="V192" i="9"/>
  <c r="W192" i="9"/>
  <c r="M193" i="9"/>
  <c r="N193" i="9"/>
  <c r="R193" i="9" s="1"/>
  <c r="O193" i="9"/>
  <c r="U193" i="9"/>
  <c r="V193" i="9"/>
  <c r="W193" i="9"/>
  <c r="M194" i="9"/>
  <c r="Q194" i="9" s="1"/>
  <c r="N194" i="9"/>
  <c r="R194" i="9" s="1"/>
  <c r="O194" i="9"/>
  <c r="S194" i="9" s="1"/>
  <c r="U194" i="9"/>
  <c r="V194" i="9"/>
  <c r="Z194" i="9" s="1"/>
  <c r="W194" i="9"/>
  <c r="AA194" i="9" s="1"/>
  <c r="M195" i="9"/>
  <c r="N195" i="9"/>
  <c r="R195" i="9" s="1"/>
  <c r="O195" i="9"/>
  <c r="S195" i="9" s="1"/>
  <c r="U195" i="9"/>
  <c r="Y195" i="9" s="1"/>
  <c r="V195" i="9"/>
  <c r="W195" i="9"/>
  <c r="AA195" i="9" s="1"/>
  <c r="M196" i="9"/>
  <c r="Q196" i="9" s="1"/>
  <c r="N196" i="9"/>
  <c r="O196" i="9"/>
  <c r="S196" i="9" s="1"/>
  <c r="U196" i="9"/>
  <c r="V196" i="9"/>
  <c r="Z196" i="9" s="1"/>
  <c r="W196" i="9"/>
  <c r="AA196" i="9" s="1"/>
  <c r="M197" i="9"/>
  <c r="Q197" i="9" s="1"/>
  <c r="N197" i="9"/>
  <c r="O197" i="9"/>
  <c r="S197" i="9" s="1"/>
  <c r="U197" i="9"/>
  <c r="Y197" i="9" s="1"/>
  <c r="V197" i="9"/>
  <c r="Z197" i="9" s="1"/>
  <c r="W197" i="9"/>
  <c r="M198" i="9"/>
  <c r="N198" i="9"/>
  <c r="O198" i="9"/>
  <c r="U198" i="9"/>
  <c r="V198" i="9"/>
  <c r="W198" i="9"/>
  <c r="M199" i="9"/>
  <c r="Q199" i="9" s="1"/>
  <c r="N199" i="9"/>
  <c r="O199" i="9"/>
  <c r="S199" i="9" s="1"/>
  <c r="U199" i="9"/>
  <c r="Y199" i="9" s="1"/>
  <c r="V199" i="9"/>
  <c r="W199" i="9"/>
  <c r="M200" i="9"/>
  <c r="N200" i="9"/>
  <c r="O200" i="9"/>
  <c r="U200" i="9"/>
  <c r="V200" i="9"/>
  <c r="W200" i="9"/>
  <c r="M201" i="9"/>
  <c r="N201" i="9"/>
  <c r="O201" i="9"/>
  <c r="S201" i="9" s="1"/>
  <c r="U201" i="9"/>
  <c r="Y201" i="9" s="1"/>
  <c r="V201" i="9"/>
  <c r="W201" i="9"/>
  <c r="M202" i="9"/>
  <c r="N202" i="9"/>
  <c r="R202" i="9" s="1"/>
  <c r="O202" i="9"/>
  <c r="S202" i="9" s="1"/>
  <c r="U202" i="9"/>
  <c r="Y202" i="9" s="1"/>
  <c r="V202" i="9"/>
  <c r="Z202" i="9" s="1"/>
  <c r="W202" i="9"/>
  <c r="AA202" i="9" s="1"/>
  <c r="M203" i="9"/>
  <c r="Q203" i="9" s="1"/>
  <c r="N203" i="9"/>
  <c r="R203" i="9" s="1"/>
  <c r="O203" i="9"/>
  <c r="S203" i="9" s="1"/>
  <c r="U203" i="9"/>
  <c r="V203" i="9"/>
  <c r="Z203" i="9" s="1"/>
  <c r="W203" i="9"/>
  <c r="M204" i="9"/>
  <c r="Q204" i="9" s="1"/>
  <c r="N204" i="9"/>
  <c r="O204" i="9"/>
  <c r="S204" i="9" s="1"/>
  <c r="U204" i="9"/>
  <c r="Y204" i="9" s="1"/>
  <c r="V204" i="9"/>
  <c r="W204" i="9"/>
  <c r="M205" i="9"/>
  <c r="Q205" i="9" s="1"/>
  <c r="N205" i="9"/>
  <c r="O205" i="9"/>
  <c r="U205" i="9"/>
  <c r="Y205" i="9" s="1"/>
  <c r="V205" i="9"/>
  <c r="W205" i="9"/>
  <c r="M206" i="9"/>
  <c r="Q206" i="9" s="1"/>
  <c r="N206" i="9"/>
  <c r="O206" i="9"/>
  <c r="S206" i="9" s="1"/>
  <c r="U206" i="9"/>
  <c r="V206" i="9"/>
  <c r="W206" i="9"/>
  <c r="M207" i="9"/>
  <c r="Q207" i="9" s="1"/>
  <c r="N207" i="9"/>
  <c r="O207" i="9"/>
  <c r="S207" i="9" s="1"/>
  <c r="U207" i="9"/>
  <c r="Y207" i="9" s="1"/>
  <c r="V207" i="9"/>
  <c r="Z207" i="9" s="1"/>
  <c r="W207" i="9"/>
  <c r="M208" i="9"/>
  <c r="N208" i="9"/>
  <c r="O208" i="9"/>
  <c r="U208" i="9"/>
  <c r="V208" i="9"/>
  <c r="Z208" i="9" s="1"/>
  <c r="W208" i="9"/>
  <c r="M209" i="9"/>
  <c r="N209" i="9"/>
  <c r="O209" i="9"/>
  <c r="S209" i="9" s="1"/>
  <c r="U209" i="9"/>
  <c r="V209" i="9"/>
  <c r="W209" i="9"/>
  <c r="M210" i="9"/>
  <c r="N210" i="9"/>
  <c r="O210" i="9"/>
  <c r="S210" i="9" s="1"/>
  <c r="U210" i="9"/>
  <c r="V210" i="9"/>
  <c r="Z210" i="9" s="1"/>
  <c r="W210" i="9"/>
  <c r="AA210" i="9" s="1"/>
  <c r="M211" i="9"/>
  <c r="N211" i="9"/>
  <c r="O211" i="9"/>
  <c r="S211" i="9" s="1"/>
  <c r="U211" i="9"/>
  <c r="Y211" i="9" s="1"/>
  <c r="V211" i="9"/>
  <c r="Z211" i="9" s="1"/>
  <c r="W211" i="9"/>
  <c r="M212" i="9"/>
  <c r="N212" i="9"/>
  <c r="R212" i="9" s="1"/>
  <c r="O212" i="9"/>
  <c r="U212" i="9"/>
  <c r="Y212" i="9" s="1"/>
  <c r="V212" i="9"/>
  <c r="Z212" i="9" s="1"/>
  <c r="W212" i="9"/>
  <c r="M213" i="9"/>
  <c r="Q213" i="9" s="1"/>
  <c r="N213" i="9"/>
  <c r="O213" i="9"/>
  <c r="U213" i="9"/>
  <c r="V213" i="9"/>
  <c r="Z213" i="9" s="1"/>
  <c r="W213" i="9"/>
  <c r="AA213" i="9" s="1"/>
  <c r="M214" i="9"/>
  <c r="Q214" i="9" s="1"/>
  <c r="N214" i="9"/>
  <c r="R214" i="9" s="1"/>
  <c r="O214" i="9"/>
  <c r="S214" i="9" s="1"/>
  <c r="U214" i="9"/>
  <c r="Y214" i="9" s="1"/>
  <c r="V214" i="9"/>
  <c r="Z214" i="9" s="1"/>
  <c r="W214" i="9"/>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N218" i="9"/>
  <c r="O218" i="9"/>
  <c r="U218" i="9"/>
  <c r="Y218" i="9" s="1"/>
  <c r="V218" i="9"/>
  <c r="W218" i="9"/>
  <c r="AA218" i="9" s="1"/>
  <c r="M219" i="9"/>
  <c r="N219" i="9"/>
  <c r="R219" i="9" s="1"/>
  <c r="O219" i="9"/>
  <c r="U219" i="9"/>
  <c r="Y219" i="9" s="1"/>
  <c r="V219" i="9"/>
  <c r="W219" i="9"/>
  <c r="AA219" i="9" s="1"/>
  <c r="M220" i="9"/>
  <c r="Q220" i="9" s="1"/>
  <c r="N220" i="9"/>
  <c r="R220" i="9" s="1"/>
  <c r="O220" i="9"/>
  <c r="S220" i="9" s="1"/>
  <c r="U220" i="9"/>
  <c r="Y220" i="9" s="1"/>
  <c r="V220" i="9"/>
  <c r="W220" i="9"/>
  <c r="M221" i="9"/>
  <c r="N221" i="9"/>
  <c r="O221" i="9"/>
  <c r="S221" i="9" s="1"/>
  <c r="U221" i="9"/>
  <c r="V221" i="9"/>
  <c r="W221" i="9"/>
  <c r="M222" i="9"/>
  <c r="Q222" i="9" s="1"/>
  <c r="N222" i="9"/>
  <c r="R222" i="9" s="1"/>
  <c r="O222" i="9"/>
  <c r="S222" i="9" s="1"/>
  <c r="U222" i="9"/>
  <c r="Y222" i="9" s="1"/>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V225" i="9"/>
  <c r="W225" i="9"/>
  <c r="M226" i="9"/>
  <c r="N226" i="9"/>
  <c r="O226" i="9"/>
  <c r="S226" i="9" s="1"/>
  <c r="U226" i="9"/>
  <c r="Y226" i="9" s="1"/>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Q229" i="9" s="1"/>
  <c r="N229" i="9"/>
  <c r="O229" i="9"/>
  <c r="U229" i="9"/>
  <c r="Y229" i="9" s="1"/>
  <c r="V229" i="9"/>
  <c r="Z229" i="9" s="1"/>
  <c r="W229" i="9"/>
  <c r="M230" i="9"/>
  <c r="N230" i="9"/>
  <c r="O230" i="9"/>
  <c r="U230" i="9"/>
  <c r="Y230" i="9" s="1"/>
  <c r="V230" i="9"/>
  <c r="W230" i="9"/>
  <c r="AA230" i="9" s="1"/>
  <c r="M231" i="9"/>
  <c r="Q231" i="9" s="1"/>
  <c r="N231" i="9"/>
  <c r="R231" i="9" s="1"/>
  <c r="O231" i="9"/>
  <c r="S231" i="9" s="1"/>
  <c r="U231" i="9"/>
  <c r="V231" i="9"/>
  <c r="W231" i="9"/>
  <c r="M232" i="9"/>
  <c r="Q232" i="9" s="1"/>
  <c r="N232" i="9"/>
  <c r="O232" i="9"/>
  <c r="S232" i="9" s="1"/>
  <c r="U232" i="9"/>
  <c r="Y232" i="9" s="1"/>
  <c r="V232" i="9"/>
  <c r="Z232" i="9" s="1"/>
  <c r="W232" i="9"/>
  <c r="AA232" i="9" s="1"/>
  <c r="M233" i="9"/>
  <c r="N233" i="9"/>
  <c r="O233" i="9"/>
  <c r="U233" i="9"/>
  <c r="V233" i="9"/>
  <c r="W233" i="9"/>
  <c r="M234" i="9"/>
  <c r="N234" i="9"/>
  <c r="O234" i="9"/>
  <c r="U234" i="9"/>
  <c r="V234" i="9"/>
  <c r="Z234" i="9" s="1"/>
  <c r="W234" i="9"/>
  <c r="AA234" i="9" s="1"/>
  <c r="M235" i="9"/>
  <c r="Q235" i="9" s="1"/>
  <c r="N235" i="9"/>
  <c r="O235" i="9"/>
  <c r="U235" i="9"/>
  <c r="V235" i="9"/>
  <c r="W235" i="9"/>
  <c r="K9" i="1"/>
  <c r="B10" i="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R62" i="9"/>
  <c r="AA41" i="9"/>
  <c r="Z27" i="9"/>
  <c r="R19" i="9"/>
  <c r="S41" i="9"/>
  <c r="Q50" i="9"/>
  <c r="H8" i="24"/>
  <c r="K7"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354" i="9"/>
  <c r="R370" i="9"/>
  <c r="R372" i="9"/>
  <c r="AA159" i="9"/>
  <c r="Z273" i="9"/>
  <c r="Z134" i="9"/>
  <c r="AA36" i="9"/>
  <c r="S24" i="9"/>
  <c r="Z15" i="9"/>
  <c r="Q34" i="9"/>
  <c r="R367" i="9"/>
  <c r="Q31" i="9"/>
  <c r="AA43" i="9"/>
  <c r="Y49" i="9"/>
  <c r="S49" i="9"/>
  <c r="AA48" i="9"/>
  <c r="R27" i="9"/>
  <c r="AA15" i="9"/>
  <c r="AA16" i="9"/>
  <c r="S14" i="9"/>
  <c r="Y15" i="9"/>
  <c r="Z28" i="9"/>
  <c r="Q54" i="9"/>
  <c r="Q17" i="9"/>
  <c r="Q62" i="9"/>
  <c r="S35" i="9"/>
  <c r="R16" i="9"/>
  <c r="R17" i="9"/>
  <c r="Q26" i="9"/>
  <c r="Y53" i="9"/>
  <c r="S44" i="9"/>
  <c r="Q37" i="9"/>
  <c r="R33" i="9"/>
  <c r="AA23" i="9"/>
  <c r="R60" i="9"/>
  <c r="Q15" i="9"/>
  <c r="Z335" i="9"/>
  <c r="Q121" i="9"/>
  <c r="AA137" i="9"/>
  <c r="R371" i="9"/>
  <c r="Z353" i="9"/>
  <c r="R360" i="9"/>
  <c r="R85" i="9"/>
  <c r="R293" i="9"/>
  <c r="Y324" i="9"/>
  <c r="R269" i="9"/>
  <c r="AA81" i="9"/>
  <c r="AA309" i="9"/>
  <c r="S317" i="9"/>
  <c r="AA97" i="9"/>
  <c r="Z270" i="9"/>
  <c r="Q61" i="9"/>
  <c r="S56" i="9"/>
  <c r="AA50" i="9"/>
  <c r="AA51" i="9"/>
  <c r="Y47" i="9"/>
  <c r="R29" i="9"/>
  <c r="Z16" i="9"/>
  <c r="Y60" i="9"/>
  <c r="S36" i="9"/>
  <c r="S37" i="9"/>
  <c r="Z20" i="9"/>
  <c r="S271" i="9"/>
  <c r="AA108" i="9"/>
  <c r="AA109" i="9"/>
  <c r="AA46" i="9"/>
  <c r="Z42" i="9"/>
  <c r="AA40" i="9"/>
  <c r="Y44" i="9"/>
  <c r="Y45" i="9"/>
  <c r="AA25" i="9"/>
  <c r="AA26" i="9"/>
  <c r="Q384" i="9"/>
  <c r="Z156" i="9"/>
  <c r="AA60" i="9"/>
  <c r="S59" i="9"/>
  <c r="S60" i="9"/>
  <c r="Q48" i="9"/>
  <c r="Q49" i="9"/>
  <c r="AA30" i="9"/>
  <c r="AA31" i="9"/>
  <c r="S10" i="9"/>
  <c r="S11" i="9"/>
  <c r="Q56" i="9"/>
  <c r="R48" i="9"/>
  <c r="R59" i="9"/>
  <c r="S34" i="9"/>
  <c r="AA33" i="9"/>
  <c r="R26" i="9"/>
  <c r="R21" i="9"/>
  <c r="Z14" i="9"/>
  <c r="Q12" i="9"/>
  <c r="Y57" i="9"/>
  <c r="R52" i="9"/>
  <c r="S50" i="9"/>
  <c r="AA49" i="9"/>
  <c r="Y39" i="9"/>
  <c r="Q21" i="9"/>
  <c r="S13" i="9"/>
  <c r="AA146" i="9"/>
  <c r="AA38" i="9"/>
  <c r="Y28" i="9"/>
  <c r="AA21" i="9"/>
  <c r="R39" i="9"/>
  <c r="AA56" i="9"/>
  <c r="Y55" i="9"/>
  <c r="R42" i="9"/>
  <c r="Y41" i="9"/>
  <c r="Z37" i="9"/>
  <c r="Q33" i="9"/>
  <c r="R30" i="9"/>
  <c r="Z29" i="9"/>
  <c r="Q25" i="9"/>
  <c r="Z21" i="9"/>
  <c r="Y12" i="9"/>
  <c r="Z269" i="9"/>
  <c r="S43" i="9"/>
  <c r="Z169" i="9"/>
  <c r="AA249" i="9"/>
  <c r="R306" i="9"/>
  <c r="Y290" i="9"/>
  <c r="Q335" i="9"/>
  <c r="Q122" i="9"/>
  <c r="Q345" i="9"/>
  <c r="Y322" i="9"/>
  <c r="Q289" i="9"/>
  <c r="Q257" i="9"/>
  <c r="Y382" i="9"/>
  <c r="Q342" i="9"/>
  <c r="Y304" i="9"/>
  <c r="Y321" i="9"/>
  <c r="Y371" i="9"/>
  <c r="Q371" i="9"/>
  <c r="Q130" i="9"/>
  <c r="Y68" i="9"/>
  <c r="Q83" i="9"/>
  <c r="Y343" i="9"/>
  <c r="Q372" i="9"/>
  <c r="Q256" i="9"/>
  <c r="Q82" i="9"/>
  <c r="Q76" i="9"/>
  <c r="AA377" i="9"/>
  <c r="R382" i="9"/>
  <c r="Q291" i="9"/>
  <c r="R323" i="9"/>
  <c r="S381" i="9"/>
  <c r="S337" i="9"/>
  <c r="Q357" i="9"/>
  <c r="Q374" i="9"/>
  <c r="Q337" i="9"/>
  <c r="R288" i="9"/>
  <c r="Z284" i="9"/>
  <c r="AA322" i="9"/>
  <c r="Z310" i="9"/>
  <c r="T415" i="9"/>
  <c r="S376" i="9"/>
  <c r="AA113" i="9"/>
  <c r="S359" i="9"/>
  <c r="R356" i="9"/>
  <c r="AA372" i="9"/>
  <c r="AA373" i="9"/>
  <c r="AA366" i="9"/>
  <c r="Z386" i="9"/>
  <c r="R358" i="9"/>
  <c r="AA384" i="9"/>
  <c r="AA79" i="9"/>
  <c r="AA107" i="9"/>
  <c r="AA186" i="9"/>
  <c r="Y64" i="9"/>
  <c r="Z280" i="9"/>
  <c r="Y259" i="9"/>
  <c r="R387" i="9"/>
  <c r="S358" i="9"/>
  <c r="R347" i="9"/>
  <c r="R366" i="9"/>
  <c r="Q361" i="9"/>
  <c r="Z326" i="9"/>
  <c r="S387" i="9"/>
  <c r="Q377" i="9"/>
  <c r="Q385" i="9"/>
  <c r="Y377" i="9"/>
  <c r="Z379" i="9"/>
  <c r="Z395" i="9"/>
  <c r="S395" i="9"/>
  <c r="AA78" i="9"/>
  <c r="Z385" i="9"/>
  <c r="R350" i="9"/>
  <c r="R250" i="9"/>
  <c r="Q110" i="9"/>
  <c r="AA185" i="9"/>
  <c r="AA144" i="9"/>
  <c r="AA83" i="9"/>
  <c r="Q233" i="9"/>
  <c r="S91" i="9"/>
  <c r="AA347" i="9"/>
  <c r="AA147" i="9"/>
  <c r="Z253" i="9"/>
  <c r="AA376" i="9"/>
  <c r="AA297" i="9"/>
  <c r="AA142" i="9"/>
  <c r="Q191" i="9"/>
  <c r="R302" i="9"/>
  <c r="Q386" i="9"/>
  <c r="Z154" i="9"/>
  <c r="S390" i="9"/>
  <c r="S389" i="9"/>
  <c r="S280" i="9"/>
  <c r="Q114" i="9"/>
  <c r="AA99" i="9"/>
  <c r="AA100" i="9"/>
  <c r="S264" i="9"/>
  <c r="S265" i="9"/>
  <c r="S290" i="9"/>
  <c r="Q134" i="9"/>
  <c r="Y72" i="9"/>
  <c r="Y288" i="9"/>
  <c r="AA333" i="9"/>
  <c r="S98" i="9"/>
  <c r="Q63" i="9"/>
  <c r="AA171" i="9"/>
  <c r="AA172" i="9"/>
  <c r="AA164" i="9"/>
  <c r="AA248" i="9"/>
  <c r="S251" i="9"/>
  <c r="AA344" i="9"/>
  <c r="Z325" i="9"/>
  <c r="Q152" i="9"/>
  <c r="Z109" i="9"/>
  <c r="Y97" i="9"/>
  <c r="R94" i="9"/>
  <c r="AA96" i="9"/>
  <c r="Q242" i="9"/>
  <c r="S297" i="9"/>
  <c r="Y350" i="9"/>
  <c r="Q288" i="9"/>
  <c r="S377" i="9"/>
  <c r="Y353" i="9"/>
  <c r="AA314" i="9"/>
  <c r="AA111" i="9"/>
  <c r="AA214" i="9"/>
  <c r="AA82" i="9"/>
  <c r="C388" i="24"/>
  <c r="P389" i="24" s="1"/>
  <c r="R185" i="9"/>
  <c r="AA149" i="9"/>
  <c r="Y380" i="9"/>
  <c r="S364" i="9"/>
  <c r="S365" i="9"/>
  <c r="Y283" i="9"/>
  <c r="Y284" i="9"/>
  <c r="R332" i="9"/>
  <c r="AA304" i="9"/>
  <c r="AA300" i="9"/>
  <c r="AA299" i="9"/>
  <c r="Q202" i="9"/>
  <c r="AA191" i="9"/>
  <c r="Q198" i="9"/>
  <c r="Z123" i="9"/>
  <c r="Q97" i="9"/>
  <c r="Y65" i="9"/>
  <c r="R294" i="9"/>
  <c r="R295" i="9"/>
  <c r="S349" i="9"/>
  <c r="AA105" i="9"/>
  <c r="AA106" i="9"/>
  <c r="Q105" i="9"/>
  <c r="Y79" i="9"/>
  <c r="R248" i="9"/>
  <c r="Y273" i="9"/>
  <c r="Q276" i="9"/>
  <c r="R271" i="9"/>
  <c r="R272" i="9"/>
  <c r="Z90" i="9"/>
  <c r="R260" i="9"/>
  <c r="Z151" i="9"/>
  <c r="AA141" i="9"/>
  <c r="S63" i="9"/>
  <c r="S254" i="9"/>
  <c r="AA139" i="9"/>
  <c r="AA305" i="9"/>
  <c r="AA359" i="9"/>
  <c r="AA199" i="9"/>
  <c r="AA86" i="9"/>
  <c r="AA87" i="9"/>
  <c r="R391" i="9"/>
  <c r="R392" i="9"/>
  <c r="Y243" i="9"/>
  <c r="Q218" i="9"/>
  <c r="R297" i="9"/>
  <c r="R242" i="9"/>
  <c r="Z313" i="9"/>
  <c r="Y355" i="9"/>
  <c r="AA151" i="9"/>
  <c r="S70" i="9"/>
  <c r="AA188" i="9"/>
  <c r="R275" i="9"/>
  <c r="Q287" i="9"/>
  <c r="AA94" i="9"/>
  <c r="S288" i="9"/>
  <c r="S84" i="9"/>
  <c r="AA170" i="9"/>
  <c r="AA157" i="9"/>
  <c r="AA273" i="9"/>
  <c r="S360" i="9"/>
  <c r="C399" i="24"/>
  <c r="C382" i="24"/>
  <c r="C369" i="24"/>
  <c r="P370" i="24" s="1"/>
  <c r="C431" i="24"/>
  <c r="AA233" i="9"/>
  <c r="Y70" i="9"/>
  <c r="Z382" i="9"/>
  <c r="Z148" i="9"/>
  <c r="Q128" i="9"/>
  <c r="AA183" i="9"/>
  <c r="AA135" i="9"/>
  <c r="Q95" i="9"/>
  <c r="Z252" i="9"/>
  <c r="Q162" i="9"/>
  <c r="Q157" i="9"/>
  <c r="Q243" i="9"/>
  <c r="Y294" i="9"/>
  <c r="R139" i="9"/>
  <c r="Q78" i="9"/>
  <c r="Z117" i="9"/>
  <c r="AA116" i="9"/>
  <c r="AA115" i="9"/>
  <c r="Q116" i="9"/>
  <c r="Y293" i="9"/>
  <c r="AA312" i="9"/>
  <c r="AA313" i="9"/>
  <c r="Z158" i="9"/>
  <c r="Q269" i="9"/>
  <c r="Y268" i="9"/>
  <c r="Y269" i="9"/>
  <c r="AA203" i="9"/>
  <c r="Q226" i="9"/>
  <c r="Q136" i="9"/>
  <c r="R255" i="9"/>
  <c r="AA174" i="9"/>
  <c r="AA63" i="9"/>
  <c r="AA237" i="9"/>
  <c r="S339" i="9"/>
  <c r="S338" i="9"/>
  <c r="AA337" i="9"/>
  <c r="S333" i="9"/>
  <c r="S361" i="9"/>
  <c r="AA361" i="9"/>
  <c r="AA362" i="9"/>
  <c r="Y367" i="9"/>
  <c r="Q369" i="9"/>
  <c r="Q370" i="9"/>
  <c r="S374" i="9"/>
  <c r="Z377" i="9"/>
  <c r="Q117" i="9"/>
  <c r="Q340" i="9"/>
  <c r="R359" i="9"/>
  <c r="Q376" i="9"/>
  <c r="AA143" i="9"/>
  <c r="Q93" i="9"/>
  <c r="AA261" i="9"/>
  <c r="Y276" i="9"/>
  <c r="R376" i="9"/>
  <c r="AA386" i="9"/>
  <c r="C422" i="24"/>
  <c r="C538" i="24"/>
  <c r="C468" i="24"/>
  <c r="E204" i="24"/>
  <c r="V204" i="24" s="1"/>
  <c r="C397" i="24"/>
  <c r="C418" i="24"/>
  <c r="C561" i="24"/>
  <c r="C383" i="24"/>
  <c r="D234" i="24"/>
  <c r="U234" i="24" s="1"/>
  <c r="E556" i="24"/>
  <c r="E543" i="24"/>
  <c r="V543" i="24" s="1"/>
  <c r="E533" i="24"/>
  <c r="D525" i="24"/>
  <c r="U525" i="24" s="1"/>
  <c r="E514" i="24"/>
  <c r="V514" i="24" s="1"/>
  <c r="E502" i="24"/>
  <c r="V502" i="24" s="1"/>
  <c r="E491" i="24"/>
  <c r="E472" i="24"/>
  <c r="D458" i="24"/>
  <c r="D448" i="24"/>
  <c r="U448" i="24" s="1"/>
  <c r="F561" i="24"/>
  <c r="F551" i="24"/>
  <c r="W551" i="24" s="1"/>
  <c r="E537" i="24"/>
  <c r="V537" i="24" s="1"/>
  <c r="D520" i="24"/>
  <c r="D508" i="24"/>
  <c r="U508" i="24" s="1"/>
  <c r="F494" i="24"/>
  <c r="W494" i="24" s="1"/>
  <c r="E485" i="24"/>
  <c r="E475" i="24"/>
  <c r="D466" i="24"/>
  <c r="U466" i="24" s="1"/>
  <c r="F456" i="24"/>
  <c r="W456" i="24" s="1"/>
  <c r="F443" i="24"/>
  <c r="E442" i="24"/>
  <c r="V442" i="24" s="1"/>
  <c r="E561" i="24"/>
  <c r="D561" i="24"/>
  <c r="D559" i="24"/>
  <c r="F552" i="24"/>
  <c r="W552" i="24" s="1"/>
  <c r="E548" i="24"/>
  <c r="D547" i="24"/>
  <c r="U547" i="24" s="1"/>
  <c r="E538" i="24"/>
  <c r="V538" i="24" s="1"/>
  <c r="F536" i="24"/>
  <c r="W536" i="24" s="1"/>
  <c r="E535" i="24"/>
  <c r="V535" i="24" s="1"/>
  <c r="F529" i="24"/>
  <c r="W529" i="24" s="1"/>
  <c r="E528" i="24"/>
  <c r="V528" i="24" s="1"/>
  <c r="D527" i="24"/>
  <c r="D518" i="24"/>
  <c r="U518" i="24" s="1"/>
  <c r="F516" i="24"/>
  <c r="W516" i="24" s="1"/>
  <c r="E515" i="24"/>
  <c r="V515" i="24" s="1"/>
  <c r="E507" i="24"/>
  <c r="V507" i="24" s="1"/>
  <c r="E505" i="24"/>
  <c r="E503" i="24"/>
  <c r="V503" i="24" s="1"/>
  <c r="D497" i="24"/>
  <c r="U497" i="24" s="1"/>
  <c r="F495" i="24"/>
  <c r="D494" i="24"/>
  <c r="F487" i="24"/>
  <c r="W487" i="24" s="1"/>
  <c r="D486" i="24"/>
  <c r="U486" i="24" s="1"/>
  <c r="F484" i="24"/>
  <c r="W484" i="24" s="1"/>
  <c r="D473" i="24"/>
  <c r="U473" i="24" s="1"/>
  <c r="E471" i="24"/>
  <c r="V471" i="24" s="1"/>
  <c r="D470" i="24"/>
  <c r="D463" i="24"/>
  <c r="U463" i="24" s="1"/>
  <c r="F461" i="24"/>
  <c r="E460" i="24"/>
  <c r="F448" i="24"/>
  <c r="D446" i="24"/>
  <c r="U446" i="24" s="1"/>
  <c r="E444" i="24"/>
  <c r="V444" i="24" s="1"/>
  <c r="D438" i="24"/>
  <c r="U438" i="24" s="1"/>
  <c r="E436" i="24"/>
  <c r="V436" i="24" s="1"/>
  <c r="F560" i="24"/>
  <c r="E552" i="24"/>
  <c r="V552" i="24" s="1"/>
  <c r="D551" i="24"/>
  <c r="F549" i="24"/>
  <c r="W549" i="24" s="1"/>
  <c r="F539" i="24"/>
  <c r="W539" i="24" s="1"/>
  <c r="D538" i="24"/>
  <c r="U538" i="24" s="1"/>
  <c r="F533" i="24"/>
  <c r="W533" i="24" s="1"/>
  <c r="F522" i="24"/>
  <c r="W522" i="24" s="1"/>
  <c r="D521" i="24"/>
  <c r="U521" i="24" s="1"/>
  <c r="E519" i="24"/>
  <c r="V519" i="24" s="1"/>
  <c r="D509" i="24"/>
  <c r="D507" i="24"/>
  <c r="U507" i="24" s="1"/>
  <c r="D505" i="24"/>
  <c r="E495" i="24"/>
  <c r="V495" i="24" s="1"/>
  <c r="F493" i="24"/>
  <c r="D490" i="24"/>
  <c r="U490" i="24" s="1"/>
  <c r="F481" i="24"/>
  <c r="W481" i="24" s="1"/>
  <c r="E480" i="24"/>
  <c r="V480" i="24" s="1"/>
  <c r="E477" i="24"/>
  <c r="E468" i="24"/>
  <c r="V468" i="24" s="1"/>
  <c r="F466" i="24"/>
  <c r="W466" i="24" s="1"/>
  <c r="E465" i="24"/>
  <c r="V465" i="24" s="1"/>
  <c r="F458" i="24"/>
  <c r="W458" i="24" s="1"/>
  <c r="E457" i="24"/>
  <c r="V457" i="24" s="1"/>
  <c r="F455" i="24"/>
  <c r="F449" i="24"/>
  <c r="E448" i="24"/>
  <c r="V448" i="24" s="1"/>
  <c r="D447" i="24"/>
  <c r="U447" i="24" s="1"/>
  <c r="F437" i="24"/>
  <c r="D435" i="24"/>
  <c r="U435" i="24" s="1"/>
  <c r="E560" i="24"/>
  <c r="E542" i="24"/>
  <c r="F537" i="24"/>
  <c r="W537" i="24" s="1"/>
  <c r="E529" i="24"/>
  <c r="F504" i="24"/>
  <c r="W504" i="24" s="1"/>
  <c r="E499" i="24"/>
  <c r="F489" i="24"/>
  <c r="D468" i="24"/>
  <c r="D460" i="24"/>
  <c r="U460" i="24" s="1"/>
  <c r="D439" i="24"/>
  <c r="U439" i="24" s="1"/>
  <c r="E430" i="24"/>
  <c r="V430" i="24" s="1"/>
  <c r="F427" i="24"/>
  <c r="W427" i="24" s="1"/>
  <c r="E426" i="24"/>
  <c r="F415" i="24"/>
  <c r="W415" i="24" s="1"/>
  <c r="F412" i="24"/>
  <c r="W412" i="24" s="1"/>
  <c r="F408" i="24"/>
  <c r="W408" i="24" s="1"/>
  <c r="F402" i="24"/>
  <c r="W402" i="24" s="1"/>
  <c r="D401" i="24"/>
  <c r="U401" i="24" s="1"/>
  <c r="F399" i="24"/>
  <c r="E394" i="24"/>
  <c r="V394" i="24" s="1"/>
  <c r="D392" i="24"/>
  <c r="U392" i="24" s="1"/>
  <c r="F390" i="24"/>
  <c r="W390" i="24" s="1"/>
  <c r="D381" i="24"/>
  <c r="U381" i="24" s="1"/>
  <c r="E378" i="24"/>
  <c r="V378" i="24" s="1"/>
  <c r="D377" i="24"/>
  <c r="U377" i="24" s="1"/>
  <c r="F368" i="24"/>
  <c r="W368" i="24" s="1"/>
  <c r="E367" i="24"/>
  <c r="V367" i="24" s="1"/>
  <c r="D366" i="24"/>
  <c r="U366" i="24" s="1"/>
  <c r="E357" i="24"/>
  <c r="V357" i="24" s="1"/>
  <c r="E559" i="24"/>
  <c r="D550" i="24"/>
  <c r="D533" i="24"/>
  <c r="U533" i="24" s="1"/>
  <c r="E524" i="24"/>
  <c r="F515" i="24"/>
  <c r="D485" i="24"/>
  <c r="F480" i="24"/>
  <c r="W480" i="24" s="1"/>
  <c r="E476" i="24"/>
  <c r="E450" i="24"/>
  <c r="V450" i="24" s="1"/>
  <c r="E446" i="24"/>
  <c r="V446" i="24" s="1"/>
  <c r="E434" i="24"/>
  <c r="E424" i="24"/>
  <c r="E421" i="24"/>
  <c r="V421" i="24" s="1"/>
  <c r="F419" i="24"/>
  <c r="W419" i="24" s="1"/>
  <c r="E411" i="24"/>
  <c r="V411" i="24" s="1"/>
  <c r="D410" i="24"/>
  <c r="U410" i="24" s="1"/>
  <c r="E408" i="24"/>
  <c r="F396" i="24"/>
  <c r="W396" i="24" s="1"/>
  <c r="D393" i="24"/>
  <c r="U393" i="24" s="1"/>
  <c r="F391" i="24"/>
  <c r="W391" i="24" s="1"/>
  <c r="F379" i="24"/>
  <c r="W379" i="24" s="1"/>
  <c r="D378" i="24"/>
  <c r="U378" i="24" s="1"/>
  <c r="F376" i="24"/>
  <c r="W376" i="24" s="1"/>
  <c r="E371" i="24"/>
  <c r="V371" i="24" s="1"/>
  <c r="E368" i="24"/>
  <c r="V368" i="24" s="1"/>
  <c r="D367" i="24"/>
  <c r="U367" i="24" s="1"/>
  <c r="D360" i="24"/>
  <c r="U360" i="24" s="1"/>
  <c r="E558" i="24"/>
  <c r="E553" i="24"/>
  <c r="V553" i="24" s="1"/>
  <c r="E532" i="24"/>
  <c r="V532" i="24" s="1"/>
  <c r="D528" i="24"/>
  <c r="U528" i="24" s="1"/>
  <c r="F523" i="24"/>
  <c r="W523" i="24" s="1"/>
  <c r="F502" i="24"/>
  <c r="W502" i="24" s="1"/>
  <c r="D498" i="24"/>
  <c r="U498" i="24" s="1"/>
  <c r="E493" i="24"/>
  <c r="V493" i="24" s="1"/>
  <c r="D480" i="24"/>
  <c r="F475" i="24"/>
  <c r="D471" i="24"/>
  <c r="E466" i="24"/>
  <c r="V466" i="24" s="1"/>
  <c r="E462" i="24"/>
  <c r="E458" i="24"/>
  <c r="V458" i="24" s="1"/>
  <c r="D454" i="24"/>
  <c r="U454" i="24" s="1"/>
  <c r="E445" i="24"/>
  <c r="V445" i="24" s="1"/>
  <c r="F441" i="24"/>
  <c r="E437" i="24"/>
  <c r="V437" i="24" s="1"/>
  <c r="D433" i="24"/>
  <c r="E431" i="24"/>
  <c r="V431" i="24" s="1"/>
  <c r="D430" i="24"/>
  <c r="F428" i="24"/>
  <c r="E427" i="24"/>
  <c r="V427" i="24" s="1"/>
  <c r="F425" i="24"/>
  <c r="D424" i="24"/>
  <c r="E422" i="24"/>
  <c r="V422" i="24" s="1"/>
  <c r="D421" i="24"/>
  <c r="U421" i="24" s="1"/>
  <c r="D418" i="24"/>
  <c r="F416" i="24"/>
  <c r="W416" i="24" s="1"/>
  <c r="D414" i="24"/>
  <c r="E412" i="24"/>
  <c r="F409" i="24"/>
  <c r="W409" i="24" s="1"/>
  <c r="F406" i="24"/>
  <c r="W406" i="24" s="1"/>
  <c r="D405" i="24"/>
  <c r="F403" i="24"/>
  <c r="W403" i="24" s="1"/>
  <c r="D402" i="24"/>
  <c r="E399" i="24"/>
  <c r="D398" i="24"/>
  <c r="U398" i="24" s="1"/>
  <c r="E395" i="24"/>
  <c r="V395" i="24" s="1"/>
  <c r="D394" i="24"/>
  <c r="F392" i="24"/>
  <c r="W392" i="24" s="1"/>
  <c r="E390" i="24"/>
  <c r="V390" i="24" s="1"/>
  <c r="D389" i="24"/>
  <c r="F387" i="24"/>
  <c r="W387" i="24" s="1"/>
  <c r="D385" i="24"/>
  <c r="U385" i="24" s="1"/>
  <c r="D382" i="24"/>
  <c r="U382" i="24" s="1"/>
  <c r="F380" i="24"/>
  <c r="W380" i="24" s="1"/>
  <c r="E376" i="24"/>
  <c r="V376" i="24" s="1"/>
  <c r="D375" i="24"/>
  <c r="U375" i="24" s="1"/>
  <c r="F373" i="24"/>
  <c r="W373" i="24" s="1"/>
  <c r="E372" i="24"/>
  <c r="V372" i="24" s="1"/>
  <c r="D371" i="24"/>
  <c r="F369" i="24"/>
  <c r="W369" i="24" s="1"/>
  <c r="F365" i="24"/>
  <c r="W365" i="24" s="1"/>
  <c r="D364" i="24"/>
  <c r="U364" i="24" s="1"/>
  <c r="D361" i="24"/>
  <c r="U361" i="24" s="1"/>
  <c r="F359" i="24"/>
  <c r="W359" i="24" s="1"/>
  <c r="D548" i="24"/>
  <c r="F543" i="24"/>
  <c r="E539" i="24"/>
  <c r="V539" i="24" s="1"/>
  <c r="D535" i="24"/>
  <c r="U535" i="24" s="1"/>
  <c r="F530" i="24"/>
  <c r="W530" i="24" s="1"/>
  <c r="F526" i="24"/>
  <c r="W526" i="24" s="1"/>
  <c r="E522" i="24"/>
  <c r="F517" i="24"/>
  <c r="F512" i="24"/>
  <c r="W512" i="24" s="1"/>
  <c r="F506" i="24"/>
  <c r="W506" i="24" s="1"/>
  <c r="F500" i="24"/>
  <c r="E496" i="24"/>
  <c r="V496" i="24" s="1"/>
  <c r="F491" i="24"/>
  <c r="D487" i="24"/>
  <c r="F482" i="24"/>
  <c r="W482" i="24" s="1"/>
  <c r="F478" i="24"/>
  <c r="D474" i="24"/>
  <c r="U474" i="24" s="1"/>
  <c r="E469" i="24"/>
  <c r="D457" i="24"/>
  <c r="F452" i="24"/>
  <c r="W452" i="24" s="1"/>
  <c r="D444" i="24"/>
  <c r="U444" i="24" s="1"/>
  <c r="D436" i="24"/>
  <c r="E432" i="24"/>
  <c r="D431" i="24"/>
  <c r="F429" i="24"/>
  <c r="D425" i="24"/>
  <c r="U425" i="24" s="1"/>
  <c r="E423" i="24"/>
  <c r="D419" i="24"/>
  <c r="U419" i="24" s="1"/>
  <c r="E417" i="24"/>
  <c r="E416" i="24"/>
  <c r="E413" i="24"/>
  <c r="V413" i="24" s="1"/>
  <c r="D412" i="24"/>
  <c r="F410" i="24"/>
  <c r="F407" i="24"/>
  <c r="D406" i="24"/>
  <c r="U406" i="24" s="1"/>
  <c r="F404" i="24"/>
  <c r="D403" i="24"/>
  <c r="U403" i="24" s="1"/>
  <c r="F398" i="24"/>
  <c r="F394" i="24"/>
  <c r="E392" i="24"/>
  <c r="D390" i="24"/>
  <c r="U390" i="24" s="1"/>
  <c r="F388" i="24"/>
  <c r="W388" i="24" s="1"/>
  <c r="E387" i="24"/>
  <c r="V387" i="24" s="1"/>
  <c r="D386" i="24"/>
  <c r="U386" i="24" s="1"/>
  <c r="E384" i="24"/>
  <c r="V384" i="24" s="1"/>
  <c r="D383" i="24"/>
  <c r="U383" i="24" s="1"/>
  <c r="D379" i="24"/>
  <c r="U379" i="24" s="1"/>
  <c r="E377" i="24"/>
  <c r="V377" i="24" s="1"/>
  <c r="D376" i="24"/>
  <c r="U376" i="24" s="1"/>
  <c r="F374" i="24"/>
  <c r="W374" i="24" s="1"/>
  <c r="E373" i="24"/>
  <c r="V373" i="24" s="1"/>
  <c r="D372" i="24"/>
  <c r="U372" i="24" s="1"/>
  <c r="D369" i="24"/>
  <c r="U369" i="24" s="1"/>
  <c r="E366" i="24"/>
  <c r="V366" i="24" s="1"/>
  <c r="D365" i="24"/>
  <c r="U365" i="24" s="1"/>
  <c r="F363" i="24"/>
  <c r="W363" i="24" s="1"/>
  <c r="D362" i="24"/>
  <c r="F360" i="24"/>
  <c r="W360" i="24" s="1"/>
  <c r="E359" i="24"/>
  <c r="V359" i="24" s="1"/>
  <c r="E356" i="24"/>
  <c r="V356" i="24" s="1"/>
  <c r="D355" i="24"/>
  <c r="U355" i="24" s="1"/>
  <c r="F555" i="24"/>
  <c r="W555" i="24" s="1"/>
  <c r="E551" i="24"/>
  <c r="V551" i="24" s="1"/>
  <c r="D543" i="24"/>
  <c r="U543" i="24" s="1"/>
  <c r="F538" i="24"/>
  <c r="E534" i="24"/>
  <c r="V534" i="24" s="1"/>
  <c r="D530" i="24"/>
  <c r="U530" i="24" s="1"/>
  <c r="D526" i="24"/>
  <c r="U526" i="24" s="1"/>
  <c r="F521" i="24"/>
  <c r="W521" i="24" s="1"/>
  <c r="F511" i="24"/>
  <c r="W511" i="24" s="1"/>
  <c r="F505" i="24"/>
  <c r="D500" i="24"/>
  <c r="U500" i="24" s="1"/>
  <c r="F490" i="24"/>
  <c r="E486" i="24"/>
  <c r="D482" i="24"/>
  <c r="U482" i="24" s="1"/>
  <c r="F477" i="24"/>
  <c r="W477" i="24" s="1"/>
  <c r="E464" i="24"/>
  <c r="E456" i="24"/>
  <c r="F451" i="24"/>
  <c r="E447" i="24"/>
  <c r="V447" i="24" s="1"/>
  <c r="E443" i="24"/>
  <c r="V443" i="24" s="1"/>
  <c r="F439" i="24"/>
  <c r="E435" i="24"/>
  <c r="V435" i="24" s="1"/>
  <c r="F433" i="24"/>
  <c r="F430" i="24"/>
  <c r="E429" i="24"/>
  <c r="V429" i="24" s="1"/>
  <c r="D428" i="24"/>
  <c r="U428" i="24" s="1"/>
  <c r="F426" i="24"/>
  <c r="F424" i="24"/>
  <c r="W424" i="24" s="1"/>
  <c r="D423" i="24"/>
  <c r="U423" i="24" s="1"/>
  <c r="F421" i="24"/>
  <c r="E420" i="24"/>
  <c r="F418" i="24"/>
  <c r="W418" i="24" s="1"/>
  <c r="D416" i="24"/>
  <c r="F414" i="24"/>
  <c r="W414" i="24" s="1"/>
  <c r="D413" i="24"/>
  <c r="F411" i="24"/>
  <c r="E410" i="24"/>
  <c r="D409" i="24"/>
  <c r="U409" i="24" s="1"/>
  <c r="E407" i="24"/>
  <c r="E404" i="24"/>
  <c r="V404" i="24" s="1"/>
  <c r="E401" i="24"/>
  <c r="D400" i="24"/>
  <c r="U400" i="24" s="1"/>
  <c r="E397" i="24"/>
  <c r="V397" i="24" s="1"/>
  <c r="D396" i="24"/>
  <c r="U396" i="24" s="1"/>
  <c r="E393" i="24"/>
  <c r="V393" i="24" s="1"/>
  <c r="D391" i="24"/>
  <c r="U391" i="24" s="1"/>
  <c r="F389" i="24"/>
  <c r="W389" i="24" s="1"/>
  <c r="E388" i="24"/>
  <c r="V388" i="24" s="1"/>
  <c r="D387" i="24"/>
  <c r="U387" i="24" s="1"/>
  <c r="F385" i="24"/>
  <c r="W385" i="24" s="1"/>
  <c r="D384" i="24"/>
  <c r="U384" i="24" s="1"/>
  <c r="F382" i="24"/>
  <c r="W382" i="24" s="1"/>
  <c r="E381" i="24"/>
  <c r="V381" i="24" s="1"/>
  <c r="D380" i="24"/>
  <c r="U380" i="24" s="1"/>
  <c r="F378" i="24"/>
  <c r="W378" i="24" s="1"/>
  <c r="F375" i="24"/>
  <c r="W375" i="24" s="1"/>
  <c r="D373" i="24"/>
  <c r="U373" i="24" s="1"/>
  <c r="E370" i="24"/>
  <c r="V370" i="24" s="1"/>
  <c r="F367" i="24"/>
  <c r="W367" i="24" s="1"/>
  <c r="F364" i="24"/>
  <c r="W364" i="24" s="1"/>
  <c r="E363" i="24"/>
  <c r="V363" i="24" s="1"/>
  <c r="E360" i="24"/>
  <c r="V360" i="24" s="1"/>
  <c r="D359" i="24"/>
  <c r="U359" i="24" s="1"/>
  <c r="F357" i="24"/>
  <c r="W357" i="24" s="1"/>
  <c r="D356" i="24"/>
  <c r="U356" i="24" s="1"/>
  <c r="E557" i="24"/>
  <c r="F501" i="24"/>
  <c r="W501" i="24" s="1"/>
  <c r="D475" i="24"/>
  <c r="U475" i="24" s="1"/>
  <c r="D449" i="24"/>
  <c r="U449" i="24" s="1"/>
  <c r="D422" i="24"/>
  <c r="U422" i="24" s="1"/>
  <c r="F413" i="24"/>
  <c r="E396" i="24"/>
  <c r="E380" i="24"/>
  <c r="V380" i="24" s="1"/>
  <c r="D358" i="24"/>
  <c r="U358" i="24" s="1"/>
  <c r="E355" i="24"/>
  <c r="V355" i="24" s="1"/>
  <c r="E352" i="24"/>
  <c r="V352" i="24" s="1"/>
  <c r="D351" i="24"/>
  <c r="U351" i="24" s="1"/>
  <c r="F349" i="24"/>
  <c r="W349" i="24" s="1"/>
  <c r="D347" i="24"/>
  <c r="U347" i="24" s="1"/>
  <c r="F344" i="24"/>
  <c r="W344" i="24" s="1"/>
  <c r="E342" i="24"/>
  <c r="V342" i="24" s="1"/>
  <c r="F339" i="24"/>
  <c r="W339" i="24" s="1"/>
  <c r="E338" i="24"/>
  <c r="V338" i="24" s="1"/>
  <c r="E335" i="24"/>
  <c r="V335" i="24" s="1"/>
  <c r="E331" i="24"/>
  <c r="V331" i="24" s="1"/>
  <c r="D330" i="24"/>
  <c r="U330" i="24" s="1"/>
  <c r="F328" i="24"/>
  <c r="W328" i="24" s="1"/>
  <c r="E327" i="24"/>
  <c r="V327" i="24" s="1"/>
  <c r="E324" i="24"/>
  <c r="V324" i="24" s="1"/>
  <c r="D323" i="24"/>
  <c r="U323" i="24" s="1"/>
  <c r="D320" i="24"/>
  <c r="U320" i="24" s="1"/>
  <c r="E318" i="24"/>
  <c r="V318" i="24" s="1"/>
  <c r="F316" i="24"/>
  <c r="W316" i="24" s="1"/>
  <c r="E315" i="24"/>
  <c r="V315" i="24" s="1"/>
  <c r="F313" i="24"/>
  <c r="W313" i="24" s="1"/>
  <c r="D312" i="24"/>
  <c r="U312" i="24" s="1"/>
  <c r="E310" i="24"/>
  <c r="V310" i="24" s="1"/>
  <c r="D309" i="24"/>
  <c r="U309" i="24" s="1"/>
  <c r="E307" i="24"/>
  <c r="V307" i="24" s="1"/>
  <c r="D306" i="24"/>
  <c r="U306" i="24" s="1"/>
  <c r="D303" i="24"/>
  <c r="U303" i="24" s="1"/>
  <c r="E301" i="24"/>
  <c r="V301" i="24" s="1"/>
  <c r="F299" i="24"/>
  <c r="W299" i="24" s="1"/>
  <c r="F297" i="24"/>
  <c r="W297" i="24" s="1"/>
  <c r="F295" i="24"/>
  <c r="W295" i="24" s="1"/>
  <c r="F293" i="24"/>
  <c r="W293" i="24" s="1"/>
  <c r="F291" i="24"/>
  <c r="W291" i="24" s="1"/>
  <c r="F289" i="24"/>
  <c r="W289" i="24" s="1"/>
  <c r="D288" i="24"/>
  <c r="U288" i="24" s="1"/>
  <c r="E286" i="24"/>
  <c r="V286" i="24" s="1"/>
  <c r="E284" i="24"/>
  <c r="V284" i="24" s="1"/>
  <c r="D281" i="24"/>
  <c r="U281" i="24" s="1"/>
  <c r="D279" i="24"/>
  <c r="U279" i="24" s="1"/>
  <c r="E277" i="24"/>
  <c r="V277" i="24" s="1"/>
  <c r="E275" i="24"/>
  <c r="V275" i="24" s="1"/>
  <c r="F271" i="24"/>
  <c r="W271" i="24" s="1"/>
  <c r="F269" i="24"/>
  <c r="W269" i="24" s="1"/>
  <c r="F267" i="24"/>
  <c r="W267" i="24" s="1"/>
  <c r="E266" i="24"/>
  <c r="V266" i="24" s="1"/>
  <c r="E264" i="24"/>
  <c r="V264" i="24" s="1"/>
  <c r="D263" i="24"/>
  <c r="U263" i="24" s="1"/>
  <c r="E261" i="24"/>
  <c r="V261" i="24" s="1"/>
  <c r="D260" i="24"/>
  <c r="U260" i="24" s="1"/>
  <c r="F258" i="24"/>
  <c r="W258" i="24" s="1"/>
  <c r="E497" i="24"/>
  <c r="E470" i="24"/>
  <c r="V470" i="24" s="1"/>
  <c r="F444" i="24"/>
  <c r="W444" i="24" s="1"/>
  <c r="F420" i="24"/>
  <c r="W420" i="24" s="1"/>
  <c r="E403" i="24"/>
  <c r="D395" i="24"/>
  <c r="U395" i="24" s="1"/>
  <c r="E379" i="24"/>
  <c r="V379" i="24" s="1"/>
  <c r="F370" i="24"/>
  <c r="W370" i="24" s="1"/>
  <c r="E362" i="24"/>
  <c r="V362" i="24" s="1"/>
  <c r="D357" i="24"/>
  <c r="U357" i="24" s="1"/>
  <c r="F354" i="24"/>
  <c r="W354" i="24" s="1"/>
  <c r="E353" i="24"/>
  <c r="V353" i="24" s="1"/>
  <c r="D352" i="24"/>
  <c r="U352" i="24" s="1"/>
  <c r="E348" i="24"/>
  <c r="V348" i="24" s="1"/>
  <c r="F345" i="24"/>
  <c r="W345" i="24" s="1"/>
  <c r="E343" i="24"/>
  <c r="V343" i="24" s="1"/>
  <c r="D342" i="24"/>
  <c r="U342" i="24" s="1"/>
  <c r="F340" i="24"/>
  <c r="W340" i="24" s="1"/>
  <c r="E339" i="24"/>
  <c r="V339" i="24" s="1"/>
  <c r="D338" i="24"/>
  <c r="U338" i="24" s="1"/>
  <c r="F336" i="24"/>
  <c r="W336" i="24" s="1"/>
  <c r="D335" i="24"/>
  <c r="U335" i="24" s="1"/>
  <c r="D334" i="24"/>
  <c r="U334" i="24" s="1"/>
  <c r="F332" i="24"/>
  <c r="W332" i="24" s="1"/>
  <c r="D331" i="24"/>
  <c r="U331" i="24" s="1"/>
  <c r="E328" i="24"/>
  <c r="V328" i="24" s="1"/>
  <c r="D327" i="24"/>
  <c r="U327" i="24" s="1"/>
  <c r="F325" i="24"/>
  <c r="W325" i="24" s="1"/>
  <c r="F321" i="24"/>
  <c r="W321" i="24" s="1"/>
  <c r="E316" i="24"/>
  <c r="V316" i="24" s="1"/>
  <c r="D315" i="24"/>
  <c r="U315" i="24" s="1"/>
  <c r="E313" i="24"/>
  <c r="V313" i="24" s="1"/>
  <c r="F311" i="24"/>
  <c r="W311" i="24" s="1"/>
  <c r="F308" i="24"/>
  <c r="W308" i="24" s="1"/>
  <c r="F305" i="24"/>
  <c r="W305" i="24" s="1"/>
  <c r="E304" i="24"/>
  <c r="V304" i="24" s="1"/>
  <c r="F302" i="24"/>
  <c r="W302" i="24" s="1"/>
  <c r="D301" i="24"/>
  <c r="U301" i="24" s="1"/>
  <c r="E299" i="24"/>
  <c r="V299" i="24" s="1"/>
  <c r="E297" i="24"/>
  <c r="V297" i="24" s="1"/>
  <c r="E295" i="24"/>
  <c r="V295" i="24" s="1"/>
  <c r="E293" i="24"/>
  <c r="V293" i="24" s="1"/>
  <c r="E291" i="24"/>
  <c r="V291" i="24" s="1"/>
  <c r="E289" i="24"/>
  <c r="V289" i="24" s="1"/>
  <c r="F287" i="24"/>
  <c r="W287" i="24" s="1"/>
  <c r="D286" i="24"/>
  <c r="U286" i="24" s="1"/>
  <c r="D284" i="24"/>
  <c r="U284" i="24" s="1"/>
  <c r="E282" i="24"/>
  <c r="V282" i="24" s="1"/>
  <c r="F280" i="24"/>
  <c r="W280" i="24" s="1"/>
  <c r="F278" i="24"/>
  <c r="W278" i="24" s="1"/>
  <c r="D277" i="24"/>
  <c r="U277" i="24" s="1"/>
  <c r="D275" i="24"/>
  <c r="U275" i="24" s="1"/>
  <c r="E273" i="24"/>
  <c r="V273" i="24" s="1"/>
  <c r="E271" i="24"/>
  <c r="V271" i="24" s="1"/>
  <c r="E269" i="24"/>
  <c r="V269" i="24" s="1"/>
  <c r="D266" i="24"/>
  <c r="U266" i="24" s="1"/>
  <c r="F262" i="24"/>
  <c r="W262" i="24" s="1"/>
  <c r="F259" i="24"/>
  <c r="W259" i="24" s="1"/>
  <c r="E258" i="24"/>
  <c r="V258" i="24" s="1"/>
  <c r="D540" i="24"/>
  <c r="F513" i="24"/>
  <c r="W513" i="24" s="1"/>
  <c r="E483" i="24"/>
  <c r="F457" i="24"/>
  <c r="W457" i="24" s="1"/>
  <c r="D434" i="24"/>
  <c r="U434" i="24" s="1"/>
  <c r="E425" i="24"/>
  <c r="V425" i="24" s="1"/>
  <c r="D408" i="24"/>
  <c r="U408" i="24" s="1"/>
  <c r="D399" i="24"/>
  <c r="U399" i="24" s="1"/>
  <c r="E391" i="24"/>
  <c r="V391" i="24" s="1"/>
  <c r="E383" i="24"/>
  <c r="V383" i="24" s="1"/>
  <c r="F366" i="24"/>
  <c r="W366" i="24" s="1"/>
  <c r="F355" i="24"/>
  <c r="W355" i="24" s="1"/>
  <c r="D354" i="24"/>
  <c r="U354" i="24" s="1"/>
  <c r="F352" i="24"/>
  <c r="W352" i="24" s="1"/>
  <c r="E350" i="24"/>
  <c r="V350" i="24" s="1"/>
  <c r="E346" i="24"/>
  <c r="V346" i="24" s="1"/>
  <c r="D345" i="24"/>
  <c r="U345" i="24" s="1"/>
  <c r="F342" i="24"/>
  <c r="W342" i="24" s="1"/>
  <c r="E341" i="24"/>
  <c r="V341" i="24" s="1"/>
  <c r="D340" i="24"/>
  <c r="U340" i="24" s="1"/>
  <c r="F338" i="24"/>
  <c r="W338" i="24" s="1"/>
  <c r="E337" i="24"/>
  <c r="V337" i="24" s="1"/>
  <c r="D336" i="24"/>
  <c r="U336" i="24" s="1"/>
  <c r="E333" i="24"/>
  <c r="V333" i="24" s="1"/>
  <c r="E330" i="24"/>
  <c r="V330" i="24" s="1"/>
  <c r="D329" i="24"/>
  <c r="U329" i="24" s="1"/>
  <c r="E326" i="24"/>
  <c r="V326" i="24" s="1"/>
  <c r="F323" i="24"/>
  <c r="W323" i="24" s="1"/>
  <c r="F320" i="24"/>
  <c r="W320" i="24" s="1"/>
  <c r="D319" i="24"/>
  <c r="U319" i="24" s="1"/>
  <c r="E317" i="24"/>
  <c r="V317" i="24" s="1"/>
  <c r="D314" i="24"/>
  <c r="U314" i="24" s="1"/>
  <c r="E312" i="24"/>
  <c r="V312" i="24" s="1"/>
  <c r="D311" i="24"/>
  <c r="U311" i="24" s="1"/>
  <c r="E309" i="24"/>
  <c r="V309" i="24" s="1"/>
  <c r="D308" i="24"/>
  <c r="U308" i="24" s="1"/>
  <c r="E306" i="24"/>
  <c r="V306" i="24" s="1"/>
  <c r="D305" i="24"/>
  <c r="U305" i="24" s="1"/>
  <c r="D302" i="24"/>
  <c r="U302" i="24" s="1"/>
  <c r="E300" i="24"/>
  <c r="V300" i="24" s="1"/>
  <c r="E298" i="24"/>
  <c r="V298" i="24" s="1"/>
  <c r="E296" i="24"/>
  <c r="V296" i="24" s="1"/>
  <c r="E294" i="24"/>
  <c r="V294" i="24" s="1"/>
  <c r="E292" i="24"/>
  <c r="V292" i="24" s="1"/>
  <c r="E290" i="24"/>
  <c r="V290" i="24" s="1"/>
  <c r="D287" i="24"/>
  <c r="U287" i="24" s="1"/>
  <c r="D285" i="24"/>
  <c r="U285" i="24" s="1"/>
  <c r="D283" i="24"/>
  <c r="U283" i="24" s="1"/>
  <c r="F279" i="24"/>
  <c r="W279" i="24" s="1"/>
  <c r="D278" i="24"/>
  <c r="U278" i="24" s="1"/>
  <c r="D276" i="24"/>
  <c r="U276" i="24" s="1"/>
  <c r="D274" i="24"/>
  <c r="U274" i="24" s="1"/>
  <c r="E272" i="24"/>
  <c r="V272" i="24" s="1"/>
  <c r="E270" i="24"/>
  <c r="V270" i="24" s="1"/>
  <c r="E268" i="24"/>
  <c r="V268" i="24" s="1"/>
  <c r="F266" i="24"/>
  <c r="W266" i="24" s="1"/>
  <c r="D265" i="24"/>
  <c r="U265" i="24" s="1"/>
  <c r="E263" i="24"/>
  <c r="V263" i="24" s="1"/>
  <c r="D262" i="24"/>
  <c r="U262" i="24" s="1"/>
  <c r="E260" i="24"/>
  <c r="V260" i="24" s="1"/>
  <c r="D259" i="24"/>
  <c r="U259" i="24" s="1"/>
  <c r="E257" i="24"/>
  <c r="V257" i="24" s="1"/>
  <c r="F253" i="24"/>
  <c r="W253" i="24" s="1"/>
  <c r="D252" i="24"/>
  <c r="U252" i="24" s="1"/>
  <c r="E250" i="24"/>
  <c r="V250" i="24" s="1"/>
  <c r="D249" i="24"/>
  <c r="U249" i="24" s="1"/>
  <c r="E247" i="24"/>
  <c r="V247" i="24" s="1"/>
  <c r="F507" i="24"/>
  <c r="W507" i="24" s="1"/>
  <c r="E479" i="24"/>
  <c r="V479" i="24" s="1"/>
  <c r="E453" i="24"/>
  <c r="V453" i="24" s="1"/>
  <c r="F432" i="24"/>
  <c r="W432" i="24" s="1"/>
  <c r="F423" i="24"/>
  <c r="W423" i="24" s="1"/>
  <c r="D415" i="24"/>
  <c r="E406" i="24"/>
  <c r="F397" i="24"/>
  <c r="F381" i="24"/>
  <c r="W381" i="24" s="1"/>
  <c r="E365" i="24"/>
  <c r="V365" i="24" s="1"/>
  <c r="E358" i="24"/>
  <c r="V358" i="24" s="1"/>
  <c r="F353" i="24"/>
  <c r="W353" i="24" s="1"/>
  <c r="E351" i="24"/>
  <c r="V351" i="24" s="1"/>
  <c r="D350" i="24"/>
  <c r="U350" i="24" s="1"/>
  <c r="F348" i="24"/>
  <c r="W348" i="24" s="1"/>
  <c r="E347" i="24"/>
  <c r="V347" i="24" s="1"/>
  <c r="D346" i="24"/>
  <c r="U346" i="24" s="1"/>
  <c r="F343" i="24"/>
  <c r="W343" i="24" s="1"/>
  <c r="D341" i="24"/>
  <c r="U341" i="24" s="1"/>
  <c r="D337" i="24"/>
  <c r="U337" i="24" s="1"/>
  <c r="F335" i="24"/>
  <c r="W335" i="24" s="1"/>
  <c r="E334" i="24"/>
  <c r="V334" i="24" s="1"/>
  <c r="D333" i="24"/>
  <c r="U333" i="24" s="1"/>
  <c r="F331" i="24"/>
  <c r="W331" i="24" s="1"/>
  <c r="F327" i="24"/>
  <c r="W327" i="24" s="1"/>
  <c r="D326" i="24"/>
  <c r="U326" i="24" s="1"/>
  <c r="F324" i="24"/>
  <c r="W324" i="24" s="1"/>
  <c r="E323" i="24"/>
  <c r="V323" i="24" s="1"/>
  <c r="D322" i="24"/>
  <c r="U322" i="24" s="1"/>
  <c r="E320" i="24"/>
  <c r="V320" i="24" s="1"/>
  <c r="F318" i="24"/>
  <c r="W318" i="24" s="1"/>
  <c r="D317" i="24"/>
  <c r="U317" i="24" s="1"/>
  <c r="F315" i="24"/>
  <c r="F310" i="24"/>
  <c r="F307" i="24"/>
  <c r="W307" i="24" s="1"/>
  <c r="F304" i="24"/>
  <c r="W304" i="24" s="1"/>
  <c r="E303" i="24"/>
  <c r="F301" i="24"/>
  <c r="W301" i="24" s="1"/>
  <c r="D300" i="24"/>
  <c r="U300" i="24" s="1"/>
  <c r="D298" i="24"/>
  <c r="U298" i="24" s="1"/>
  <c r="D296" i="24"/>
  <c r="U296" i="24" s="1"/>
  <c r="D294" i="24"/>
  <c r="U294" i="24" s="1"/>
  <c r="D292" i="24"/>
  <c r="U292" i="24" s="1"/>
  <c r="D290" i="24"/>
  <c r="U290" i="24" s="1"/>
  <c r="E288" i="24"/>
  <c r="V288" i="24" s="1"/>
  <c r="F286" i="24"/>
  <c r="F284" i="24"/>
  <c r="W284" i="24" s="1"/>
  <c r="F282" i="24"/>
  <c r="W282" i="24" s="1"/>
  <c r="E281" i="24"/>
  <c r="V281" i="24" s="1"/>
  <c r="E279" i="24"/>
  <c r="V279" i="24" s="1"/>
  <c r="F277" i="24"/>
  <c r="F275" i="24"/>
  <c r="F273" i="24"/>
  <c r="W273" i="24" s="1"/>
  <c r="D272" i="24"/>
  <c r="U272" i="24" s="1"/>
  <c r="D270" i="24"/>
  <c r="D268" i="24"/>
  <c r="U268" i="24" s="1"/>
  <c r="F264" i="24"/>
  <c r="W264" i="24" s="1"/>
  <c r="F261" i="24"/>
  <c r="W261" i="24" s="1"/>
  <c r="D256" i="24"/>
  <c r="U256" i="24" s="1"/>
  <c r="F254" i="24"/>
  <c r="W254" i="24" s="1"/>
  <c r="E253" i="24"/>
  <c r="F251" i="24"/>
  <c r="W251" i="24" s="1"/>
  <c r="F248" i="24"/>
  <c r="W248" i="24" s="1"/>
  <c r="F548" i="24"/>
  <c r="E419" i="24"/>
  <c r="V419" i="24" s="1"/>
  <c r="F393" i="24"/>
  <c r="W393" i="24" s="1"/>
  <c r="E369" i="24"/>
  <c r="V369" i="24" s="1"/>
  <c r="F350" i="24"/>
  <c r="W350" i="24" s="1"/>
  <c r="F346" i="24"/>
  <c r="W346" i="24" s="1"/>
  <c r="D343" i="24"/>
  <c r="U343" i="24" s="1"/>
  <c r="D339" i="24"/>
  <c r="U339" i="24" s="1"/>
  <c r="F322" i="24"/>
  <c r="W322" i="24" s="1"/>
  <c r="D318" i="24"/>
  <c r="U318" i="24" s="1"/>
  <c r="D313" i="24"/>
  <c r="U313" i="24" s="1"/>
  <c r="E308" i="24"/>
  <c r="V308" i="24" s="1"/>
  <c r="D304" i="24"/>
  <c r="U304" i="24" s="1"/>
  <c r="D299" i="24"/>
  <c r="U299" i="24" s="1"/>
  <c r="D293" i="24"/>
  <c r="D282" i="24"/>
  <c r="U282" i="24" s="1"/>
  <c r="F276" i="24"/>
  <c r="W276" i="24" s="1"/>
  <c r="D271" i="24"/>
  <c r="U271" i="24" s="1"/>
  <c r="E265" i="24"/>
  <c r="V265" i="24" s="1"/>
  <c r="D261" i="24"/>
  <c r="U261" i="24" s="1"/>
  <c r="D257" i="24"/>
  <c r="U257" i="24" s="1"/>
  <c r="E255" i="24"/>
  <c r="V255" i="24" s="1"/>
  <c r="D253" i="24"/>
  <c r="U253" i="24" s="1"/>
  <c r="D251" i="24"/>
  <c r="U251" i="24" s="1"/>
  <c r="E248" i="24"/>
  <c r="V248" i="24" s="1"/>
  <c r="F246" i="24"/>
  <c r="W246" i="24" s="1"/>
  <c r="D244" i="24"/>
  <c r="U244" i="24" s="1"/>
  <c r="D243" i="24"/>
  <c r="U243" i="24" s="1"/>
  <c r="D242" i="24"/>
  <c r="D241" i="24"/>
  <c r="U241" i="24" s="1"/>
  <c r="F239" i="24"/>
  <c r="W239" i="24" s="1"/>
  <c r="E238" i="24"/>
  <c r="V238" i="24" s="1"/>
  <c r="F234" i="24"/>
  <c r="D232" i="24"/>
  <c r="D229" i="24"/>
  <c r="U229" i="24" s="1"/>
  <c r="F227" i="24"/>
  <c r="W227" i="24" s="1"/>
  <c r="F224" i="24"/>
  <c r="W224" i="24" s="1"/>
  <c r="F221" i="24"/>
  <c r="W221" i="24" s="1"/>
  <c r="F218" i="24"/>
  <c r="W218" i="24" s="1"/>
  <c r="E217" i="24"/>
  <c r="V217" i="24" s="1"/>
  <c r="E214" i="24"/>
  <c r="V214" i="24" s="1"/>
  <c r="F212" i="24"/>
  <c r="W212" i="24" s="1"/>
  <c r="E211" i="24"/>
  <c r="V211" i="24" s="1"/>
  <c r="E210" i="24"/>
  <c r="V210" i="24" s="1"/>
  <c r="E209" i="24"/>
  <c r="V209" i="24" s="1"/>
  <c r="D208" i="24"/>
  <c r="U208" i="24" s="1"/>
  <c r="E206" i="24"/>
  <c r="V206" i="24" s="1"/>
  <c r="D205" i="24"/>
  <c r="U205" i="24" s="1"/>
  <c r="F203" i="24"/>
  <c r="W203" i="24" s="1"/>
  <c r="D201" i="24"/>
  <c r="U201" i="24" s="1"/>
  <c r="E199" i="24"/>
  <c r="D197" i="24"/>
  <c r="D194" i="24"/>
  <c r="U194" i="24" s="1"/>
  <c r="F191" i="24"/>
  <c r="W191" i="24" s="1"/>
  <c r="D189" i="24"/>
  <c r="U189" i="24" s="1"/>
  <c r="D187" i="24"/>
  <c r="U187" i="24" s="1"/>
  <c r="D185" i="24"/>
  <c r="U185" i="24" s="1"/>
  <c r="D181" i="24"/>
  <c r="U181" i="24" s="1"/>
  <c r="F179" i="24"/>
  <c r="W179" i="24" s="1"/>
  <c r="D177" i="24"/>
  <c r="U177" i="24" s="1"/>
  <c r="E175" i="24"/>
  <c r="V175" i="24" s="1"/>
  <c r="D173" i="24"/>
  <c r="U173" i="24" s="1"/>
  <c r="D170" i="24"/>
  <c r="U170" i="24" s="1"/>
  <c r="F167" i="24"/>
  <c r="W167" i="24" s="1"/>
  <c r="D165" i="24"/>
  <c r="D163" i="24"/>
  <c r="U163" i="24" s="1"/>
  <c r="D161" i="24"/>
  <c r="U161" i="24" s="1"/>
  <c r="D159" i="24"/>
  <c r="U159" i="24" s="1"/>
  <c r="E155" i="24"/>
  <c r="D151" i="24"/>
  <c r="F148" i="24"/>
  <c r="W148" i="24" s="1"/>
  <c r="E147" i="24"/>
  <c r="V147" i="24" s="1"/>
  <c r="E145" i="24"/>
  <c r="V145" i="24" s="1"/>
  <c r="E142" i="24"/>
  <c r="V142" i="24" s="1"/>
  <c r="F140" i="24"/>
  <c r="W140" i="24" s="1"/>
  <c r="D139" i="24"/>
  <c r="U139" i="24" s="1"/>
  <c r="D137" i="24"/>
  <c r="D135" i="24"/>
  <c r="U135" i="24" s="1"/>
  <c r="D129" i="24"/>
  <c r="U129" i="24" s="1"/>
  <c r="F127" i="24"/>
  <c r="W127" i="24" s="1"/>
  <c r="D126" i="24"/>
  <c r="D125" i="24"/>
  <c r="U125" i="24" s="1"/>
  <c r="F123" i="24"/>
  <c r="D122" i="24"/>
  <c r="U122" i="24" s="1"/>
  <c r="F118" i="24"/>
  <c r="W118" i="24" s="1"/>
  <c r="E117" i="24"/>
  <c r="V117" i="24" s="1"/>
  <c r="D116" i="24"/>
  <c r="F114" i="24"/>
  <c r="W114" i="24" s="1"/>
  <c r="E113" i="24"/>
  <c r="V113" i="24" s="1"/>
  <c r="F417" i="24"/>
  <c r="D368" i="24"/>
  <c r="U368" i="24" s="1"/>
  <c r="E354" i="24"/>
  <c r="V354" i="24" s="1"/>
  <c r="F334" i="24"/>
  <c r="W334" i="24" s="1"/>
  <c r="F330" i="24"/>
  <c r="W330" i="24" s="1"/>
  <c r="F326" i="24"/>
  <c r="W326" i="24" s="1"/>
  <c r="E322" i="24"/>
  <c r="V322" i="24" s="1"/>
  <c r="F317" i="24"/>
  <c r="W317" i="24" s="1"/>
  <c r="F312" i="24"/>
  <c r="W312" i="24" s="1"/>
  <c r="F303" i="24"/>
  <c r="W303" i="24" s="1"/>
  <c r="F298" i="24"/>
  <c r="W298" i="24" s="1"/>
  <c r="F292" i="24"/>
  <c r="W292" i="24" s="1"/>
  <c r="E287" i="24"/>
  <c r="V287" i="24" s="1"/>
  <c r="F281" i="24"/>
  <c r="W281" i="24" s="1"/>
  <c r="E276" i="24"/>
  <c r="V276" i="24" s="1"/>
  <c r="F270" i="24"/>
  <c r="W270" i="24" s="1"/>
  <c r="F260" i="24"/>
  <c r="W260" i="24" s="1"/>
  <c r="D255" i="24"/>
  <c r="U255" i="24" s="1"/>
  <c r="F252" i="24"/>
  <c r="W252" i="24" s="1"/>
  <c r="F250" i="24"/>
  <c r="W250" i="24" s="1"/>
  <c r="D245" i="24"/>
  <c r="U245" i="24" s="1"/>
  <c r="F240" i="24"/>
  <c r="W240" i="24" s="1"/>
  <c r="E239" i="24"/>
  <c r="V239" i="24" s="1"/>
  <c r="D237" i="24"/>
  <c r="F235" i="24"/>
  <c r="W235" i="24" s="1"/>
  <c r="E234" i="24"/>
  <c r="V234" i="24" s="1"/>
  <c r="D233" i="24"/>
  <c r="U233" i="24" s="1"/>
  <c r="F231" i="24"/>
  <c r="W231" i="24" s="1"/>
  <c r="E230" i="24"/>
  <c r="V230" i="24" s="1"/>
  <c r="F228" i="24"/>
  <c r="W228" i="24" s="1"/>
  <c r="E227" i="24"/>
  <c r="D226" i="24"/>
  <c r="U226" i="24" s="1"/>
  <c r="E224" i="24"/>
  <c r="V224" i="24" s="1"/>
  <c r="D223" i="24"/>
  <c r="U223" i="24" s="1"/>
  <c r="E221" i="24"/>
  <c r="D220" i="24"/>
  <c r="U220" i="24" s="1"/>
  <c r="D217" i="24"/>
  <c r="U217" i="24" s="1"/>
  <c r="F215" i="24"/>
  <c r="W215" i="24" s="1"/>
  <c r="D209" i="24"/>
  <c r="U209" i="24" s="1"/>
  <c r="D206" i="24"/>
  <c r="U206" i="24" s="1"/>
  <c r="F204" i="24"/>
  <c r="W204" i="24" s="1"/>
  <c r="E202" i="24"/>
  <c r="V202" i="24" s="1"/>
  <c r="F200" i="24"/>
  <c r="W200" i="24" s="1"/>
  <c r="D198" i="24"/>
  <c r="U198" i="24" s="1"/>
  <c r="F195" i="24"/>
  <c r="W195" i="24" s="1"/>
  <c r="F192" i="24"/>
  <c r="W192" i="24" s="1"/>
  <c r="E190" i="24"/>
  <c r="F188" i="24"/>
  <c r="W188" i="24" s="1"/>
  <c r="F186" i="24"/>
  <c r="W186" i="24" s="1"/>
  <c r="F184" i="24"/>
  <c r="D183" i="24"/>
  <c r="U183" i="24" s="1"/>
  <c r="D182" i="24"/>
  <c r="U182" i="24" s="1"/>
  <c r="F180" i="24"/>
  <c r="W180" i="24" s="1"/>
  <c r="F178" i="24"/>
  <c r="W178" i="24" s="1"/>
  <c r="F176" i="24"/>
  <c r="W176" i="24" s="1"/>
  <c r="D174" i="24"/>
  <c r="U174" i="24" s="1"/>
  <c r="F171" i="24"/>
  <c r="W171" i="24" s="1"/>
  <c r="F168" i="24"/>
  <c r="W168" i="24" s="1"/>
  <c r="E166" i="24"/>
  <c r="V166" i="24" s="1"/>
  <c r="F164" i="24"/>
  <c r="W164" i="24" s="1"/>
  <c r="F162" i="24"/>
  <c r="W162" i="24" s="1"/>
  <c r="F160" i="24"/>
  <c r="W160" i="24" s="1"/>
  <c r="F158" i="24"/>
  <c r="W158" i="24" s="1"/>
  <c r="E157" i="24"/>
  <c r="V157" i="24" s="1"/>
  <c r="E156" i="24"/>
  <c r="V156" i="24" s="1"/>
  <c r="D154" i="24"/>
  <c r="U154" i="24" s="1"/>
  <c r="E152" i="24"/>
  <c r="V152" i="24" s="1"/>
  <c r="F149" i="24"/>
  <c r="W149" i="24" s="1"/>
  <c r="E148" i="24"/>
  <c r="V148" i="24" s="1"/>
  <c r="D147" i="24"/>
  <c r="U147" i="24" s="1"/>
  <c r="D145" i="24"/>
  <c r="U145" i="24" s="1"/>
  <c r="F143" i="24"/>
  <c r="W143" i="24" s="1"/>
  <c r="D142" i="24"/>
  <c r="U142" i="24" s="1"/>
  <c r="F138" i="24"/>
  <c r="W138" i="24" s="1"/>
  <c r="F136" i="24"/>
  <c r="W136" i="24" s="1"/>
  <c r="F134" i="24"/>
  <c r="W134" i="24" s="1"/>
  <c r="E133" i="24"/>
  <c r="V133" i="24" s="1"/>
  <c r="E132" i="24"/>
  <c r="V132" i="24" s="1"/>
  <c r="E131" i="24"/>
  <c r="V131" i="24" s="1"/>
  <c r="E130" i="24"/>
  <c r="V130" i="24" s="1"/>
  <c r="E127" i="24"/>
  <c r="V127" i="24" s="1"/>
  <c r="E123" i="24"/>
  <c r="V123" i="24" s="1"/>
  <c r="F121" i="24"/>
  <c r="W121" i="24" s="1"/>
  <c r="E120" i="24"/>
  <c r="V120" i="24" s="1"/>
  <c r="E118" i="24"/>
  <c r="V118" i="24" s="1"/>
  <c r="D117" i="24"/>
  <c r="U117" i="24" s="1"/>
  <c r="D113" i="24"/>
  <c r="U113" i="24" s="1"/>
  <c r="D523" i="24"/>
  <c r="U523" i="24" s="1"/>
  <c r="D441" i="24"/>
  <c r="D411" i="24"/>
  <c r="U411" i="24" s="1"/>
  <c r="E386" i="24"/>
  <c r="V386" i="24" s="1"/>
  <c r="D353" i="24"/>
  <c r="U353" i="24" s="1"/>
  <c r="E349" i="24"/>
  <c r="V349" i="24" s="1"/>
  <c r="F341" i="24"/>
  <c r="W341" i="24" s="1"/>
  <c r="F329" i="24"/>
  <c r="W329" i="24" s="1"/>
  <c r="E325" i="24"/>
  <c r="V325" i="24" s="1"/>
  <c r="E321" i="24"/>
  <c r="V321" i="24" s="1"/>
  <c r="E311" i="24"/>
  <c r="V311" i="24" s="1"/>
  <c r="D307" i="24"/>
  <c r="U307" i="24" s="1"/>
  <c r="E492" i="24"/>
  <c r="E428" i="24"/>
  <c r="V428" i="24" s="1"/>
  <c r="F401" i="24"/>
  <c r="W401" i="24" s="1"/>
  <c r="F377" i="24"/>
  <c r="W377" i="24" s="1"/>
  <c r="F356" i="24"/>
  <c r="W356" i="24" s="1"/>
  <c r="D348" i="24"/>
  <c r="U348" i="24" s="1"/>
  <c r="E344" i="24"/>
  <c r="V344" i="24" s="1"/>
  <c r="E332" i="24"/>
  <c r="V332" i="24" s="1"/>
  <c r="D324" i="24"/>
  <c r="U324" i="24" s="1"/>
  <c r="F319" i="24"/>
  <c r="W319" i="24" s="1"/>
  <c r="F314" i="24"/>
  <c r="W314" i="24" s="1"/>
  <c r="D310" i="24"/>
  <c r="U310" i="24" s="1"/>
  <c r="E305" i="24"/>
  <c r="V305" i="24" s="1"/>
  <c r="F300" i="24"/>
  <c r="W300" i="24" s="1"/>
  <c r="D295" i="24"/>
  <c r="U295" i="24" s="1"/>
  <c r="D289" i="24"/>
  <c r="U289" i="24" s="1"/>
  <c r="F283" i="24"/>
  <c r="W283" i="24" s="1"/>
  <c r="D273" i="24"/>
  <c r="U273" i="24" s="1"/>
  <c r="E267" i="24"/>
  <c r="E262" i="24"/>
  <c r="V262" i="24" s="1"/>
  <c r="D258" i="24"/>
  <c r="U258" i="24" s="1"/>
  <c r="D254" i="24"/>
  <c r="U254" i="24" s="1"/>
  <c r="E251" i="24"/>
  <c r="V251" i="24" s="1"/>
  <c r="E249" i="24"/>
  <c r="V249" i="24" s="1"/>
  <c r="D247" i="24"/>
  <c r="U247" i="24" s="1"/>
  <c r="F245" i="24"/>
  <c r="W245" i="24" s="1"/>
  <c r="E244" i="24"/>
  <c r="V244" i="24" s="1"/>
  <c r="E243" i="24"/>
  <c r="E242" i="24"/>
  <c r="V242" i="24" s="1"/>
  <c r="E241" i="24"/>
  <c r="V241" i="24" s="1"/>
  <c r="D240" i="24"/>
  <c r="U240" i="24" s="1"/>
  <c r="F237" i="24"/>
  <c r="W237" i="24" s="1"/>
  <c r="D235" i="24"/>
  <c r="F233" i="24"/>
  <c r="W233" i="24" s="1"/>
  <c r="F232" i="24"/>
  <c r="W232" i="24" s="1"/>
  <c r="D231" i="24"/>
  <c r="E229" i="24"/>
  <c r="V229" i="24" s="1"/>
  <c r="D228" i="24"/>
  <c r="U228" i="24" s="1"/>
  <c r="F226" i="24"/>
  <c r="W226" i="24" s="1"/>
  <c r="F223" i="24"/>
  <c r="W223" i="24" s="1"/>
  <c r="F220" i="24"/>
  <c r="W220" i="24" s="1"/>
  <c r="D219" i="24"/>
  <c r="E216" i="24"/>
  <c r="V216" i="24" s="1"/>
  <c r="F214" i="24"/>
  <c r="W214" i="24" s="1"/>
  <c r="E213" i="24"/>
  <c r="F211" i="24"/>
  <c r="W211" i="24" s="1"/>
  <c r="F210" i="24"/>
  <c r="W210" i="24" s="1"/>
  <c r="F209" i="24"/>
  <c r="W209" i="24" s="1"/>
  <c r="D207" i="24"/>
  <c r="U207" i="24" s="1"/>
  <c r="E205" i="24"/>
  <c r="V205" i="24" s="1"/>
  <c r="D203" i="24"/>
  <c r="F201" i="24"/>
  <c r="W201" i="24" s="1"/>
  <c r="F198" i="24"/>
  <c r="W198" i="24" s="1"/>
  <c r="E197" i="24"/>
  <c r="F194" i="24"/>
  <c r="W194" i="24" s="1"/>
  <c r="E193" i="24"/>
  <c r="V193" i="24" s="1"/>
  <c r="D192" i="24"/>
  <c r="U192" i="24" s="1"/>
  <c r="F189" i="24"/>
  <c r="W189" i="24" s="1"/>
  <c r="F187" i="24"/>
  <c r="W187" i="24" s="1"/>
  <c r="F185" i="24"/>
  <c r="F183" i="24"/>
  <c r="W183" i="24" s="1"/>
  <c r="E181" i="24"/>
  <c r="V181" i="24" s="1"/>
  <c r="D179" i="24"/>
  <c r="F177" i="24"/>
  <c r="W177" i="24" s="1"/>
  <c r="F174" i="24"/>
  <c r="W174" i="24" s="1"/>
  <c r="E173" i="24"/>
  <c r="V173" i="24" s="1"/>
  <c r="F170" i="24"/>
  <c r="W170" i="24" s="1"/>
  <c r="E169" i="24"/>
  <c r="V169" i="24" s="1"/>
  <c r="D168" i="24"/>
  <c r="F165" i="24"/>
  <c r="W165" i="24" s="1"/>
  <c r="F163" i="24"/>
  <c r="W163" i="24" s="1"/>
  <c r="F161" i="24"/>
  <c r="W161" i="24" s="1"/>
  <c r="F159" i="24"/>
  <c r="W159" i="24" s="1"/>
  <c r="F155" i="24"/>
  <c r="W155" i="24" s="1"/>
  <c r="D153" i="24"/>
  <c r="U153" i="24" s="1"/>
  <c r="E151" i="24"/>
  <c r="V151" i="24" s="1"/>
  <c r="D149" i="24"/>
  <c r="U149" i="24" s="1"/>
  <c r="D146" i="24"/>
  <c r="E144" i="24"/>
  <c r="V144" i="24" s="1"/>
  <c r="D141" i="24"/>
  <c r="U141" i="24" s="1"/>
  <c r="F139" i="24"/>
  <c r="W139" i="24" s="1"/>
  <c r="F137" i="24"/>
  <c r="W137" i="24" s="1"/>
  <c r="F135" i="24"/>
  <c r="W135" i="24" s="1"/>
  <c r="F129" i="24"/>
  <c r="W129" i="24" s="1"/>
  <c r="E128" i="24"/>
  <c r="F126" i="24"/>
  <c r="W126" i="24" s="1"/>
  <c r="E125" i="24"/>
  <c r="D124" i="24"/>
  <c r="U124" i="24" s="1"/>
  <c r="F122" i="24"/>
  <c r="W122" i="24" s="1"/>
  <c r="E119" i="24"/>
  <c r="D115" i="24"/>
  <c r="D114" i="24"/>
  <c r="U114" i="24" s="1"/>
  <c r="D427" i="24"/>
  <c r="U427" i="24" s="1"/>
  <c r="E400" i="24"/>
  <c r="F351" i="24"/>
  <c r="W351" i="24" s="1"/>
  <c r="F347" i="24"/>
  <c r="W347" i="24" s="1"/>
  <c r="D344" i="24"/>
  <c r="U344" i="24" s="1"/>
  <c r="E340" i="24"/>
  <c r="V340" i="24" s="1"/>
  <c r="E336" i="24"/>
  <c r="V336" i="24" s="1"/>
  <c r="D332" i="24"/>
  <c r="U332" i="24" s="1"/>
  <c r="D328" i="24"/>
  <c r="U328" i="24" s="1"/>
  <c r="E319" i="24"/>
  <c r="V319" i="24" s="1"/>
  <c r="E314" i="24"/>
  <c r="V314" i="24" s="1"/>
  <c r="F309" i="24"/>
  <c r="W309" i="24" s="1"/>
  <c r="F294" i="24"/>
  <c r="W294" i="24" s="1"/>
  <c r="F288" i="24"/>
  <c r="W288" i="24" s="1"/>
  <c r="E283" i="24"/>
  <c r="V283" i="24" s="1"/>
  <c r="E278" i="24"/>
  <c r="V278" i="24" s="1"/>
  <c r="F272" i="24"/>
  <c r="W272" i="24" s="1"/>
  <c r="D267" i="24"/>
  <c r="U267" i="24" s="1"/>
  <c r="F257" i="24"/>
  <c r="W257" i="24" s="1"/>
  <c r="F255" i="24"/>
  <c r="W255" i="24" s="1"/>
  <c r="E245" i="24"/>
  <c r="V245" i="24" s="1"/>
  <c r="F238" i="24"/>
  <c r="W238" i="24" s="1"/>
  <c r="E237" i="24"/>
  <c r="V237" i="24" s="1"/>
  <c r="D236" i="24"/>
  <c r="U236" i="24" s="1"/>
  <c r="E233" i="24"/>
  <c r="V233" i="24" s="1"/>
  <c r="E232" i="24"/>
  <c r="V232" i="24" s="1"/>
  <c r="F230" i="24"/>
  <c r="W230" i="24" s="1"/>
  <c r="E226" i="24"/>
  <c r="V226" i="24" s="1"/>
  <c r="D225" i="24"/>
  <c r="U225" i="24" s="1"/>
  <c r="E223" i="24"/>
  <c r="V223" i="24" s="1"/>
  <c r="D222" i="24"/>
  <c r="U222" i="24" s="1"/>
  <c r="E220" i="24"/>
  <c r="V220" i="24" s="1"/>
  <c r="F217" i="24"/>
  <c r="W217" i="24" s="1"/>
  <c r="D216" i="24"/>
  <c r="U216" i="24" s="1"/>
  <c r="D213" i="24"/>
  <c r="U213" i="24" s="1"/>
  <c r="E208" i="24"/>
  <c r="V208" i="24" s="1"/>
  <c r="F206" i="24"/>
  <c r="W206" i="24" s="1"/>
  <c r="D204" i="24"/>
  <c r="U204" i="24" s="1"/>
  <c r="F202" i="24"/>
  <c r="W202" i="24" s="1"/>
  <c r="E201" i="24"/>
  <c r="V201" i="24" s="1"/>
  <c r="F199" i="24"/>
  <c r="W199" i="24" s="1"/>
  <c r="E198" i="24"/>
  <c r="V198" i="24" s="1"/>
  <c r="D196" i="24"/>
  <c r="U196" i="24" s="1"/>
  <c r="E194" i="24"/>
  <c r="V194" i="24" s="1"/>
  <c r="D193" i="24"/>
  <c r="U193" i="24" s="1"/>
  <c r="F190" i="24"/>
  <c r="W190" i="24" s="1"/>
  <c r="E189" i="24"/>
  <c r="V189" i="24" s="1"/>
  <c r="E187" i="24"/>
  <c r="V187" i="24" s="1"/>
  <c r="E185" i="24"/>
  <c r="V185" i="24" s="1"/>
  <c r="E183" i="24"/>
  <c r="V183" i="24" s="1"/>
  <c r="E182" i="24"/>
  <c r="V182" i="24" s="1"/>
  <c r="D180" i="24"/>
  <c r="U180" i="24" s="1"/>
  <c r="E177" i="24"/>
  <c r="V177" i="24" s="1"/>
  <c r="F175" i="24"/>
  <c r="W175" i="24" s="1"/>
  <c r="E174" i="24"/>
  <c r="V174" i="24" s="1"/>
  <c r="E518" i="24"/>
  <c r="D349" i="24"/>
  <c r="U349" i="24" s="1"/>
  <c r="D325" i="24"/>
  <c r="U325" i="24" s="1"/>
  <c r="D297" i="24"/>
  <c r="U297" i="24" s="1"/>
  <c r="E280" i="24"/>
  <c r="V280" i="24" s="1"/>
  <c r="D264" i="24"/>
  <c r="U264" i="24" s="1"/>
  <c r="E254" i="24"/>
  <c r="V254" i="24" s="1"/>
  <c r="D248" i="24"/>
  <c r="U248" i="24" s="1"/>
  <c r="F243" i="24"/>
  <c r="W243" i="24" s="1"/>
  <c r="E240" i="24"/>
  <c r="V240" i="24" s="1"/>
  <c r="F236" i="24"/>
  <c r="W236" i="24" s="1"/>
  <c r="E228" i="24"/>
  <c r="V228" i="24" s="1"/>
  <c r="F219" i="24"/>
  <c r="W219" i="24" s="1"/>
  <c r="E215" i="24"/>
  <c r="V215" i="24" s="1"/>
  <c r="D211" i="24"/>
  <c r="U211" i="24" s="1"/>
  <c r="F207" i="24"/>
  <c r="W207" i="24" s="1"/>
  <c r="E203" i="24"/>
  <c r="V203" i="24" s="1"/>
  <c r="D199" i="24"/>
  <c r="U199" i="24" s="1"/>
  <c r="E195" i="24"/>
  <c r="V195" i="24" s="1"/>
  <c r="E191" i="24"/>
  <c r="V191" i="24" s="1"/>
  <c r="E186" i="24"/>
  <c r="V186" i="24" s="1"/>
  <c r="F181" i="24"/>
  <c r="W181" i="24" s="1"/>
  <c r="E178" i="24"/>
  <c r="V178" i="24" s="1"/>
  <c r="D171" i="24"/>
  <c r="U171" i="24" s="1"/>
  <c r="E168" i="24"/>
  <c r="V168" i="24" s="1"/>
  <c r="D162" i="24"/>
  <c r="U162" i="24" s="1"/>
  <c r="D158" i="24"/>
  <c r="U158" i="24" s="1"/>
  <c r="D156" i="24"/>
  <c r="U156" i="24" s="1"/>
  <c r="E153" i="24"/>
  <c r="V153" i="24" s="1"/>
  <c r="E150" i="24"/>
  <c r="V150" i="24" s="1"/>
  <c r="D148" i="24"/>
  <c r="U148" i="24" s="1"/>
  <c r="F144" i="24"/>
  <c r="W144" i="24" s="1"/>
  <c r="E141" i="24"/>
  <c r="V141" i="24" s="1"/>
  <c r="D138" i="24"/>
  <c r="U138" i="24" s="1"/>
  <c r="D134" i="24"/>
  <c r="U134" i="24" s="1"/>
  <c r="D132" i="24"/>
  <c r="U132" i="24" s="1"/>
  <c r="D130" i="24"/>
  <c r="U130" i="24" s="1"/>
  <c r="E124" i="24"/>
  <c r="V124" i="24" s="1"/>
  <c r="D121" i="24"/>
  <c r="U121" i="24" s="1"/>
  <c r="D118" i="24"/>
  <c r="E115" i="24"/>
  <c r="C442" i="24"/>
  <c r="N443" i="24" s="1"/>
  <c r="C420" i="24"/>
  <c r="C364" i="24"/>
  <c r="C387" i="24"/>
  <c r="C374" i="24"/>
  <c r="C546" i="24"/>
  <c r="C505" i="24"/>
  <c r="C416" i="24"/>
  <c r="P417" i="24" s="1"/>
  <c r="C548" i="24"/>
  <c r="C547" i="24"/>
  <c r="P548" i="24" s="1"/>
  <c r="C479" i="24"/>
  <c r="C515" i="24"/>
  <c r="C508" i="24"/>
  <c r="P533" i="24" s="1"/>
  <c r="C535" i="24"/>
  <c r="P536" i="24" s="1"/>
  <c r="C554" i="24"/>
  <c r="P555" i="24" s="1"/>
  <c r="C415" i="24"/>
  <c r="N416" i="24" s="1"/>
  <c r="C439" i="24"/>
  <c r="P440" i="24" s="1"/>
  <c r="C426" i="24"/>
  <c r="C467" i="24"/>
  <c r="N468" i="24" s="1"/>
  <c r="C455" i="24"/>
  <c r="C461" i="24"/>
  <c r="N462" i="24" s="1"/>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F436" i="24"/>
  <c r="W436" i="24" s="1"/>
  <c r="E345" i="24"/>
  <c r="V345" i="24" s="1"/>
  <c r="D321" i="24"/>
  <c r="U321" i="24" s="1"/>
  <c r="F296" i="24"/>
  <c r="W296" i="24" s="1"/>
  <c r="D280" i="24"/>
  <c r="U280" i="24" s="1"/>
  <c r="F263" i="24"/>
  <c r="W263" i="24" s="1"/>
  <c r="F247" i="24"/>
  <c r="W247" i="24" s="1"/>
  <c r="E236" i="24"/>
  <c r="V236" i="24" s="1"/>
  <c r="D224" i="24"/>
  <c r="U224" i="24" s="1"/>
  <c r="E219" i="24"/>
  <c r="D215" i="24"/>
  <c r="U215" i="24" s="1"/>
  <c r="E207" i="24"/>
  <c r="V207" i="24" s="1"/>
  <c r="D195" i="24"/>
  <c r="D191" i="24"/>
  <c r="U191" i="24" s="1"/>
  <c r="D186" i="24"/>
  <c r="U186" i="24" s="1"/>
  <c r="D178" i="24"/>
  <c r="F173" i="24"/>
  <c r="W173" i="24" s="1"/>
  <c r="E170" i="24"/>
  <c r="V170" i="24" s="1"/>
  <c r="E165" i="24"/>
  <c r="E161" i="24"/>
  <c r="V161" i="24" s="1"/>
  <c r="F157" i="24"/>
  <c r="W157" i="24" s="1"/>
  <c r="F152" i="24"/>
  <c r="W152" i="24" s="1"/>
  <c r="D150" i="24"/>
  <c r="U150" i="24" s="1"/>
  <c r="F147" i="24"/>
  <c r="W147" i="24" s="1"/>
  <c r="D144" i="24"/>
  <c r="E137" i="24"/>
  <c r="V137" i="24" s="1"/>
  <c r="F133" i="24"/>
  <c r="W133" i="24" s="1"/>
  <c r="F131" i="24"/>
  <c r="E129" i="24"/>
  <c r="V129" i="24" s="1"/>
  <c r="E126" i="24"/>
  <c r="V126" i="24" s="1"/>
  <c r="F120" i="24"/>
  <c r="W120" i="24" s="1"/>
  <c r="F117" i="24"/>
  <c r="W117" i="24" s="1"/>
  <c r="E409" i="24"/>
  <c r="D316" i="24"/>
  <c r="U316" i="24" s="1"/>
  <c r="D291" i="24"/>
  <c r="U291" i="24" s="1"/>
  <c r="F274" i="24"/>
  <c r="W274" i="24" s="1"/>
  <c r="E259" i="24"/>
  <c r="V259" i="24" s="1"/>
  <c r="E252" i="24"/>
  <c r="E246" i="24"/>
  <c r="F242" i="24"/>
  <c r="W242" i="24" s="1"/>
  <c r="E235" i="24"/>
  <c r="V235" i="24" s="1"/>
  <c r="F222" i="24"/>
  <c r="W222" i="24" s="1"/>
  <c r="E218" i="24"/>
  <c r="V218" i="24" s="1"/>
  <c r="D214" i="24"/>
  <c r="U214" i="24" s="1"/>
  <c r="D210" i="24"/>
  <c r="U210" i="24" s="1"/>
  <c r="F205" i="24"/>
  <c r="W205" i="24" s="1"/>
  <c r="F193" i="24"/>
  <c r="D190" i="24"/>
  <c r="E184" i="24"/>
  <c r="V184" i="24" s="1"/>
  <c r="E176" i="24"/>
  <c r="V176" i="24" s="1"/>
  <c r="F172" i="24"/>
  <c r="W172" i="24" s="1"/>
  <c r="F169" i="24"/>
  <c r="W169" i="24" s="1"/>
  <c r="E167" i="24"/>
  <c r="V167" i="24" s="1"/>
  <c r="E164" i="24"/>
  <c r="V164" i="24" s="1"/>
  <c r="E160" i="24"/>
  <c r="V160" i="24" s="1"/>
  <c r="D155" i="24"/>
  <c r="D152" i="24"/>
  <c r="E149" i="24"/>
  <c r="V149" i="24" s="1"/>
  <c r="F146" i="24"/>
  <c r="W146" i="24" s="1"/>
  <c r="E143" i="24"/>
  <c r="E140" i="24"/>
  <c r="V140" i="24" s="1"/>
  <c r="E136" i="24"/>
  <c r="V136" i="24" s="1"/>
  <c r="F128" i="24"/>
  <c r="W128" i="24" s="1"/>
  <c r="D120" i="24"/>
  <c r="U120" i="24" s="1"/>
  <c r="E114" i="24"/>
  <c r="V114" i="24" s="1"/>
  <c r="C363" i="24"/>
  <c r="C562" i="24"/>
  <c r="P563" i="24" s="1"/>
  <c r="C413" i="24"/>
  <c r="C484" i="24"/>
  <c r="N497" i="24" s="1"/>
  <c r="C545" i="24"/>
  <c r="P546" i="24" s="1"/>
  <c r="C454" i="24"/>
  <c r="N455" i="24" s="1"/>
  <c r="C482" i="24"/>
  <c r="N483" i="24" s="1"/>
  <c r="C453" i="24"/>
  <c r="C407" i="24"/>
  <c r="N408" i="24" s="1"/>
  <c r="C544" i="24"/>
  <c r="C425" i="24"/>
  <c r="P426" i="24" s="1"/>
  <c r="C391" i="24"/>
  <c r="C492" i="24"/>
  <c r="C471" i="24"/>
  <c r="C379" i="24"/>
  <c r="C424" i="24"/>
  <c r="N437" i="24" s="1"/>
  <c r="C481" i="24"/>
  <c r="F384" i="24"/>
  <c r="W384" i="24" s="1"/>
  <c r="F337" i="24"/>
  <c r="F290" i="24"/>
  <c r="E274" i="24"/>
  <c r="V274" i="24" s="1"/>
  <c r="D246" i="24"/>
  <c r="U246" i="24" s="1"/>
  <c r="D239" i="24"/>
  <c r="U239" i="24" s="1"/>
  <c r="E231" i="24"/>
  <c r="V231" i="24" s="1"/>
  <c r="D227" i="24"/>
  <c r="U227" i="24" s="1"/>
  <c r="E222" i="24"/>
  <c r="V222" i="24" s="1"/>
  <c r="D218" i="24"/>
  <c r="U218" i="24" s="1"/>
  <c r="F213" i="24"/>
  <c r="W213" i="24" s="1"/>
  <c r="D202" i="24"/>
  <c r="F197" i="24"/>
  <c r="W197" i="24" s="1"/>
  <c r="D184" i="24"/>
  <c r="U184" i="24" s="1"/>
  <c r="E180" i="24"/>
  <c r="V180" i="24" s="1"/>
  <c r="D176" i="24"/>
  <c r="U176" i="24" s="1"/>
  <c r="E172" i="24"/>
  <c r="V172" i="24" s="1"/>
  <c r="D167" i="24"/>
  <c r="U167" i="24" s="1"/>
  <c r="D164" i="24"/>
  <c r="U164" i="24" s="1"/>
  <c r="D160" i="24"/>
  <c r="D157" i="24"/>
  <c r="F154" i="24"/>
  <c r="W154" i="24" s="1"/>
  <c r="F151" i="24"/>
  <c r="W151" i="24" s="1"/>
  <c r="E146" i="24"/>
  <c r="D143" i="24"/>
  <c r="U143" i="24" s="1"/>
  <c r="D140" i="24"/>
  <c r="U140" i="24" s="1"/>
  <c r="D136" i="24"/>
  <c r="U136" i="24" s="1"/>
  <c r="D133" i="24"/>
  <c r="U133" i="24" s="1"/>
  <c r="D131" i="24"/>
  <c r="F125" i="24"/>
  <c r="D123" i="24"/>
  <c r="U123" i="24" s="1"/>
  <c r="F119" i="24"/>
  <c r="W119" i="24" s="1"/>
  <c r="F116" i="24"/>
  <c r="C518" i="24"/>
  <c r="P519" i="24" s="1"/>
  <c r="C499" i="24"/>
  <c r="C463" i="24"/>
  <c r="N464" i="24" s="1"/>
  <c r="C477" i="24"/>
  <c r="P478" i="24" s="1"/>
  <c r="C486" i="24"/>
  <c r="C495" i="24"/>
  <c r="N496" i="24" s="1"/>
  <c r="C540" i="24"/>
  <c r="N541" i="24" s="1"/>
  <c r="C480" i="24"/>
  <c r="N481" i="24" s="1"/>
  <c r="C476" i="24"/>
  <c r="P477" i="24" s="1"/>
  <c r="C498" i="24"/>
  <c r="N499" i="24" s="1"/>
  <c r="C478" i="24"/>
  <c r="C372" i="24"/>
  <c r="P373" i="24" s="1"/>
  <c r="C509" i="24"/>
  <c r="P510" i="24" s="1"/>
  <c r="C410" i="24"/>
  <c r="N411" i="24" s="1"/>
  <c r="C457" i="24"/>
  <c r="C404" i="24"/>
  <c r="P405" i="24" s="1"/>
  <c r="C524" i="24"/>
  <c r="N525" i="24" s="1"/>
  <c r="C542" i="24"/>
  <c r="N543" i="24" s="1"/>
  <c r="C437" i="24"/>
  <c r="N438" i="24" s="1"/>
  <c r="C414" i="24"/>
  <c r="C445" i="24"/>
  <c r="N446" i="24" s="1"/>
  <c r="C493" i="24"/>
  <c r="N494" i="24" s="1"/>
  <c r="C433" i="24"/>
  <c r="C434" i="24"/>
  <c r="F333" i="24"/>
  <c r="W333" i="24" s="1"/>
  <c r="F306" i="24"/>
  <c r="W306" i="24" s="1"/>
  <c r="F285" i="24"/>
  <c r="W285" i="24" s="1"/>
  <c r="D269" i="24"/>
  <c r="U269" i="24" s="1"/>
  <c r="F256" i="24"/>
  <c r="W256" i="24" s="1"/>
  <c r="D250" i="24"/>
  <c r="F241" i="24"/>
  <c r="W241" i="24" s="1"/>
  <c r="D238" i="24"/>
  <c r="U238" i="24" s="1"/>
  <c r="D230" i="24"/>
  <c r="U230" i="24" s="1"/>
  <c r="F225" i="24"/>
  <c r="W225" i="24" s="1"/>
  <c r="E212" i="24"/>
  <c r="V212" i="24" s="1"/>
  <c r="E200" i="24"/>
  <c r="V200" i="24" s="1"/>
  <c r="F196" i="24"/>
  <c r="W196" i="24" s="1"/>
  <c r="E188" i="24"/>
  <c r="V188" i="24" s="1"/>
  <c r="E179" i="24"/>
  <c r="D175" i="24"/>
  <c r="U175" i="24" s="1"/>
  <c r="D172" i="24"/>
  <c r="U172" i="24" s="1"/>
  <c r="D169" i="24"/>
  <c r="F166" i="24"/>
  <c r="W166" i="24" s="1"/>
  <c r="E163" i="24"/>
  <c r="V163" i="24" s="1"/>
  <c r="E159" i="24"/>
  <c r="F156" i="24"/>
  <c r="W156" i="24" s="1"/>
  <c r="E154" i="24"/>
  <c r="V154" i="24" s="1"/>
  <c r="F145" i="24"/>
  <c r="F142" i="24"/>
  <c r="W142" i="24" s="1"/>
  <c r="E139" i="24"/>
  <c r="V139" i="24" s="1"/>
  <c r="E135" i="24"/>
  <c r="V135" i="24" s="1"/>
  <c r="F132" i="24"/>
  <c r="W132" i="24" s="1"/>
  <c r="F130" i="24"/>
  <c r="W130" i="24" s="1"/>
  <c r="D128" i="24"/>
  <c r="U128" i="24" s="1"/>
  <c r="E122" i="24"/>
  <c r="V122" i="24" s="1"/>
  <c r="D119" i="24"/>
  <c r="U119" i="24" s="1"/>
  <c r="E116" i="24"/>
  <c r="F113" i="24"/>
  <c r="W113" i="24" s="1"/>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C506" i="24"/>
  <c r="C381" i="24"/>
  <c r="P382" i="24" s="1"/>
  <c r="C469" i="24"/>
  <c r="P470" i="24" s="1"/>
  <c r="C353" i="24"/>
  <c r="C430" i="24"/>
  <c r="N431" i="24" s="1"/>
  <c r="C452" i="24"/>
  <c r="N453" i="24" s="1"/>
  <c r="C459" i="24"/>
  <c r="N460" i="24" s="1"/>
  <c r="C384" i="24"/>
  <c r="P385" i="24" s="1"/>
  <c r="C443" i="24"/>
  <c r="N444" i="24" s="1"/>
  <c r="C501" i="24"/>
  <c r="C448" i="24"/>
  <c r="C435" i="24"/>
  <c r="C438" i="24"/>
  <c r="C359" i="24"/>
  <c r="C514" i="24"/>
  <c r="C429" i="24"/>
  <c r="P430" i="24" s="1"/>
  <c r="C367" i="24"/>
  <c r="C533" i="24"/>
  <c r="N534" i="24" s="1"/>
  <c r="C559" i="24"/>
  <c r="P560" i="24" s="1"/>
  <c r="C497" i="24"/>
  <c r="P498" i="24" s="1"/>
  <c r="F115" i="24"/>
  <c r="W115" i="24" s="1"/>
  <c r="F150" i="24"/>
  <c r="W150" i="24" s="1"/>
  <c r="E192" i="24"/>
  <c r="V192" i="24" s="1"/>
  <c r="F216" i="24"/>
  <c r="W216" i="24" s="1"/>
  <c r="E302" i="24"/>
  <c r="V302" i="24" s="1"/>
  <c r="C441" i="24"/>
  <c r="P442" i="24" s="1"/>
  <c r="C530" i="24"/>
  <c r="P531" i="24" s="1"/>
  <c r="C503" i="24"/>
  <c r="P504" i="24" s="1"/>
  <c r="C371" i="24"/>
  <c r="P372" i="24" s="1"/>
  <c r="C386" i="24"/>
  <c r="P387" i="24" s="1"/>
  <c r="C507" i="24"/>
  <c r="P508" i="24" s="1"/>
  <c r="C460" i="24"/>
  <c r="C566" i="24"/>
  <c r="C490" i="24"/>
  <c r="N491" i="24" s="1"/>
  <c r="C526" i="24"/>
  <c r="P527" i="24" s="1"/>
  <c r="C446" i="24"/>
  <c r="P447" i="24" s="1"/>
  <c r="C519" i="24"/>
  <c r="N520" i="24" s="1"/>
  <c r="C504" i="24"/>
  <c r="N505" i="24" s="1"/>
  <c r="C529" i="24"/>
  <c r="E134" i="24"/>
  <c r="V134" i="24" s="1"/>
  <c r="F153" i="24"/>
  <c r="W153" i="24" s="1"/>
  <c r="E171" i="24"/>
  <c r="E196" i="24"/>
  <c r="V196" i="24" s="1"/>
  <c r="D221" i="24"/>
  <c r="U221" i="24" s="1"/>
  <c r="F244" i="24"/>
  <c r="E329" i="24"/>
  <c r="V329" i="24" s="1"/>
  <c r="C405" i="24"/>
  <c r="C470" i="24"/>
  <c r="P471" i="24" s="1"/>
  <c r="C408" i="24"/>
  <c r="P409" i="24" s="1"/>
  <c r="C527" i="24"/>
  <c r="C549" i="24"/>
  <c r="C376" i="24"/>
  <c r="C560" i="24"/>
  <c r="N561" i="24" s="1"/>
  <c r="C406" i="24"/>
  <c r="N407" i="24" s="1"/>
  <c r="C393" i="24"/>
  <c r="N394" i="24" s="1"/>
  <c r="C447" i="24"/>
  <c r="N448" i="24" s="1"/>
  <c r="C366" i="24"/>
  <c r="C389" i="24"/>
  <c r="N390" i="24" s="1"/>
  <c r="C360" i="24"/>
  <c r="C451" i="24"/>
  <c r="P452" i="24" s="1"/>
  <c r="E121" i="24"/>
  <c r="E138" i="24"/>
  <c r="D200" i="24"/>
  <c r="E225" i="24"/>
  <c r="V225" i="24" s="1"/>
  <c r="F249" i="24"/>
  <c r="W249" i="24" s="1"/>
  <c r="P561" i="24"/>
  <c r="N447" i="24"/>
  <c r="P415" i="24"/>
  <c r="N415" i="24"/>
  <c r="P411" i="24"/>
  <c r="P481" i="24"/>
  <c r="N500" i="24"/>
  <c r="P500" i="24"/>
  <c r="P460" i="24"/>
  <c r="P453" i="24"/>
  <c r="N422" i="24"/>
  <c r="P422" i="24"/>
  <c r="N420" i="24"/>
  <c r="P420" i="24"/>
  <c r="P473" i="24"/>
  <c r="N510" i="24"/>
  <c r="P486" i="24"/>
  <c r="P419" i="24"/>
  <c r="N419" i="24"/>
  <c r="N387" i="24"/>
  <c r="N502" i="24"/>
  <c r="P502" i="24"/>
  <c r="P551" i="24"/>
  <c r="P386" i="24"/>
  <c r="N555" i="24"/>
  <c r="N549" i="24"/>
  <c r="P549" i="24"/>
  <c r="P398" i="24"/>
  <c r="N398" i="24"/>
  <c r="N423" i="24"/>
  <c r="P423" i="24"/>
  <c r="N426" i="24"/>
  <c r="N397" i="24"/>
  <c r="N536" i="24"/>
  <c r="W397" i="24"/>
  <c r="N409" i="24"/>
  <c r="N560" i="24"/>
  <c r="N470" i="24"/>
  <c r="P485" i="24"/>
  <c r="P566" i="24"/>
  <c r="P468" i="24"/>
  <c r="N533" i="24"/>
  <c r="P506" i="24"/>
  <c r="N506" i="24"/>
  <c r="P443" i="24"/>
  <c r="N469" i="24"/>
  <c r="P469" i="24"/>
  <c r="P539" i="24"/>
  <c r="N539" i="24"/>
  <c r="P390" i="24"/>
  <c r="P407" i="24"/>
  <c r="N471" i="24"/>
  <c r="N498" i="24"/>
  <c r="N382" i="24"/>
  <c r="P446" i="24"/>
  <c r="P458" i="24"/>
  <c r="N458" i="24"/>
  <c r="P464" i="24"/>
  <c r="N380" i="24"/>
  <c r="P380" i="24"/>
  <c r="P414" i="24"/>
  <c r="N414" i="24"/>
  <c r="P557" i="24"/>
  <c r="P427" i="24"/>
  <c r="N427" i="24"/>
  <c r="N516" i="24"/>
  <c r="P516" i="24"/>
  <c r="N547" i="24"/>
  <c r="P547" i="24"/>
  <c r="W475" i="24"/>
  <c r="P384" i="24"/>
  <c r="N384" i="24"/>
  <c r="N562" i="24"/>
  <c r="P562" i="24"/>
  <c r="D409" i="9"/>
  <c r="D405" i="9"/>
  <c r="F408" i="9"/>
  <c r="E404" i="9"/>
  <c r="E407" i="9"/>
  <c r="E405" i="9"/>
  <c r="E409" i="9"/>
  <c r="F405" i="9"/>
  <c r="F404" i="9"/>
  <c r="F406" i="9"/>
  <c r="D408" i="9"/>
  <c r="F407" i="9"/>
  <c r="F409" i="9"/>
  <c r="D407" i="9"/>
  <c r="D404" i="9"/>
  <c r="D406" i="9"/>
  <c r="E406" i="9"/>
  <c r="E408" i="9"/>
  <c r="W430" i="24" l="1"/>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16" i="9"/>
  <c r="R209" i="9"/>
  <c r="R229" i="9"/>
  <c r="R218" i="9"/>
  <c r="R186" i="9"/>
  <c r="R181" i="9"/>
  <c r="R177" i="9"/>
  <c r="R138" i="9"/>
  <c r="R122" i="9"/>
  <c r="R119" i="9"/>
  <c r="R113" i="9"/>
  <c r="R110" i="9"/>
  <c r="R105" i="9"/>
  <c r="R102" i="9"/>
  <c r="R98" i="9"/>
  <c r="R95" i="9"/>
  <c r="R86" i="9"/>
  <c r="R77" i="9"/>
  <c r="R74" i="9"/>
  <c r="Z218" i="9"/>
  <c r="Z163" i="9"/>
  <c r="Z316" i="9"/>
  <c r="Y236" i="9"/>
  <c r="AA350" i="9"/>
  <c r="Z372" i="9"/>
  <c r="N477" i="24"/>
  <c r="P399" i="24"/>
  <c r="V491" i="24"/>
  <c r="P455" i="24"/>
  <c r="P394" i="24"/>
  <c r="P483" i="24"/>
  <c r="C557" i="24"/>
  <c r="C411" i="24"/>
  <c r="C380" i="24"/>
  <c r="C567" i="24"/>
  <c r="C464" i="24"/>
  <c r="P465" i="24" s="1"/>
  <c r="C502" i="24"/>
  <c r="N503" i="24" s="1"/>
  <c r="C555" i="24"/>
  <c r="C473" i="24"/>
  <c r="C510" i="24"/>
  <c r="C432" i="24"/>
  <c r="C539" i="24"/>
  <c r="E256" i="24"/>
  <c r="V256" i="24" s="1"/>
  <c r="C537" i="24"/>
  <c r="C541" i="24"/>
  <c r="C536" i="24"/>
  <c r="D127" i="24"/>
  <c r="U127" i="24" s="1"/>
  <c r="D552" i="24"/>
  <c r="U552" i="24" s="1"/>
  <c r="F540" i="24"/>
  <c r="E530" i="24"/>
  <c r="D522" i="24"/>
  <c r="E510" i="24"/>
  <c r="V510" i="24" s="1"/>
  <c r="D499" i="24"/>
  <c r="U499" i="24" s="1"/>
  <c r="D481" i="24"/>
  <c r="D465" i="24"/>
  <c r="U465" i="24" s="1"/>
  <c r="F453" i="24"/>
  <c r="W453" i="24" s="1"/>
  <c r="F442" i="24"/>
  <c r="W442" i="24" s="1"/>
  <c r="F557" i="24"/>
  <c r="E547" i="24"/>
  <c r="V547" i="24" s="1"/>
  <c r="F531" i="24"/>
  <c r="D517" i="24"/>
  <c r="D504" i="24"/>
  <c r="U504" i="24" s="1"/>
  <c r="D491" i="24"/>
  <c r="U491" i="24" s="1"/>
  <c r="E482" i="24"/>
  <c r="V482" i="24" s="1"/>
  <c r="D472" i="24"/>
  <c r="U472" i="24" s="1"/>
  <c r="E463" i="24"/>
  <c r="F450" i="24"/>
  <c r="D437" i="24"/>
  <c r="U437" i="24" s="1"/>
  <c r="E555" i="24"/>
  <c r="D544" i="24"/>
  <c r="U544" i="24" s="1"/>
  <c r="F532" i="24"/>
  <c r="W532" i="24" s="1"/>
  <c r="E521" i="24"/>
  <c r="E511" i="24"/>
  <c r="V511" i="24" s="1"/>
  <c r="F499" i="24"/>
  <c r="E490" i="24"/>
  <c r="V490" i="24" s="1"/>
  <c r="D479" i="24"/>
  <c r="D467" i="24"/>
  <c r="U467" i="24" s="1"/>
  <c r="F454" i="24"/>
  <c r="W454" i="24" s="1"/>
  <c r="F440" i="24"/>
  <c r="F556" i="24"/>
  <c r="F542" i="24"/>
  <c r="W542" i="24" s="1"/>
  <c r="E525" i="24"/>
  <c r="V525" i="24" s="1"/>
  <c r="D513" i="24"/>
  <c r="U513" i="24" s="1"/>
  <c r="D501" i="24"/>
  <c r="U501" i="24" s="1"/>
  <c r="E487" i="24"/>
  <c r="V487" i="24" s="1"/>
  <c r="E474" i="24"/>
  <c r="F462" i="24"/>
  <c r="W462" i="24" s="1"/>
  <c r="D453" i="24"/>
  <c r="D443" i="24"/>
  <c r="U443" i="24" s="1"/>
  <c r="F550" i="24"/>
  <c r="W550" i="24" s="1"/>
  <c r="E516" i="24"/>
  <c r="V516" i="24" s="1"/>
  <c r="E481" i="24"/>
  <c r="E433" i="24"/>
  <c r="D420" i="24"/>
  <c r="U420" i="24" s="1"/>
  <c r="F405" i="24"/>
  <c r="W405" i="24" s="1"/>
  <c r="D397" i="24"/>
  <c r="D388" i="24"/>
  <c r="U388" i="24" s="1"/>
  <c r="F371" i="24"/>
  <c r="W371" i="24" s="1"/>
  <c r="F361" i="24"/>
  <c r="W361" i="24" s="1"/>
  <c r="F541" i="24"/>
  <c r="F503" i="24"/>
  <c r="W503" i="24" s="1"/>
  <c r="D459" i="24"/>
  <c r="U459" i="24" s="1"/>
  <c r="D429" i="24"/>
  <c r="U429" i="24" s="1"/>
  <c r="E415" i="24"/>
  <c r="V415" i="24" s="1"/>
  <c r="E402" i="24"/>
  <c r="V402" i="24" s="1"/>
  <c r="E385" i="24"/>
  <c r="V385" i="24" s="1"/>
  <c r="D374" i="24"/>
  <c r="U374" i="24" s="1"/>
  <c r="F362" i="24"/>
  <c r="W362" i="24" s="1"/>
  <c r="D545" i="24"/>
  <c r="U545" i="24" s="1"/>
  <c r="F514" i="24"/>
  <c r="C362" i="24"/>
  <c r="C440" i="24"/>
  <c r="C390" i="24"/>
  <c r="N391" i="24" s="1"/>
  <c r="C521" i="24"/>
  <c r="N522" i="24" s="1"/>
  <c r="C494" i="24"/>
  <c r="C378" i="24"/>
  <c r="N379" i="24" s="1"/>
  <c r="C427" i="24"/>
  <c r="C564" i="24"/>
  <c r="C377" i="24"/>
  <c r="F124" i="24"/>
  <c r="W124" i="24" s="1"/>
  <c r="C523" i="24"/>
  <c r="C428" i="24"/>
  <c r="C375" i="24"/>
  <c r="E162" i="24"/>
  <c r="V162" i="24" s="1"/>
  <c r="F265" i="24"/>
  <c r="W265" i="24" s="1"/>
  <c r="E550" i="24"/>
  <c r="D539" i="24"/>
  <c r="U539" i="24" s="1"/>
  <c r="D529" i="24"/>
  <c r="E520" i="24"/>
  <c r="V520" i="24" s="1"/>
  <c r="E508" i="24"/>
  <c r="V508" i="24" s="1"/>
  <c r="F497" i="24"/>
  <c r="E478" i="24"/>
  <c r="F463" i="24"/>
  <c r="W463" i="24" s="1"/>
  <c r="E452" i="24"/>
  <c r="V452" i="24" s="1"/>
  <c r="E441" i="24"/>
  <c r="D556" i="24"/>
  <c r="D546" i="24"/>
  <c r="F528" i="24"/>
  <c r="D514" i="24"/>
  <c r="D502" i="24"/>
  <c r="E489" i="24"/>
  <c r="V489" i="24" s="1"/>
  <c r="F479" i="24"/>
  <c r="F470" i="24"/>
  <c r="W470" i="24" s="1"/>
  <c r="D462" i="24"/>
  <c r="U462" i="24" s="1"/>
  <c r="F447" i="24"/>
  <c r="W447" i="24" s="1"/>
  <c r="F435" i="24"/>
  <c r="D554" i="24"/>
  <c r="U554" i="24" s="1"/>
  <c r="E541" i="24"/>
  <c r="E531" i="24"/>
  <c r="F519" i="24"/>
  <c r="E509" i="24"/>
  <c r="V509" i="24" s="1"/>
  <c r="E498" i="24"/>
  <c r="D489" i="24"/>
  <c r="F474" i="24"/>
  <c r="F465" i="24"/>
  <c r="D450" i="24"/>
  <c r="E439" i="24"/>
  <c r="V439" i="24" s="1"/>
  <c r="F553" i="24"/>
  <c r="D541" i="24"/>
  <c r="D524" i="24"/>
  <c r="D511" i="24"/>
  <c r="U511" i="24" s="1"/>
  <c r="F496" i="24"/>
  <c r="E484" i="24"/>
  <c r="V484" i="24" s="1"/>
  <c r="F469" i="24"/>
  <c r="E461" i="24"/>
  <c r="E451" i="24"/>
  <c r="V451" i="24" s="1"/>
  <c r="E440" i="24"/>
  <c r="E546" i="24"/>
  <c r="F510" i="24"/>
  <c r="F472" i="24"/>
  <c r="D432" i="24"/>
  <c r="U432" i="24" s="1"/>
  <c r="D417" i="24"/>
  <c r="U417" i="24" s="1"/>
  <c r="D404" i="24"/>
  <c r="U404" i="24" s="1"/>
  <c r="F395" i="24"/>
  <c r="E382" i="24"/>
  <c r="V382" i="24" s="1"/>
  <c r="D370" i="24"/>
  <c r="U370" i="24" s="1"/>
  <c r="F358" i="24"/>
  <c r="W358" i="24" s="1"/>
  <c r="D537" i="24"/>
  <c r="U537" i="24" s="1"/>
  <c r="E494" i="24"/>
  <c r="V494" i="24" s="1"/>
  <c r="D455" i="24"/>
  <c r="D426" i="24"/>
  <c r="U426" i="24" s="1"/>
  <c r="E414" i="24"/>
  <c r="F400" i="24"/>
  <c r="W400" i="24" s="1"/>
  <c r="F383" i="24"/>
  <c r="W383" i="24" s="1"/>
  <c r="F372" i="24"/>
  <c r="W372" i="24" s="1"/>
  <c r="E361" i="24"/>
  <c r="V361" i="24" s="1"/>
  <c r="E536" i="24"/>
  <c r="V536" i="24" s="1"/>
  <c r="F508" i="24"/>
  <c r="W508" i="24" s="1"/>
  <c r="C456" i="24"/>
  <c r="C531" i="24"/>
  <c r="C373" i="24"/>
  <c r="C368" i="24"/>
  <c r="C532" i="24"/>
  <c r="C450" i="24"/>
  <c r="P451" i="24" s="1"/>
  <c r="C553" i="24"/>
  <c r="N554" i="24" s="1"/>
  <c r="C403" i="24"/>
  <c r="P404" i="24" s="1"/>
  <c r="C409" i="24"/>
  <c r="P410" i="24" s="1"/>
  <c r="C395" i="24"/>
  <c r="P396" i="24" s="1"/>
  <c r="F141" i="24"/>
  <c r="W141" i="24" s="1"/>
  <c r="C465" i="24"/>
  <c r="N466" i="24" s="1"/>
  <c r="C417" i="24"/>
  <c r="N418" i="24" s="1"/>
  <c r="C361" i="24"/>
  <c r="C528" i="24"/>
  <c r="P529" i="24" s="1"/>
  <c r="F182" i="24"/>
  <c r="W182" i="24" s="1"/>
  <c r="D560" i="24"/>
  <c r="F547" i="24"/>
  <c r="W547" i="24" s="1"/>
  <c r="D536" i="24"/>
  <c r="F527" i="24"/>
  <c r="W527" i="24" s="1"/>
  <c r="E517" i="24"/>
  <c r="V517" i="24" s="1"/>
  <c r="E506" i="24"/>
  <c r="V506" i="24" s="1"/>
  <c r="D495" i="24"/>
  <c r="D477" i="24"/>
  <c r="U477" i="24" s="1"/>
  <c r="D461" i="24"/>
  <c r="D451" i="24"/>
  <c r="U451" i="24" s="1"/>
  <c r="D440" i="24"/>
  <c r="U440" i="24" s="1"/>
  <c r="E554" i="24"/>
  <c r="E544" i="24"/>
  <c r="E527" i="24"/>
  <c r="V527" i="24" s="1"/>
  <c r="D512" i="24"/>
  <c r="F498" i="24"/>
  <c r="W498" i="24" s="1"/>
  <c r="D488" i="24"/>
  <c r="U488" i="24" s="1"/>
  <c r="D478" i="24"/>
  <c r="D469" i="24"/>
  <c r="U469" i="24" s="1"/>
  <c r="F460" i="24"/>
  <c r="D445" i="24"/>
  <c r="A571" i="24"/>
  <c r="C489" i="24"/>
  <c r="C491" i="24"/>
  <c r="C522" i="24"/>
  <c r="N523" i="24" s="1"/>
  <c r="C474" i="24"/>
  <c r="C354" i="24"/>
  <c r="C458" i="24"/>
  <c r="C449" i="24"/>
  <c r="P450" i="24" s="1"/>
  <c r="E158" i="24"/>
  <c r="V158" i="24" s="1"/>
  <c r="C512" i="24"/>
  <c r="C511" i="24"/>
  <c r="C520" i="24"/>
  <c r="C400" i="24"/>
  <c r="F208" i="24"/>
  <c r="W208" i="24" s="1"/>
  <c r="D558" i="24"/>
  <c r="F544" i="24"/>
  <c r="W544" i="24" s="1"/>
  <c r="F534" i="24"/>
  <c r="W534" i="24" s="1"/>
  <c r="E526" i="24"/>
  <c r="D516" i="24"/>
  <c r="E504" i="24"/>
  <c r="D493" i="24"/>
  <c r="U493" i="24" s="1"/>
  <c r="F473" i="24"/>
  <c r="W473" i="24" s="1"/>
  <c r="F459" i="24"/>
  <c r="W459" i="24" s="1"/>
  <c r="E449" i="24"/>
  <c r="V449" i="24" s="1"/>
  <c r="F438" i="24"/>
  <c r="D553" i="24"/>
  <c r="U553" i="24" s="1"/>
  <c r="E540" i="24"/>
  <c r="F524" i="24"/>
  <c r="W524" i="24" s="1"/>
  <c r="D510" i="24"/>
  <c r="U510" i="24" s="1"/>
  <c r="D496" i="24"/>
  <c r="U496" i="24" s="1"/>
  <c r="F486" i="24"/>
  <c r="W486" i="24" s="1"/>
  <c r="F476" i="24"/>
  <c r="W476" i="24" s="1"/>
  <c r="E467" i="24"/>
  <c r="E459" i="24"/>
  <c r="C517" i="24"/>
  <c r="N518" i="24" s="1"/>
  <c r="C496" i="24"/>
  <c r="N521" i="24" s="1"/>
  <c r="C401" i="24"/>
  <c r="C475" i="24"/>
  <c r="P476" i="24" s="1"/>
  <c r="C412" i="24"/>
  <c r="N425" i="24" s="1"/>
  <c r="C402" i="24"/>
  <c r="N403" i="24" s="1"/>
  <c r="C563" i="24"/>
  <c r="C358" i="24"/>
  <c r="C466" i="24"/>
  <c r="C543" i="24"/>
  <c r="F229" i="24"/>
  <c r="W229" i="24" s="1"/>
  <c r="C534" i="24"/>
  <c r="C487" i="24"/>
  <c r="C488" i="24"/>
  <c r="C392" i="24"/>
  <c r="F554" i="24"/>
  <c r="W554" i="24" s="1"/>
  <c r="D542" i="24"/>
  <c r="U542" i="24" s="1"/>
  <c r="D532" i="24"/>
  <c r="U532" i="24" s="1"/>
  <c r="E523" i="24"/>
  <c r="V523" i="24" s="1"/>
  <c r="E512" i="24"/>
  <c r="E500" i="24"/>
  <c r="E488" i="24"/>
  <c r="V488" i="24" s="1"/>
  <c r="F467" i="24"/>
  <c r="W467" i="24" s="1"/>
  <c r="E455" i="24"/>
  <c r="F446" i="24"/>
  <c r="F559" i="24"/>
  <c r="D549" i="24"/>
  <c r="U549" i="24" s="1"/>
  <c r="F535" i="24"/>
  <c r="W535" i="24" s="1"/>
  <c r="F518" i="24"/>
  <c r="D506" i="24"/>
  <c r="U506" i="24" s="1"/>
  <c r="F492" i="24"/>
  <c r="W492" i="24" s="1"/>
  <c r="F483" i="24"/>
  <c r="W483" i="24" s="1"/>
  <c r="E473" i="24"/>
  <c r="F464" i="24"/>
  <c r="D452" i="24"/>
  <c r="E438" i="24"/>
  <c r="D557" i="24"/>
  <c r="E545" i="24"/>
  <c r="V545" i="24" s="1"/>
  <c r="D534" i="24"/>
  <c r="U534" i="24" s="1"/>
  <c r="F525" i="24"/>
  <c r="W525" i="24" s="1"/>
  <c r="E513" i="24"/>
  <c r="E501" i="24"/>
  <c r="V501" i="24" s="1"/>
  <c r="D492" i="24"/>
  <c r="U492" i="24" s="1"/>
  <c r="D483" i="24"/>
  <c r="U483" i="24" s="1"/>
  <c r="F468" i="24"/>
  <c r="W468" i="24" s="1"/>
  <c r="D456" i="24"/>
  <c r="U456" i="24" s="1"/>
  <c r="D442" i="24"/>
  <c r="U442" i="24" s="1"/>
  <c r="F558" i="24"/>
  <c r="F546" i="24"/>
  <c r="W546" i="24" s="1"/>
  <c r="D531" i="24"/>
  <c r="U531" i="24" s="1"/>
  <c r="D515" i="24"/>
  <c r="U515" i="24" s="1"/>
  <c r="D503" i="24"/>
  <c r="U503" i="24" s="1"/>
  <c r="F488" i="24"/>
  <c r="W488" i="24" s="1"/>
  <c r="D476" i="24"/>
  <c r="D464" i="24"/>
  <c r="E454" i="24"/>
  <c r="V454" i="24" s="1"/>
  <c r="F445" i="24"/>
  <c r="D555" i="24"/>
  <c r="U555" i="24" s="1"/>
  <c r="F520" i="24"/>
  <c r="W520" i="24" s="1"/>
  <c r="F485" i="24"/>
  <c r="F434" i="24"/>
  <c r="W434" i="24" s="1"/>
  <c r="F422" i="24"/>
  <c r="W422" i="24" s="1"/>
  <c r="D407" i="24"/>
  <c r="U407" i="24" s="1"/>
  <c r="E398" i="24"/>
  <c r="V398" i="24" s="1"/>
  <c r="E389" i="24"/>
  <c r="V389" i="24" s="1"/>
  <c r="E374" i="24"/>
  <c r="V374" i="24" s="1"/>
  <c r="D363" i="24"/>
  <c r="U363" i="24" s="1"/>
  <c r="F545" i="24"/>
  <c r="W545" i="24" s="1"/>
  <c r="F509" i="24"/>
  <c r="F471" i="24"/>
  <c r="W471" i="24" s="1"/>
  <c r="F431" i="24"/>
  <c r="E418" i="24"/>
  <c r="V418" i="24" s="1"/>
  <c r="E405" i="24"/>
  <c r="V405" i="24" s="1"/>
  <c r="F386" i="24"/>
  <c r="W386" i="24" s="1"/>
  <c r="E375" i="24"/>
  <c r="V375" i="24" s="1"/>
  <c r="E364" i="24"/>
  <c r="V364" i="24" s="1"/>
  <c r="E549" i="24"/>
  <c r="V549" i="24" s="1"/>
  <c r="D519" i="24"/>
  <c r="D484" i="24"/>
  <c r="U484" i="24" s="1"/>
  <c r="P432" i="24"/>
  <c r="N432" i="24"/>
  <c r="N478" i="24"/>
  <c r="P416" i="24"/>
  <c r="P462" i="24"/>
  <c r="P400" i="24"/>
  <c r="N400" i="24"/>
  <c r="P505" i="24"/>
  <c r="N552" i="24"/>
  <c r="N405" i="24"/>
  <c r="P444" i="24"/>
  <c r="P501" i="24"/>
  <c r="D564" i="24"/>
  <c r="E564" i="24"/>
  <c r="F564" i="24"/>
  <c r="V392" i="24"/>
  <c r="W404" i="24"/>
  <c r="U527" i="24"/>
  <c r="U520" i="24"/>
  <c r="U505" i="24"/>
  <c r="V473" i="24"/>
  <c r="W505" i="24"/>
  <c r="W528" i="24"/>
  <c r="W519" i="24"/>
  <c r="U450" i="24"/>
  <c r="W491" i="24"/>
  <c r="W429" i="24"/>
  <c r="V550" i="24"/>
  <c r="U394"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N519" i="24"/>
  <c r="P438" i="24"/>
  <c r="P518" i="24"/>
  <c r="N484" i="24"/>
  <c r="P522" i="24"/>
  <c r="P541" i="24"/>
  <c r="N546" i="24"/>
  <c r="N508" i="24"/>
  <c r="P523" i="24"/>
  <c r="N440" i="24"/>
  <c r="F268" i="24"/>
  <c r="W268" i="24" s="1"/>
  <c r="D563" i="24"/>
  <c r="F563" i="24"/>
  <c r="E563"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19"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W448" i="24"/>
  <c r="U540" i="24"/>
  <c r="V424" i="24"/>
  <c r="U551" i="24"/>
  <c r="W493" i="24"/>
  <c r="V540" i="24"/>
  <c r="W443" i="24"/>
  <c r="V499" i="24"/>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U413" i="24"/>
  <c r="V406" i="24"/>
  <c r="P509" i="24"/>
  <c r="N385" i="24"/>
  <c r="N417" i="24"/>
  <c r="N527" i="24"/>
  <c r="N563" i="24"/>
  <c r="N389" i="24"/>
  <c r="P521" i="24"/>
  <c r="N404" i="24"/>
  <c r="N476" i="24"/>
  <c r="P497" i="24"/>
  <c r="P496" i="24"/>
  <c r="P553" i="24"/>
  <c r="P494" i="24"/>
  <c r="N410" i="24"/>
  <c r="P534" i="24"/>
  <c r="V416" i="24"/>
  <c r="U495" i="24"/>
  <c r="P449" i="24"/>
  <c r="N452" i="24"/>
  <c r="N373" i="24"/>
  <c r="N371" i="24"/>
  <c r="P448" i="24"/>
  <c r="N396" i="24"/>
  <c r="W499" i="24"/>
  <c r="P379" i="24"/>
  <c r="N465" i="24"/>
  <c r="N529" i="24"/>
  <c r="N531" i="24"/>
  <c r="N449" i="24"/>
  <c r="P418" i="24"/>
  <c r="N395" i="24"/>
  <c r="P520" i="24"/>
  <c r="P437" i="24"/>
  <c r="N463" i="24"/>
  <c r="P543" i="24"/>
  <c r="P431" i="24"/>
  <c r="N548" i="24"/>
  <c r="U479" i="24"/>
  <c r="V530" i="24"/>
  <c r="W399" i="24"/>
  <c r="V542" i="24"/>
  <c r="V476" i="24"/>
  <c r="U536" i="24"/>
  <c r="U512" i="24"/>
  <c r="W490" i="24"/>
  <c r="W413" i="24"/>
  <c r="W398" i="24"/>
  <c r="U416" i="24"/>
  <c r="W426" i="24"/>
  <c r="W439" i="24"/>
  <c r="W543" i="24"/>
  <c r="U402" i="24"/>
  <c r="U414" i="24"/>
  <c r="W425" i="24"/>
  <c r="V462" i="24"/>
  <c r="V408" i="24"/>
  <c r="V485" i="24"/>
  <c r="V400" i="24"/>
  <c r="V464" i="24"/>
  <c r="W538" i="24"/>
  <c r="U468" i="24"/>
  <c r="W438" i="24"/>
  <c r="V472" i="24"/>
  <c r="U524" i="24"/>
  <c r="V529" i="24"/>
  <c r="W455" i="24"/>
  <c r="V403" i="24"/>
  <c r="W514" i="24"/>
  <c r="U455" i="24"/>
  <c r="W407" i="24"/>
  <c r="V432" i="24"/>
  <c r="V469" i="24"/>
  <c r="V522" i="24"/>
  <c r="V460" i="24"/>
  <c r="U470" i="24"/>
  <c r="V459" i="24"/>
  <c r="W479" i="24"/>
  <c r="V407" i="24"/>
  <c r="W394" i="24"/>
  <c r="V417" i="24"/>
  <c r="U457" i="24"/>
  <c r="U487" i="24"/>
  <c r="V399" i="24"/>
  <c r="V412" i="24"/>
  <c r="U424" i="24"/>
  <c r="U433" i="24"/>
  <c r="U485" i="24"/>
  <c r="W489" i="24"/>
  <c r="W445" i="24"/>
  <c r="U464" i="24"/>
  <c r="V474" i="24"/>
  <c r="V475" i="24"/>
  <c r="U516" i="24"/>
  <c r="V409" i="24"/>
  <c r="W417" i="24"/>
  <c r="W411" i="24"/>
  <c r="V420" i="24"/>
  <c r="U412" i="24"/>
  <c r="V423" i="24"/>
  <c r="W478" i="24"/>
  <c r="W500" i="24"/>
  <c r="U405" i="24"/>
  <c r="U418" i="24"/>
  <c r="W428" i="24"/>
  <c r="W441" i="24"/>
  <c r="W509" i="24"/>
  <c r="W541" i="24"/>
  <c r="W449" i="24"/>
  <c r="V477" i="24"/>
  <c r="V500" i="24"/>
  <c r="U441" i="24"/>
  <c r="U415" i="24"/>
  <c r="V401" i="24"/>
  <c r="V486" i="24"/>
  <c r="V434" i="24"/>
  <c r="V426" i="24"/>
  <c r="V481" i="24"/>
  <c r="V521" i="24"/>
  <c r="W433" i="24"/>
  <c r="V456" i="24"/>
  <c r="V533" i="24"/>
  <c r="V483" i="24"/>
  <c r="U494" i="24"/>
  <c r="U445" i="24"/>
  <c r="U548" i="24"/>
  <c r="V518" i="24"/>
  <c r="AA53" i="9"/>
  <c r="AA54" i="9"/>
  <c r="AA241" i="9"/>
  <c r="AA242" i="9"/>
  <c r="S105" i="9"/>
  <c r="S106" i="9"/>
  <c r="Z18" i="9"/>
  <c r="Z19" i="9"/>
  <c r="Q240" i="9"/>
  <c r="Q241" i="9"/>
  <c r="AA250" i="9"/>
  <c r="AA251" i="9"/>
  <c r="S259" i="9"/>
  <c r="S258" i="9"/>
  <c r="R292" i="9"/>
  <c r="R291" i="9"/>
  <c r="Z394" i="9"/>
  <c r="Z393" i="9"/>
  <c r="Q51" i="9"/>
  <c r="Q52" i="9"/>
  <c r="AA239" i="9"/>
  <c r="AA240" i="9"/>
  <c r="S242" i="9"/>
  <c r="S243" i="9"/>
  <c r="W184" i="24"/>
  <c r="V221" i="24"/>
  <c r="V227" i="24"/>
  <c r="U116" i="24"/>
  <c r="V155" i="24"/>
  <c r="V199" i="24"/>
  <c r="W234" i="24"/>
  <c r="U293" i="24"/>
  <c r="W548" i="24"/>
  <c r="U270" i="24"/>
  <c r="W286" i="24"/>
  <c r="V303" i="24"/>
  <c r="W451" i="24"/>
  <c r="U362" i="24"/>
  <c r="W517" i="24"/>
  <c r="U371" i="24"/>
  <c r="U389" i="24"/>
  <c r="U430" i="24"/>
  <c r="U480" i="24"/>
  <c r="W515" i="24"/>
  <c r="U397" i="24"/>
  <c r="U200" i="24"/>
  <c r="P377" i="24"/>
  <c r="N377" i="24"/>
  <c r="P436" i="24"/>
  <c r="N436" i="24"/>
  <c r="W145" i="24"/>
  <c r="U250" i="24"/>
  <c r="U131" i="24"/>
  <c r="U160" i="24"/>
  <c r="W337" i="24"/>
  <c r="N472" i="24"/>
  <c r="P472" i="24"/>
  <c r="N454" i="24"/>
  <c r="P454" i="24"/>
  <c r="U155" i="24"/>
  <c r="W193" i="24"/>
  <c r="V252" i="24"/>
  <c r="V165" i="24"/>
  <c r="V125" i="24"/>
  <c r="U146" i="24"/>
  <c r="U168" i="24"/>
  <c r="W185" i="24"/>
  <c r="U203" i="24"/>
  <c r="U219" i="24"/>
  <c r="U235" i="24"/>
  <c r="V138" i="24"/>
  <c r="N550" i="24"/>
  <c r="P550" i="24"/>
  <c r="N406" i="24"/>
  <c r="P406" i="24"/>
  <c r="V116" i="24"/>
  <c r="V179" i="24"/>
  <c r="W131" i="24"/>
  <c r="V219" i="24"/>
  <c r="W244" i="24"/>
  <c r="P530" i="24"/>
  <c r="N530" i="24"/>
  <c r="P567" i="24"/>
  <c r="N567" i="24"/>
  <c r="U169" i="24"/>
  <c r="U195" i="24"/>
  <c r="V190" i="24"/>
  <c r="U237" i="24"/>
  <c r="V253" i="24"/>
  <c r="W275" i="24"/>
  <c r="W310" i="24"/>
  <c r="P412" i="24"/>
  <c r="N412" i="24"/>
  <c r="P439" i="24"/>
  <c r="N439" i="24"/>
  <c r="N507" i="24"/>
  <c r="P507" i="24"/>
  <c r="V159" i="24"/>
  <c r="N434" i="24"/>
  <c r="P434" i="24"/>
  <c r="N479" i="24"/>
  <c r="P479" i="24"/>
  <c r="N487" i="24"/>
  <c r="P487" i="24"/>
  <c r="W125" i="24"/>
  <c r="U157" i="24"/>
  <c r="U202" i="24"/>
  <c r="W290" i="24"/>
  <c r="U152" i="24"/>
  <c r="U190" i="24"/>
  <c r="V246" i="24"/>
  <c r="U178" i="24"/>
  <c r="W123" i="24"/>
  <c r="U151" i="24"/>
  <c r="U165" i="24"/>
  <c r="U197" i="24"/>
  <c r="U232" i="24"/>
  <c r="U242" i="24"/>
  <c r="W277" i="24"/>
  <c r="W315" i="24"/>
  <c r="V554" i="24"/>
  <c r="W446" i="24"/>
  <c r="N376" i="24"/>
  <c r="P376" i="24"/>
  <c r="N429" i="24"/>
  <c r="P429" i="24"/>
  <c r="N524" i="24"/>
  <c r="P524" i="24"/>
  <c r="V171" i="24"/>
  <c r="U144" i="24"/>
  <c r="N388" i="24"/>
  <c r="P388" i="24"/>
  <c r="V119" i="24"/>
  <c r="U179" i="24"/>
  <c r="V197" i="24"/>
  <c r="V213" i="24"/>
  <c r="U231" i="24"/>
  <c r="W437" i="24"/>
  <c r="U509" i="24"/>
  <c r="W461" i="24"/>
  <c r="V505" i="24"/>
  <c r="W435" i="24"/>
  <c r="P491" i="24"/>
  <c r="V121" i="24"/>
  <c r="W116" i="24"/>
  <c r="V146" i="24"/>
  <c r="P493" i="24"/>
  <c r="N493" i="24"/>
  <c r="V143" i="24"/>
  <c r="U115" i="24"/>
  <c r="V243" i="24"/>
  <c r="V267" i="24"/>
  <c r="V115" i="24"/>
  <c r="U126" i="24"/>
  <c r="W421" i="24"/>
  <c r="U431" i="24"/>
  <c r="U550" i="24"/>
  <c r="V548" i="24"/>
  <c r="V467" i="24"/>
  <c r="N441" i="24"/>
  <c r="P441" i="24"/>
  <c r="N532" i="24"/>
  <c r="P532" i="24"/>
  <c r="N509" i="24"/>
  <c r="N485" i="24"/>
  <c r="U118" i="24"/>
  <c r="V128" i="24"/>
  <c r="U137" i="24"/>
  <c r="V497" i="24"/>
  <c r="H9" i="24"/>
  <c r="K8" i="24"/>
  <c r="Q216" i="9"/>
  <c r="W410" i="24"/>
  <c r="U458" i="24"/>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D188" i="24"/>
  <c r="D562" i="24"/>
  <c r="E285" i="24"/>
  <c r="D166" i="24"/>
  <c r="F562" i="24"/>
  <c r="D212" i="24"/>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E562" i="24"/>
  <c r="W540" i="24" l="1"/>
  <c r="V414" i="24"/>
  <c r="U517" i="24"/>
  <c r="W531" i="24"/>
  <c r="V455" i="24"/>
  <c r="W464" i="24"/>
  <c r="U489" i="24"/>
  <c r="V526" i="24"/>
  <c r="W518" i="24"/>
  <c r="V438" i="24"/>
  <c r="V463" i="24"/>
  <c r="W431" i="24"/>
  <c r="U481" i="24"/>
  <c r="V504" i="24"/>
  <c r="V498" i="24"/>
  <c r="U522" i="24"/>
  <c r="W465" i="24"/>
  <c r="W497" i="24"/>
  <c r="V555" i="24"/>
  <c r="U452" i="24"/>
  <c r="N393" i="24"/>
  <c r="P393" i="24"/>
  <c r="P467" i="24"/>
  <c r="N467" i="24"/>
  <c r="N492" i="24"/>
  <c r="P492" i="24"/>
  <c r="U461" i="24"/>
  <c r="W395" i="24"/>
  <c r="V546" i="24"/>
  <c r="W496" i="24"/>
  <c r="V478" i="24"/>
  <c r="U453" i="24"/>
  <c r="N537" i="24"/>
  <c r="P537" i="24"/>
  <c r="P511" i="24"/>
  <c r="N511" i="24"/>
  <c r="N489" i="24"/>
  <c r="P489" i="24"/>
  <c r="N457" i="24"/>
  <c r="P457" i="24"/>
  <c r="V531" i="24"/>
  <c r="V433" i="24"/>
  <c r="P474" i="24"/>
  <c r="N474" i="24"/>
  <c r="V512" i="24"/>
  <c r="W460" i="24"/>
  <c r="P466" i="24"/>
  <c r="N488" i="24"/>
  <c r="P488" i="24"/>
  <c r="P564" i="24"/>
  <c r="N564" i="24"/>
  <c r="N401" i="24"/>
  <c r="P401" i="24"/>
  <c r="P459" i="24"/>
  <c r="N459" i="24"/>
  <c r="P490" i="24"/>
  <c r="N490" i="24"/>
  <c r="V544" i="24"/>
  <c r="W474" i="24"/>
  <c r="V541" i="24"/>
  <c r="N565" i="24"/>
  <c r="P565" i="24"/>
  <c r="P538" i="24"/>
  <c r="N538" i="24"/>
  <c r="N556" i="24"/>
  <c r="P556" i="24"/>
  <c r="V440" i="24"/>
  <c r="N542" i="24"/>
  <c r="P542" i="24"/>
  <c r="P391" i="24"/>
  <c r="P535" i="24"/>
  <c r="N535" i="24"/>
  <c r="P545" i="24"/>
  <c r="N545" i="24"/>
  <c r="P369" i="24"/>
  <c r="N369" i="24"/>
  <c r="V461" i="24"/>
  <c r="U541" i="24"/>
  <c r="V441" i="24"/>
  <c r="P428" i="24"/>
  <c r="N428" i="24"/>
  <c r="W440" i="24"/>
  <c r="W450" i="24"/>
  <c r="N402" i="24"/>
  <c r="P402" i="24"/>
  <c r="N450" i="24"/>
  <c r="N512" i="24"/>
  <c r="P512" i="24"/>
  <c r="W472" i="24"/>
  <c r="W469" i="24"/>
  <c r="W553" i="24"/>
  <c r="U502" i="24"/>
  <c r="U529" i="24"/>
  <c r="P540" i="24"/>
  <c r="N540" i="24"/>
  <c r="U546" i="24"/>
  <c r="P378" i="24"/>
  <c r="N378" i="24"/>
  <c r="N381" i="24"/>
  <c r="P381" i="24"/>
  <c r="N451" i="24"/>
  <c r="U519" i="24"/>
  <c r="P544" i="24"/>
  <c r="N544" i="24"/>
  <c r="P513" i="24"/>
  <c r="N513" i="24"/>
  <c r="P374" i="24"/>
  <c r="N374" i="24"/>
  <c r="W510" i="24"/>
  <c r="U514" i="24"/>
  <c r="P433" i="24"/>
  <c r="N433" i="24"/>
  <c r="P408" i="24"/>
  <c r="P499" i="24"/>
  <c r="P514" i="24"/>
  <c r="N526" i="24"/>
  <c r="N372" i="24"/>
  <c r="N442" i="24"/>
  <c r="P435" i="24"/>
  <c r="N435" i="24"/>
  <c r="P456" i="24"/>
  <c r="N456" i="24"/>
  <c r="N421" i="24"/>
  <c r="P421" i="24"/>
  <c r="U436"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V396" i="24"/>
  <c r="V410" i="24"/>
  <c r="W485" i="24"/>
  <c r="N495" i="24"/>
  <c r="P495" i="24"/>
  <c r="N383" i="24"/>
  <c r="P383" i="24"/>
  <c r="N568" i="24"/>
  <c r="P568" i="24"/>
  <c r="Y188" i="9"/>
  <c r="Y189" i="9"/>
  <c r="Y24" i="9"/>
  <c r="Y25" i="9"/>
  <c r="Z254" i="9"/>
  <c r="Z255" i="9"/>
  <c r="Y256" i="9"/>
  <c r="Y255" i="9"/>
  <c r="Z266" i="9"/>
  <c r="Z267" i="9"/>
  <c r="Z260" i="9"/>
  <c r="Z261" i="9"/>
  <c r="Z259" i="9"/>
  <c r="Z258" i="9"/>
  <c r="R277" i="9"/>
  <c r="R276" i="9"/>
  <c r="R278" i="9"/>
  <c r="R279" i="9"/>
  <c r="U471" i="24"/>
  <c r="V524" i="24"/>
  <c r="V513" i="24"/>
  <c r="U478" i="24"/>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W49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V492" i="24"/>
  <c r="AA390" i="9"/>
  <c r="Y386" i="9"/>
  <c r="R206" i="9"/>
  <c r="R205" i="9"/>
  <c r="Z171" i="9"/>
  <c r="S38" i="9"/>
  <c r="S287" i="9"/>
  <c r="Q343" i="9"/>
  <c r="S383" i="9"/>
  <c r="N559" i="24"/>
  <c r="N370" i="24"/>
  <c r="R385" i="9"/>
  <c r="Y234" i="9"/>
  <c r="R230" i="9"/>
  <c r="Z228" i="9"/>
  <c r="R204" i="9"/>
  <c r="S175" i="9"/>
  <c r="Q168" i="9"/>
  <c r="Z164" i="9"/>
  <c r="S9" i="9"/>
  <c r="Z248" i="9"/>
  <c r="AA335" i="9"/>
  <c r="AA334" i="9"/>
  <c r="R388" i="9"/>
  <c r="U476" i="24"/>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U166" i="24"/>
  <c r="V285" i="24"/>
  <c r="U188" i="24"/>
  <c r="U212" i="24"/>
  <c r="J8" i="24"/>
  <c r="G9" i="24"/>
  <c r="K9" i="24"/>
  <c r="H10" i="24"/>
  <c r="L9" i="24" l="1"/>
  <c r="I10" i="24"/>
  <c r="J9" i="24"/>
  <c r="G10" i="24"/>
  <c r="H11" i="24"/>
  <c r="K10" i="24"/>
  <c r="L10" i="24" l="1"/>
  <c r="I11" i="24"/>
  <c r="H12" i="24"/>
  <c r="K11" i="24"/>
  <c r="J10" i="24"/>
  <c r="G11" i="24"/>
  <c r="L11" i="24" l="1"/>
  <c r="I12" i="24"/>
  <c r="J11" i="24"/>
  <c r="G12" i="24"/>
  <c r="K12" i="24"/>
  <c r="H13" i="24"/>
  <c r="I13" i="24" l="1"/>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R468" i="10"/>
  <c r="O469" i="10"/>
  <c r="R407" i="8"/>
  <c r="U466" i="10"/>
  <c r="T406" i="8"/>
  <c r="U407" i="9"/>
  <c r="P411" i="8"/>
  <c r="I466" i="10"/>
  <c r="AA409" i="8"/>
  <c r="AA469" i="10"/>
  <c r="W468" i="10"/>
  <c r="Z409" i="9"/>
  <c r="V469" i="10"/>
  <c r="T408" i="8"/>
  <c r="Q468" i="10"/>
  <c r="R407" i="9"/>
  <c r="R408" i="9"/>
  <c r="N404" i="9"/>
  <c r="V464" i="10"/>
  <c r="D464" i="10"/>
  <c r="M464" i="10"/>
  <c r="AA468" i="10"/>
  <c r="O409" i="9"/>
  <c r="I409" i="8"/>
  <c r="N464" i="10"/>
  <c r="E408" i="8"/>
  <c r="F466" i="10"/>
  <c r="E406" i="8"/>
  <c r="Q408" i="8"/>
  <c r="D409" i="8"/>
  <c r="R409" i="9"/>
  <c r="F468" i="10"/>
  <c r="R411" i="8"/>
  <c r="S405" i="9"/>
  <c r="W407" i="8"/>
  <c r="H411" i="8"/>
  <c r="K408" i="8"/>
  <c r="Q410" i="8"/>
  <c r="AA404" i="9"/>
  <c r="G464" i="10"/>
  <c r="U404" i="9"/>
  <c r="M410" i="8"/>
  <c r="V409" i="9"/>
  <c r="W405" i="9"/>
  <c r="N469" i="10"/>
  <c r="Q409" i="8"/>
  <c r="N409" i="9"/>
  <c r="S465" i="10"/>
  <c r="P464" i="10"/>
  <c r="E469" i="10"/>
  <c r="Z406" i="9"/>
  <c r="N466" i="10"/>
  <c r="J465" i="10"/>
  <c r="P407" i="8"/>
  <c r="G406" i="8"/>
  <c r="L467" i="10"/>
  <c r="S409" i="9"/>
  <c r="U464" i="10"/>
  <c r="V407" i="8"/>
  <c r="I406" i="9"/>
  <c r="R409" i="8"/>
  <c r="J410" i="8"/>
  <c r="W466" i="10"/>
  <c r="D467" i="10"/>
  <c r="G408" i="8"/>
  <c r="W408" i="8"/>
  <c r="Y464" i="10"/>
  <c r="O466" i="10"/>
  <c r="R408" i="8"/>
  <c r="AB409" i="8"/>
  <c r="AA465" i="10"/>
  <c r="D469" i="10"/>
  <c r="AC406" i="8"/>
  <c r="F410" i="8"/>
  <c r="AA410" i="8"/>
  <c r="U468" i="10"/>
  <c r="J466" i="10"/>
  <c r="S408" i="8"/>
  <c r="K405" i="9"/>
  <c r="S407" i="9"/>
  <c r="X464" i="10"/>
  <c r="N468" i="10"/>
  <c r="D407" i="8"/>
  <c r="W408" i="9"/>
  <c r="E411" i="8"/>
  <c r="H410" i="8"/>
  <c r="Q467" i="10"/>
  <c r="G409" i="8"/>
  <c r="V410" i="8"/>
  <c r="AA409" i="9"/>
  <c r="M407" i="9"/>
  <c r="T407" i="8"/>
  <c r="G410" i="8"/>
  <c r="Q406" i="9"/>
  <c r="V411" i="8"/>
  <c r="N465" i="10"/>
  <c r="J404" i="9"/>
  <c r="R406" i="8"/>
  <c r="Q408" i="9"/>
  <c r="Y404" i="9"/>
  <c r="O464" i="10"/>
  <c r="F409" i="8"/>
  <c r="Q465" i="10"/>
  <c r="Z404" i="9"/>
  <c r="U405" i="9"/>
  <c r="Y408" i="9"/>
  <c r="U409" i="9"/>
  <c r="W467" i="10"/>
  <c r="X467" i="10"/>
  <c r="G469" i="10"/>
  <c r="W464" i="10"/>
  <c r="M408" i="9"/>
  <c r="Z468" i="10"/>
  <c r="U406" i="9"/>
  <c r="Q409" i="9"/>
  <c r="Q406" i="8"/>
  <c r="I408" i="9"/>
  <c r="J407" i="9"/>
  <c r="AA467" i="10"/>
  <c r="W465" i="10"/>
  <c r="M467" i="10"/>
  <c r="J409" i="8"/>
  <c r="E410" i="8"/>
  <c r="X407" i="8"/>
  <c r="J406" i="8"/>
  <c r="F469" i="10"/>
  <c r="P410" i="8"/>
  <c r="T410" i="8"/>
  <c r="Z410" i="8"/>
  <c r="Q411" i="8"/>
  <c r="M469" i="10"/>
  <c r="J468" i="10"/>
  <c r="G407" i="8"/>
  <c r="S409" i="8"/>
  <c r="H465" i="10"/>
  <c r="Z405" i="9"/>
  <c r="S407" i="8"/>
  <c r="R464" i="10"/>
  <c r="Q469" i="10"/>
  <c r="O408" i="8"/>
  <c r="Q407" i="9"/>
  <c r="V406" i="9"/>
  <c r="AB406" i="8"/>
  <c r="M411" i="8"/>
  <c r="N408" i="9"/>
  <c r="F407" i="8"/>
  <c r="X465" i="10"/>
  <c r="M405" i="9"/>
  <c r="E409" i="8"/>
  <c r="X411" i="8"/>
  <c r="J406" i="9"/>
  <c r="E407" i="8"/>
  <c r="G466" i="10"/>
  <c r="J411" i="8"/>
  <c r="U465" i="10"/>
  <c r="S466" i="10"/>
  <c r="Y406" i="8"/>
  <c r="P409" i="8"/>
  <c r="X469" i="10"/>
  <c r="J405" i="9"/>
  <c r="Y409" i="8"/>
  <c r="R469" i="10"/>
  <c r="R410" i="8"/>
  <c r="I465" i="10"/>
  <c r="N408" i="8"/>
  <c r="V406" i="8"/>
  <c r="Y467" i="10"/>
  <c r="J467" i="10"/>
  <c r="AA406" i="8"/>
  <c r="Y469" i="10"/>
  <c r="H407" i="8"/>
  <c r="Y466" i="10"/>
  <c r="Q407" i="8"/>
  <c r="V466" i="10"/>
  <c r="K408" i="9"/>
  <c r="W404" i="9"/>
  <c r="AC407" i="8"/>
  <c r="I405" i="9"/>
  <c r="Y407" i="9"/>
  <c r="I407" i="9"/>
  <c r="Z408" i="9"/>
  <c r="S404" i="9"/>
  <c r="M465" i="10"/>
  <c r="E466" i="10"/>
  <c r="M408" i="8"/>
  <c r="AC411" i="8"/>
  <c r="O408" i="9"/>
  <c r="E465" i="10"/>
  <c r="S467" i="10"/>
  <c r="V465" i="10"/>
  <c r="M468" i="10"/>
  <c r="S410" i="8"/>
  <c r="AC408" i="8"/>
  <c r="J464" i="10"/>
  <c r="K409" i="9"/>
  <c r="M407" i="8"/>
  <c r="O406" i="8"/>
  <c r="M404" i="9"/>
  <c r="O465" i="10"/>
  <c r="R466" i="10"/>
  <c r="U408" i="9"/>
  <c r="X468" i="10"/>
  <c r="N405" i="9"/>
  <c r="Y409" i="9"/>
  <c r="H467" i="10"/>
  <c r="F467" i="10"/>
  <c r="R404" i="9"/>
  <c r="K409" i="8"/>
  <c r="G468" i="10"/>
  <c r="W406" i="9"/>
  <c r="N410" i="8"/>
  <c r="Y408" i="8"/>
  <c r="O468" i="10"/>
  <c r="G411" i="8"/>
  <c r="I407" i="8"/>
  <c r="K410" i="8"/>
  <c r="AA411" i="8"/>
  <c r="P465" i="10"/>
  <c r="V409" i="8"/>
  <c r="E468" i="10"/>
  <c r="R467" i="10"/>
  <c r="M406" i="9"/>
  <c r="X466" i="10"/>
  <c r="AA407" i="9"/>
  <c r="Z407" i="9"/>
  <c r="L465" i="10"/>
  <c r="X409" i="8"/>
  <c r="AA408" i="9"/>
  <c r="K404" i="9"/>
  <c r="I468" i="10"/>
  <c r="N411" i="8"/>
  <c r="AB407" i="8"/>
  <c r="N409" i="8"/>
  <c r="Z464" i="10"/>
  <c r="M406" i="8"/>
  <c r="V407" i="9"/>
  <c r="R406" i="9"/>
  <c r="P466" i="10"/>
  <c r="V408" i="9"/>
  <c r="Y465" i="10"/>
  <c r="T411" i="8"/>
  <c r="W406" i="8"/>
  <c r="O409" i="8"/>
  <c r="J408" i="8"/>
  <c r="Z465" i="10"/>
  <c r="M409" i="8"/>
  <c r="N407" i="8"/>
  <c r="Z408" i="8"/>
  <c r="D468" i="10"/>
  <c r="Y405" i="9"/>
  <c r="H408" i="8"/>
  <c r="R465" i="10"/>
  <c r="F411" i="8"/>
  <c r="S408" i="9"/>
  <c r="Y406" i="9"/>
  <c r="Q466" i="10"/>
  <c r="S406" i="9"/>
  <c r="K406" i="8"/>
  <c r="W411" i="8"/>
  <c r="Z411" i="8"/>
  <c r="X410" i="8"/>
  <c r="I406" i="8"/>
  <c r="AA466" i="10"/>
  <c r="F406" i="8"/>
  <c r="Y468" i="10"/>
  <c r="N467" i="10"/>
  <c r="O406" i="9"/>
  <c r="D411" i="8"/>
  <c r="AA406" i="9"/>
  <c r="I408" i="8"/>
  <c r="AA408" i="8"/>
  <c r="V467" i="10"/>
  <c r="W410" i="8"/>
  <c r="G465" i="10"/>
  <c r="D410" i="8"/>
  <c r="V408" i="8"/>
  <c r="F464" i="10"/>
  <c r="P406" i="8"/>
  <c r="E464" i="10"/>
  <c r="F465" i="10"/>
  <c r="I411" i="8"/>
  <c r="P469" i="10"/>
  <c r="N407" i="9"/>
  <c r="Q404" i="9"/>
  <c r="E467" i="10"/>
  <c r="T409" i="8"/>
  <c r="AC410" i="8"/>
  <c r="U467" i="10"/>
  <c r="J469" i="10"/>
  <c r="L464" i="10"/>
  <c r="I409" i="9"/>
  <c r="G467" i="10"/>
  <c r="Y410" i="8"/>
  <c r="H466" i="10"/>
  <c r="S464" i="10"/>
  <c r="P467" i="10"/>
  <c r="O407" i="9"/>
  <c r="J408" i="9"/>
  <c r="V468" i="10"/>
  <c r="F408" i="8"/>
  <c r="N406" i="8"/>
  <c r="J409" i="9"/>
  <c r="AA405" i="9"/>
  <c r="I467" i="10"/>
  <c r="L466" i="10"/>
  <c r="S411" i="8"/>
  <c r="O405" i="9"/>
  <c r="W469" i="10"/>
  <c r="Q405" i="9"/>
  <c r="O411" i="8"/>
  <c r="J407" i="8"/>
  <c r="N406" i="9"/>
  <c r="D466" i="10"/>
  <c r="AA407" i="8"/>
  <c r="P468" i="10"/>
  <c r="AB408" i="8"/>
  <c r="H464" i="10"/>
  <c r="V405" i="9"/>
  <c r="H409" i="8"/>
  <c r="O404" i="9"/>
  <c r="O467" i="10"/>
  <c r="L469" i="10"/>
  <c r="H469" i="10"/>
  <c r="S469" i="10"/>
  <c r="Z407" i="8"/>
  <c r="I410" i="8"/>
  <c r="S468" i="10"/>
  <c r="P408" i="8"/>
  <c r="Z467" i="10"/>
  <c r="D406" i="8"/>
  <c r="M466" i="10"/>
  <c r="K406" i="9"/>
  <c r="K411" i="8"/>
  <c r="Z406" i="8"/>
  <c r="AA464" i="10"/>
  <c r="W407" i="9"/>
  <c r="K407" i="9"/>
  <c r="Y411" i="8"/>
  <c r="K407" i="8"/>
  <c r="M409" i="9"/>
  <c r="AB411" i="8"/>
  <c r="S406" i="8"/>
  <c r="L468" i="10"/>
  <c r="Y407" i="8"/>
  <c r="W409" i="9"/>
  <c r="D465" i="10"/>
  <c r="Q464" i="10"/>
  <c r="AB410" i="8"/>
  <c r="H468" i="10"/>
  <c r="Z466" i="10"/>
  <c r="O407" i="8"/>
  <c r="V404" i="9"/>
  <c r="I404" i="9"/>
  <c r="W409" i="8"/>
  <c r="R405" i="9"/>
  <c r="X406" i="8"/>
  <c r="D408" i="8"/>
  <c r="X408" i="8"/>
  <c r="AC409" i="8"/>
  <c r="I464" i="10"/>
  <c r="O410" i="8"/>
  <c r="Z409" i="8"/>
  <c r="I469" i="10"/>
  <c r="U469" i="10"/>
  <c r="Z469" i="10"/>
  <c r="H406" i="8"/>
  <c r="AA414" i="9" l="1"/>
  <c r="AA413" i="9"/>
  <c r="R414" i="9"/>
  <c r="R413" i="9"/>
  <c r="Q413" i="9"/>
  <c r="Q414" i="9"/>
  <c r="I413" i="9"/>
  <c r="I414" i="9"/>
  <c r="S414" i="9"/>
  <c r="S413" i="9"/>
  <c r="Y414" i="9"/>
  <c r="Y413" i="9"/>
  <c r="K414" i="9"/>
  <c r="K413" i="9"/>
  <c r="Z413" i="9"/>
  <c r="Z414" i="9"/>
  <c r="J414" i="9"/>
  <c r="J413" i="9"/>
  <c r="L22" i="24"/>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H559" i="24"/>
  <c r="K558" i="24"/>
  <c r="L558" i="24" l="1"/>
  <c r="I559" i="24"/>
  <c r="K559" i="24"/>
  <c r="H560" i="24"/>
  <c r="J558" i="24"/>
  <c r="G559" i="24"/>
  <c r="I560" i="24" l="1"/>
  <c r="L559" i="24"/>
  <c r="G560" i="24"/>
  <c r="J559" i="24"/>
  <c r="K560" i="24"/>
  <c r="H561" i="24"/>
  <c r="L560" i="24" l="1"/>
  <c r="I561" i="24"/>
  <c r="K561" i="24"/>
  <c r="H562" i="24"/>
  <c r="G561" i="24"/>
  <c r="J560" i="24"/>
  <c r="H563" i="24" l="1"/>
  <c r="K563" i="24" s="1"/>
  <c r="K562" i="24"/>
  <c r="L561" i="24"/>
  <c r="I562" i="24"/>
  <c r="J561" i="24"/>
  <c r="G562" i="24"/>
  <c r="H564" i="24"/>
  <c r="H565" i="24" l="1"/>
  <c r="K564" i="24"/>
  <c r="I563" i="24"/>
  <c r="L562" i="24"/>
  <c r="G563" i="24"/>
  <c r="J562" i="24"/>
  <c r="H566" i="24" l="1"/>
  <c r="H567" i="24" s="1"/>
  <c r="H568" i="24" s="1"/>
  <c r="K565" i="24"/>
  <c r="G564" i="24"/>
  <c r="J563" i="24"/>
  <c r="I564" i="24"/>
  <c r="L563" i="24"/>
  <c r="I565" i="24" l="1"/>
  <c r="L564" i="24"/>
  <c r="G565" i="24"/>
  <c r="J564" i="24"/>
  <c r="G566" i="24" l="1"/>
  <c r="G567" i="24" s="1"/>
  <c r="G568" i="24" s="1"/>
  <c r="J565" i="24"/>
  <c r="I566" i="24"/>
  <c r="I567" i="24" s="1"/>
  <c r="I568" i="24" s="1"/>
  <c r="L56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<sst xmlns="http://schemas.openxmlformats.org/spreadsheetml/2006/main" count="2967" uniqueCount="875">
  <si>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</si>
  <si>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</si>
  <si>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</si>
  <si>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</si>
  <si>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</si>
  <si>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</si>
  <si>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</si>
  <si>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</si>
  <si>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</si>
  <si>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</si>
  <si>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</si>
  <si>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</si>
  <si>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</si>
  <si>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</si>
  <si>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</si>
  <si>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</si>
  <si>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</si>
  <si>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</si>
  <si>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</si>
  <si>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</si>
  <si>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</si>
  <si>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</si>
  <si>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</si>
  <si>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</si>
  <si>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</si>
  <si>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</si>
  <si>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</si>
  <si>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</si>
  <si>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</si>
  <si>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</si>
  <si>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</si>
  <si>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</si>
  <si>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</si>
  <si>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</si>
  <si>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</si>
  <si>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</si>
  <si>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</si>
  <si>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</si>
  <si>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</si>
  <si>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</si>
  <si>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</si>
  <si>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</si>
  <si>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</si>
  <si>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</si>
  <si>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</si>
  <si>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</si>
  <si>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</si>
  <si>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</si>
  <si>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</si>
  <si>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</si>
  <si>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</si>
  <si>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</si>
  <si>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</si>
  <si>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</si>
  <si>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</si>
  <si>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</si>
  <si>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</si>
  <si>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</si>
  <si>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</si>
  <si>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</si>
  <si>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</si>
  <si>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</si>
  <si>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</si>
  <si>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</si>
  <si>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</si>
  <si>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</si>
  <si>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</si>
  <si>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</si>
  <si>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</si>
  <si>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</si>
  <si>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</si>
  <si>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</si>
  <si>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</si>
  <si>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</si>
  <si>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</si>
  <si>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</si>
  <si>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</si>
  <si>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</si>
  <si>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</si>
  <si>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</si>
  <si>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</si>
  <si>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</si>
  <si>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</si>
  <si>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</si>
  <si>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</si>
  <si>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</si>
  <si>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</si>
  <si>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</si>
  <si>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</si>
  <si>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</si>
  <si>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</si>
  <si>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</si>
  <si>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</si>
  <si>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</si>
  <si>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</si>
  <si>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</si>
  <si>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</si>
  <si>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</si>
  <si>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</si>
  <si>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</si>
  <si>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</si>
  <si>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</si>
  <si>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</si>
  <si>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</si>
  <si>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</si>
  <si>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</si>
  <si>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</si>
  <si>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</si>
  <si>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</si>
  <si>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</si>
  <si>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</si>
  <si>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</si>
  <si>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</si>
  <si>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</si>
  <si>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</si>
  <si>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</si>
  <si>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</si>
  <si>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</si>
  <si>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</si>
  <si>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</si>
  <si>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</si>
  <si>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</si>
  <si>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</si>
  <si>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</si>
  <si>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</si>
  <si>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</si>
  <si>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</si>
  <si>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</si>
  <si>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</si>
  <si>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</si>
  <si>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</si>
  <si>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</si>
  <si>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</si>
  <si>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</si>
  <si>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</si>
  <si>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</si>
  <si>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</si>
  <si>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</si>
  <si>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</si>
  <si>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</si>
  <si>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</si>
  <si>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</si>
  <si>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</si>
  <si>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</si>
  <si>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</si>
  <si>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</si>
  <si>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</si>
  <si>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</si>
  <si>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</si>
  <si>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</si>
  <si>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</si>
  <si>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</si>
  <si>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</si>
  <si>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</si>
  <si>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</si>
  <si>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</si>
  <si>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</si>
  <si>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</si>
  <si>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</si>
  <si>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</si>
  <si>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</si>
  <si>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</si>
  <si>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</si>
  <si>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</si>
  <si>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</si>
  <si>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</si>
  <si>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</si>
  <si>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</si>
  <si>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</si>
  <si>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</si>
  <si>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</si>
  <si>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</si>
  <si>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</si>
  <si>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</si>
  <si>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</si>
  <si>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</si>
  <si>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</si>
  <si>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</si>
  <si>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</si>
  <si>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</si>
  <si>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</si>
  <si>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</si>
  <si>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</si>
  <si>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</si>
  <si>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</si>
  <si>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</si>
  <si>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</si>
  <si>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</si>
  <si>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</si>
  <si>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</si>
  <si>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</si>
  <si>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</si>
  <si>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</si>
  <si>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</si>
  <si>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</si>
  <si>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</si>
  <si>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</si>
  <si>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</si>
  <si>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</si>
  <si>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</si>
  <si>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</si>
  <si>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</si>
  <si>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</si>
  <si>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</si>
  <si>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</si>
  <si>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</si>
  <si>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</si>
  <si>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</si>
  <si>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</si>
  <si>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</si>
  <si>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</si>
  <si>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</si>
  <si>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</si>
  <si>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</si>
  <si>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</si>
  <si>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</si>
  <si>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</si>
  <si>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</si>
  <si>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</si>
  <si>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</si>
  <si>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</si>
  <si>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</si>
  <si>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</si>
  <si>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</si>
  <si>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</si>
  <si>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</si>
  <si>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</si>
  <si>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</si>
  <si>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</si>
  <si>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</si>
  <si>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</si>
  <si>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</si>
  <si>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</si>
  <si>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</si>
  <si>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</si>
  <si>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</si>
  <si>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</si>
  <si>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</si>
  <si>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</si>
  <si>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</si>
  <si>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</si>
  <si>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</si>
  <si>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</si>
  <si>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</si>
  <si>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</si>
  <si>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</si>
  <si>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</si>
  <si>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</si>
  <si>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</si>
  <si>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</si>
  <si>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</si>
  <si>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</si>
  <si>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</si>
  <si>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</si>
  <si>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</si>
  <si>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</si>
  <si>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</si>
  <si>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</si>
  <si>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</si>
  <si>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</si>
  <si>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</si>
  <si>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</si>
  <si>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</si>
  <si>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</si>
  <si>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</si>
  <si>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</si>
  <si>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</si>
  <si>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</si>
  <si>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</si>
  <si>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</si>
  <si>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</si>
  <si>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</si>
  <si>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</si>
  <si>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</si>
  <si>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</si>
  <si>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</si>
  <si>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</si>
  <si>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</si>
  <si>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</si>
  <si>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</si>
  <si>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</si>
  <si>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</si>
  <si>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</si>
  <si>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</si>
  <si>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</si>
  <si>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</si>
  <si>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</si>
  <si>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</si>
  <si>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</si>
  <si>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</si>
  <si>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</si>
  <si>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</si>
  <si>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</si>
  <si>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</si>
  <si>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</si>
  <si>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</si>
  <si>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</si>
  <si>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</si>
  <si>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</si>
  <si>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</si>
  <si>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</si>
  <si>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</si>
  <si>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</si>
  <si>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</si>
  <si>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</si>
  <si>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</si>
  <si>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</si>
  <si>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</si>
  <si>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</si>
  <si>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</si>
  <si>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</si>
  <si>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</si>
  <si>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</si>
  <si>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</si>
  <si>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</si>
  <si>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</si>
  <si>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</si>
  <si>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</si>
  <si>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</si>
  <si>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</si>
  <si>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</si>
  <si>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</si>
  <si>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</si>
  <si>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</si>
  <si>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</si>
  <si>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</si>
  <si>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</si>
  <si>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</si>
  <si>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</si>
  <si>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</si>
  <si>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</si>
  <si>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</si>
  <si>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</si>
  <si>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</si>
  <si>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</si>
  <si>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</si>
  <si>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</si>
  <si>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</si>
  <si>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</si>
  <si>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</si>
  <si>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</si>
  <si>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</si>
  <si>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</si>
  <si>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</si>
  <si>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</si>
  <si>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</si>
  <si>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</si>
  <si>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</si>
  <si>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</si>
  <si>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</si>
  <si>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</si>
  <si>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</si>
  <si>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</si>
  <si>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</si>
  <si>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</si>
  <si>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</si>
  <si>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</si>
  <si>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</si>
  <si>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</si>
  <si>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</si>
  <si>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</si>
  <si>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</si>
  <si>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</si>
  <si>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</si>
  <si>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</si>
  <si>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</si>
  <si>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</si>
  <si>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</si>
  <si>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</si>
  <si>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</si>
  <si>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</si>
  <si>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</si>
  <si>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</si>
  <si>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</si>
  <si>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</si>
  <si>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</si>
  <si>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</si>
  <si>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</si>
  <si>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</si>
  <si>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</si>
  <si>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</si>
  <si>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</si>
  <si>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</si>
  <si>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</si>
  <si>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</si>
  <si>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</si>
  <si>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</si>
  <si>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</si>
  <si>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</si>
  <si>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</si>
  <si>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</si>
  <si>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</si>
  <si>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</si>
  <si>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</si>
  <si>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</si>
  <si>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</si>
  <si>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</si>
  <si>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</si>
  <si>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</si>
  <si>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</si>
  <si>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</si>
  <si>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</si>
  <si>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</si>
  <si>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</si>
  <si>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</si>
  <si>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</si>
  <si>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</si>
  <si>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</si>
  <si>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</si>
  <si>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</si>
  <si>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</si>
  <si>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</si>
  <si>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</si>
  <si>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</si>
  <si>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</si>
  <si>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</si>
  <si>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</si>
  <si>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</si>
  <si>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</si>
  <si>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</si>
  <si>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</si>
  <si>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</si>
  <si>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</si>
  <si>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</si>
  <si>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</si>
  <si>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</si>
  <si>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</si>
  <si>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</si>
  <si>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</si>
  <si>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</si>
  <si>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</si>
  <si>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</si>
  <si>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</si>
  <si>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</si>
  <si>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</si>
  <si>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</si>
  <si>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</si>
  <si>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</si>
  <si>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</si>
  <si>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</si>
  <si>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</si>
  <si>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</si>
  <si>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</si>
  <si>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</si>
  <si>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</si>
  <si>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</si>
  <si>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</si>
  <si>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</si>
  <si>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</si>
  <si>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</si>
  <si>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</si>
  <si>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</si>
  <si>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</si>
  <si>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</si>
  <si>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</si>
  <si>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</si>
  <si>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</si>
  <si>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</si>
  <si>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</si>
  <si>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</si>
  <si>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</si>
  <si>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</si>
  <si>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</si>
  <si>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</si>
  <si>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</si>
  <si>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</si>
  <si>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</si>
  <si>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</si>
  <si>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</si>
  <si>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</si>
  <si>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</si>
  <si>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</si>
  <si>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</si>
  <si>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</si>
  <si>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</si>
  <si>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</si>
  <si>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</si>
  <si>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</si>
  <si>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</si>
  <si>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</si>
  <si>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</si>
  <si>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</si>
  <si>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</si>
  <si>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</si>
  <si>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</si>
  <si>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</si>
  <si>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</si>
  <si>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</si>
  <si>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</si>
  <si>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</si>
  <si>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</si>
  <si>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</si>
  <si>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</si>
  <si>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</si>
  <si>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</si>
  <si>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</si>
  <si>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</si>
  <si>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</si>
  <si>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</si>
  <si>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</si>
  <si>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</si>
  <si>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</si>
  <si>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</si>
  <si>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</si>
  <si>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</si>
  <si>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</si>
  <si>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</si>
  <si>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</si>
  <si>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</si>
  <si>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</si>
  <si>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</si>
  <si>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</si>
  <si>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</si>
  <si>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</si>
  <si>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</si>
  <si>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</si>
  <si>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</si>
  <si>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</si>
  <si>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</si>
  <si>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</si>
  <si>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</si>
  <si>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</si>
  <si>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</si>
  <si>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</si>
  <si>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</si>
  <si>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</si>
  <si>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</si>
  <si>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</si>
  <si>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</si>
  <si>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</si>
  <si>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</si>
  <si>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</si>
  <si>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</si>
  <si>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</si>
  <si>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</si>
  <si>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</si>
  <si>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</si>
  <si>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</si>
  <si>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</si>
  <si>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</si>
  <si>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</si>
  <si>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</si>
  <si>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</si>
  <si>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</si>
  <si>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</si>
  <si>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</si>
  <si>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</si>
  <si>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</si>
  <si>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</si>
  <si>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</si>
  <si>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</si>
  <si>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</si>
  <si>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</si>
  <si>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</si>
  <si>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</si>
  <si>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</si>
  <si>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</si>
  <si>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</si>
  <si>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</si>
  <si>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</si>
  <si>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</si>
  <si>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</si>
  <si>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</si>
  <si>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</si>
  <si>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</si>
  <si>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</si>
  <si>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</si>
  <si>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</si>
  <si>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</si>
  <si>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</si>
  <si>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</si>
  <si>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</si>
  <si>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</si>
  <si>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</si>
  <si>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</si>
  <si>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</si>
  <si>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</si>
  <si>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</si>
  <si>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</si>
  <si>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</si>
  <si>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</si>
  <si>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</si>
  <si>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</si>
  <si>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</si>
  <si>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</si>
  <si>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</si>
  <si>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</si>
  <si>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</si>
  <si>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</si>
  <si>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</si>
  <si>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</si>
  <si>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</si>
  <si>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</si>
  <si>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</si>
  <si>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</si>
  <si>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</si>
  <si>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</si>
  <si>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</si>
  <si>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</si>
  <si>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</si>
  <si>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</si>
  <si>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</si>
  <si>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</si>
  <si>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</si>
  <si>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</si>
  <si>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</si>
  <si>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</si>
  <si>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</si>
  <si>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</si>
  <si>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</si>
  <si>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</si>
  <si>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</si>
  <si>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</si>
  <si>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</si>
  <si>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</si>
  <si>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</si>
  <si>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</si>
  <si>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</si>
  <si>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</si>
  <si>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</si>
  <si>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</si>
  <si>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</si>
  <si>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</si>
  <si>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</si>
  <si>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</si>
  <si>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</si>
  <si>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</si>
  <si>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</si>
  <si>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</si>
  <si>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</si>
  <si>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</si>
  <si>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</si>
  <si>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</si>
  <si>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</si>
  <si>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</si>
  <si>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</si>
  <si>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</si>
  <si>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</si>
  <si>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</si>
  <si>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</si>
  <si>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</si>
  <si>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</si>
  <si>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</si>
  <si>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</si>
  <si>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</si>
  <si>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</si>
  <si>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</si>
  <si>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</si>
  <si>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</si>
  <si>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</si>
  <si>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</si>
  <si>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</si>
  <si>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</si>
  <si>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</si>
  <si>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</si>
  <si>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</si>
  <si>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</si>
  <si>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</si>
  <si>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</si>
  <si>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</si>
  <si>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</si>
  <si>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</si>
  <si>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</si>
  <si>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</si>
  <si>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</si>
  <si>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</si>
  <si>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</si>
  <si>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</si>
  <si>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</si>
  <si>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</si>
  <si>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</si>
  <si>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</si>
  <si>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</si>
  <si>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</si>
  <si>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</si>
  <si>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</si>
  <si>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</si>
  <si>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</si>
  <si>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</si>
  <si>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</si>
  <si>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</si>
  <si>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</si>
  <si>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</si>
  <si>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</si>
  <si>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</si>
  <si>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</si>
  <si>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</si>
  <si>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</si>
  <si>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</si>
  <si>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</si>
  <si>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</si>
  <si>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</si>
  <si>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</si>
  <si>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</si>
  <si>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</si>
  <si>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</si>
  <si>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</si>
  <si>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</si>
  <si>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</si>
  <si>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</si>
  <si>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</si>
  <si>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</si>
  <si>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</si>
  <si>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</si>
  <si>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</si>
  <si>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</si>
  <si>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</si>
  <si>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</si>
  <si>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</si>
  <si>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</si>
  <si>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</si>
  <si>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</si>
  <si>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</si>
  <si>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</si>
  <si>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</si>
  <si>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</si>
  <si>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</si>
  <si>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下げ止まり</t>
    <rPh sb="0" eb="1">
      <t>サ</t>
    </rPh>
    <rPh sb="2" eb="3">
      <t>ド</t>
    </rPh>
    <phoneticPr fontId="3"/>
  </si>
  <si>
    <t>悪化</t>
    <rPh sb="0" eb="2">
      <t>アッカ</t>
    </rPh>
    <phoneticPr fontId="3"/>
  </si>
  <si>
    <t>局面変化</t>
    <rPh sb="0" eb="2">
      <t>キョクメン</t>
    </rPh>
    <rPh sb="2" eb="4">
      <t>ヘンカ</t>
    </rPh>
    <phoneticPr fontId="3"/>
  </si>
  <si>
    <t>足踏み</t>
    <rPh sb="0" eb="2">
      <t>アシブ</t>
    </rPh>
    <phoneticPr fontId="3"/>
  </si>
  <si>
    <t>改善</t>
    <rPh sb="0" eb="2">
      <t>カイゼン</t>
    </rPh>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</si>
  <si>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</si>
  <si>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</si>
  <si>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</si>
  <si>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</si>
  <si>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</si>
  <si>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</si>
  <si>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</si>
  <si>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</si>
  <si>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</si>
  <si>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</si>
  <si>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</si>
  <si>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</si>
  <si>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</si>
  <si>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</si>
  <si>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</si>
  <si>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</si>
  <si>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</si>
  <si>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</si>
  <si>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</si>
  <si>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</si>
  <si>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</si>
  <si>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</si>
  <si>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</si>
  <si>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</si>
  <si>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</si>
  <si>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</si>
  <si>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</si>
  <si>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</si>
  <si>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</si>
  <si>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</si>
  <si>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</si>
  <si>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</si>
  <si>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</si>
  <si>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</si>
  <si>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</si>
  <si>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</si>
  <si>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</si>
  <si>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</si>
  <si>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</si>
  <si>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</si>
  <si>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</si>
  <si>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</si>
  <si>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</si>
  <si>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</si>
  <si>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</si>
  <si>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</si>
  <si>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</si>
  <si>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</si>
  <si>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</si>
  <si>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</si>
  <si>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</si>
  <si>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</si>
  <si>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</si>
  <si>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</si>
  <si>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</si>
  <si>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</si>
  <si>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</si>
  <si>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</si>
  <si>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</si>
  <si>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</si>
  <si>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</si>
  <si>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</si>
  <si>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</si>
  <si>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</si>
  <si>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</si>
  <si>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</si>
  <si>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</si>
  <si>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</si>
  <si>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</si>
  <si>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</si>
  <si>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</si>
  <si>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</si>
  <si>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</si>
  <si>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</si>
  <si>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</si>
  <si>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</si>
  <si>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</si>
  <si>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</si>
  <si>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</si>
  <si>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</si>
  <si>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</si>
  <si>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</si>
  <si>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</si>
  <si>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</si>
  <si>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</si>
  <si>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</si>
  <si>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</si>
  <si>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</si>
  <si>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</si>
  <si>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</si>
  <si>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</si>
  <si>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</si>
  <si>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</si>
  <si>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</si>
  <si>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３.</t>
    <phoneticPr fontId="3"/>
  </si>
  <si>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</si>
  <si>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</si>
  <si>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</si>
  <si>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</si>
  <si>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</si>
  <si>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</si>
  <si>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輸出入通関実績は、令和６年確定値公表に伴い遡及改訂を行った。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</si>
  <si>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</si>
  <si>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</si>
  <si>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</si>
  <si>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</si>
  <si>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</si>
  <si>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</si>
  <si>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</si>
  <si>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</si>
  <si>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</si>
  <si>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景気動向指数（ＣＩ一致指数）は、下方への局面変化を示している。</t>
    <rPh sb="16" eb="18">
      <t>カホウ</t>
    </rPh>
    <rPh sb="20" eb="22">
      <t>キョクメン</t>
    </rPh>
    <rPh sb="22" eb="24">
      <t>ヘンカ</t>
    </rPh>
    <phoneticPr fontId="3"/>
  </si>
  <si>
    <t>２か月ぶりの
上昇</t>
    <rPh sb="2" eb="3">
      <t>ゲツ</t>
    </rPh>
    <rPh sb="7" eb="9">
      <t>ジョウショウ</t>
    </rPh>
    <phoneticPr fontId="3"/>
  </si>
  <si>
    <t>３か月連続の
下降</t>
    <rPh sb="2" eb="3">
      <t>ゲツ</t>
    </rPh>
    <rPh sb="3" eb="5">
      <t>レンゾク</t>
    </rPh>
    <rPh sb="7" eb="9">
      <t>カコウ</t>
    </rPh>
    <phoneticPr fontId="3"/>
  </si>
  <si>
    <t>25</t>
    <phoneticPr fontId="3"/>
  </si>
  <si>
    <t>３か月ぶりの
上昇</t>
    <rPh sb="2" eb="3">
      <t>ゲツ</t>
    </rPh>
    <rPh sb="7" eb="9">
      <t>ジョウショウ</t>
    </rPh>
    <phoneticPr fontId="3"/>
  </si>
  <si>
    <t>３か月ぶりの
上昇</t>
    <rPh sb="7" eb="9">
      <t>ジョウショウ</t>
    </rPh>
    <phoneticPr fontId="3"/>
  </si>
  <si>
    <t>２か月ぶりの
下降</t>
    <rPh sb="2" eb="3">
      <t>ゲツ</t>
    </rPh>
    <rPh sb="7" eb="9">
      <t>カコウ</t>
    </rPh>
    <phoneticPr fontId="3"/>
  </si>
  <si>
    <t>６か月連続の
下降</t>
    <rPh sb="2" eb="3">
      <t>ゲツ</t>
    </rPh>
    <rPh sb="3" eb="5">
      <t>レンゾク</t>
    </rPh>
    <rPh sb="7" eb="9">
      <t>カコウ</t>
    </rPh>
    <phoneticPr fontId="3"/>
  </si>
  <si>
    <t>６か月連続の
下降</t>
    <rPh sb="1" eb="3">
      <t>レンゾク</t>
    </rPh>
    <rPh sb="3" eb="5">
      <t>ジョウショウ</t>
    </rPh>
    <rPh sb="5" eb="7">
      <t>カコウ</t>
    </rPh>
    <phoneticPr fontId="3"/>
  </si>
  <si>
    <t>14か月連続の
上昇</t>
    <rPh sb="2" eb="3">
      <t>ゲツ</t>
    </rPh>
    <rPh sb="4" eb="6">
      <t>ジョウショウ</t>
    </rPh>
    <phoneticPr fontId="3"/>
  </si>
  <si>
    <t>４か月連続の
下降</t>
    <rPh sb="2" eb="3">
      <t>ゲツ</t>
    </rPh>
    <rPh sb="3" eb="5">
      <t>レンゾク</t>
    </rPh>
    <rPh sb="7" eb="9">
      <t>カコウ</t>
    </rPh>
    <phoneticPr fontId="3"/>
  </si>
  <si>
    <t>令和７年９月分</t>
  </si>
  <si>
    <t>令和７年９月のＣＩ(令和２年＝100)は、</t>
  </si>
  <si>
    <t>先行指数： 150.9、一致指数： 132.1、遅行指数： 119.8となった。</t>
  </si>
  <si>
    <t>景気動向指数（ＣＩ一致指数）は、上方への局面変化を示している。</t>
  </si>
  <si>
    <t>令和７年９月</t>
  </si>
  <si>
    <t>令和７年９月のＣＩ(令和２年＝100)は、先行指数： 150.9、一致指数： 132.1、遅行指数： 119.8となった。</t>
  </si>
  <si>
    <t>３か月ぶりの
上昇</t>
  </si>
  <si>
    <t>２か月ぶりの
下降</t>
  </si>
  <si>
    <t>14か月連続の
上昇</t>
  </si>
  <si>
    <t>６か月連続の
下降</t>
  </si>
  <si>
    <t>３か月連続の
下降</t>
  </si>
  <si>
    <t>２か月ぶりの
上昇</t>
  </si>
  <si>
    <t>４か月連続の
下降</t>
  </si>
  <si>
    <t>景気動向指数（ＣＩ一致指数）は、下方への局面変化を示している。</t>
  </si>
  <si>
    <t>C6 生産財生産指数</t>
  </si>
  <si>
    <t>C2 雇用保険受給者実人員</t>
  </si>
  <si>
    <t>C5 鉱工業生産指数</t>
  </si>
  <si>
    <t>C3 所定外労働時間数</t>
  </si>
  <si>
    <t>C7 人件費比率</t>
  </si>
  <si>
    <t xml:space="preserve">C4 投資財生産指数 </t>
  </si>
  <si>
    <t>C1 有効求人倍率</t>
  </si>
  <si>
    <t>4月</t>
  </si>
  <si>
    <t>5月</t>
  </si>
  <si>
    <t>6月</t>
  </si>
  <si>
    <t>7月</t>
  </si>
  <si>
    <t>8月</t>
  </si>
  <si>
    <t>9月</t>
  </si>
  <si>
    <t>８．（参考）ＤＩ変化方向表（令和６年９月～令和７年９月）</t>
  </si>
  <si>
    <t>－</t>
  </si>
  <si>
    <t>＋</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</si>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</sst>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7">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66">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0" fontId="58" fillId="0" borderId="27" xfId="14" applyFont="1" applyBorder="1"/>
    <xf numFmtId="0" fontId="37" fillId="0" borderId="27" xfId="14" applyFont="1" applyBorder="1"/>
    <xf numFmtId="0" fontId="59" fillId="0" borderId="27" xfId="14" applyFont="1" applyBorder="1"/>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2" fontId="37" fillId="0" borderId="8" xfId="0" applyNumberFormat="1" applyFont="1" applyBorder="1" applyAlignment="1">
      <alignment horizontal="centerContinuous" vertical="center"/>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3" fontId="43" fillId="0" borderId="166" xfId="18" applyNumberFormat="1" applyFont="1" applyBorder="1" applyAlignment="1">
      <alignment vertic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0" xfId="0" applyNumberFormat="1" applyFont="1" applyAlignment="1">
      <alignment horizontal="center" vertical="center" wrapText="1"/>
    </xf>
    <xf numFmtId="2" fontId="37" fillId="0" borderId="0" xfId="0" applyNumberFormat="1" applyFont="1" applyAlignment="1">
      <alignment horizontal="centerContinuous" vertical="center" wrapText="1"/>
    </xf>
    <xf numFmtId="2" fontId="37" fillId="0" borderId="0" xfId="0" applyNumberFormat="1" applyFont="1" applyAlignment="1">
      <alignment horizontal="centerContinuous" vertical="center"/>
    </xf>
    <xf numFmtId="2" fontId="37" fillId="0" borderId="3" xfId="0" applyNumberFormat="1" applyFont="1" applyBorder="1" applyAlignment="1">
      <alignment horizontal="centerContinuous" vertical="center"/>
    </xf>
    <xf numFmtId="0" fontId="37" fillId="0" borderId="35" xfId="0" applyFont="1" applyBorder="1" applyAlignment="1">
      <alignment vertical="center"/>
    </xf>
    <xf numFmtId="0" fontId="37" fillId="0" borderId="33" xfId="0" applyFont="1" applyBorder="1" applyAlignment="1">
      <alignment vertical="center"/>
    </xf>
    <xf numFmtId="0" fontId="37" fillId="0" borderId="36" xfId="0" applyFont="1" applyBorder="1" applyAlignment="1">
      <alignment vertical="center"/>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2" fontId="37" fillId="0" borderId="9" xfId="0" applyNumberFormat="1" applyFont="1" applyBorder="1" applyAlignment="1">
      <alignment horizontal="center" vertical="center" wrapText="1"/>
    </xf>
    <xf numFmtId="2" fontId="37" fillId="0" borderId="246" xfId="0" applyNumberFormat="1" applyFont="1" applyBorder="1" applyAlignment="1">
      <alignment horizontal="center" vertical="center" wrapText="1"/>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766">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pt idx="558">
                  <c:v>42.857142857142854</c:v>
                </c:pt>
                <c:pt idx="559">
                  <c:v>14.285714285714286</c:v>
                </c:pt>
                <c:pt idx="560">
                  <c:v>42.857142857142854</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pt idx="559">
                  <c:v>1865.0000000000005</c:v>
                </c:pt>
                <c:pt idx="560">
                  <c:v>1857.8571428571431</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pt idx="558" formatCode="0">
                  <c:v>1625</c:v>
                </c:pt>
                <c:pt idx="559" formatCode="0">
                  <c:v>1587.5</c:v>
                </c:pt>
                <c:pt idx="560" formatCode="0">
                  <c:v>1587.5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pt idx="558">
                  <c:v>324.90476190476113</c:v>
                </c:pt>
                <c:pt idx="559">
                  <c:v>289.19047619047547</c:v>
                </c:pt>
                <c:pt idx="560">
                  <c:v>282.04761904761835</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140.54285714285714</c:v>
                </c:pt>
                <c:pt idx="37">
                  <c:v>141.98571428571429</c:v>
                </c:pt>
                <c:pt idx="38">
                  <c:v>143.07142857142858</c:v>
                </c:pt>
                <c:pt idx="39">
                  <c:v>144.49999999999997</c:v>
                </c:pt>
                <c:pt idx="40">
                  <c:v>144.55714285714285</c:v>
                </c:pt>
                <c:pt idx="41">
                  <c:v>146.78571428571428</c:v>
                </c:pt>
                <c:pt idx="42">
                  <c:v>147.90000000000003</c:v>
                </c:pt>
                <c:pt idx="43">
                  <c:v>147.94285714285715</c:v>
                </c:pt>
                <c:pt idx="44">
                  <c:v>148.42857142857142</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142.5</c:v>
                </c:pt>
                <c:pt idx="37">
                  <c:v>144.96666666666667</c:v>
                </c:pt>
                <c:pt idx="38">
                  <c:v>146.36666666666667</c:v>
                </c:pt>
                <c:pt idx="39">
                  <c:v>147.73333333333335</c:v>
                </c:pt>
                <c:pt idx="40">
                  <c:v>145.63333333333335</c:v>
                </c:pt>
                <c:pt idx="41">
                  <c:v>149.1</c:v>
                </c:pt>
                <c:pt idx="42">
                  <c:v>148.6</c:v>
                </c:pt>
                <c:pt idx="43">
                  <c:v>150.4</c:v>
                </c:pt>
                <c:pt idx="44">
                  <c:v>148.79999999999998</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146.30000000000001</c:v>
                </c:pt>
                <c:pt idx="37">
                  <c:v>147.5</c:v>
                </c:pt>
                <c:pt idx="38">
                  <c:v>145.30000000000001</c:v>
                </c:pt>
                <c:pt idx="39">
                  <c:v>150.4</c:v>
                </c:pt>
                <c:pt idx="40">
                  <c:v>141.19999999999999</c:v>
                </c:pt>
                <c:pt idx="41">
                  <c:v>155.69999999999999</c:v>
                </c:pt>
                <c:pt idx="42">
                  <c:v>148.9</c:v>
                </c:pt>
                <c:pt idx="43">
                  <c:v>146.6</c:v>
                </c:pt>
                <c:pt idx="44">
                  <c:v>150.9</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pt idx="42">
                  <c:v>126.02857142857144</c:v>
                </c:pt>
                <c:pt idx="43">
                  <c:v>124.61428571428573</c:v>
                </c:pt>
                <c:pt idx="44">
                  <c:v>123.47142857142856</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pt idx="42">
                  <c:v>124.3</c:v>
                </c:pt>
                <c:pt idx="43">
                  <c:v>122.53333333333335</c:v>
                </c:pt>
                <c:pt idx="44">
                  <c:v>121.16666666666667</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pt idx="42">
                  <c:v>125.1</c:v>
                </c:pt>
                <c:pt idx="43">
                  <c:v>118.6</c:v>
                </c:pt>
                <c:pt idx="44">
                  <c:v>119.8</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115.4</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97.2</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104</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146.30000000000001</c:v>
                </c:pt>
                <c:pt idx="301">
                  <c:v>147.5</c:v>
                </c:pt>
                <c:pt idx="302">
                  <c:v>145.30000000000001</c:v>
                </c:pt>
                <c:pt idx="303">
                  <c:v>150.4</c:v>
                </c:pt>
                <c:pt idx="304">
                  <c:v>141.19999999999999</c:v>
                </c:pt>
                <c:pt idx="305">
                  <c:v>155.69999999999999</c:v>
                </c:pt>
                <c:pt idx="306">
                  <c:v>148.9</c:v>
                </c:pt>
                <c:pt idx="307">
                  <c:v>146.6</c:v>
                </c:pt>
                <c:pt idx="308">
                  <c:v>150.9</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102.5</c:v>
                </c:pt>
                <c:pt idx="5">
                  <c:v>105</c:v>
                </c:pt>
                <c:pt idx="6">
                  <c:v>106.4</c:v>
                </c:pt>
                <c:pt idx="7">
                  <c:v>102.4</c:v>
                </c:pt>
                <c:pt idx="8">
                  <c:v>107.9</c:v>
                </c:pt>
                <c:pt idx="9">
                  <c:v>109.1</c:v>
                </c:pt>
                <c:pt idx="10">
                  <c:v>110.9</c:v>
                </c:pt>
                <c:pt idx="11">
                  <c:v>110.6</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92.2</c:v>
                </c:pt>
                <c:pt idx="37">
                  <c:v>92.6</c:v>
                </c:pt>
                <c:pt idx="38">
                  <c:v>98.5</c:v>
                </c:pt>
                <c:pt idx="39">
                  <c:v>92.9</c:v>
                </c:pt>
                <c:pt idx="40">
                  <c:v>97.9</c:v>
                </c:pt>
                <c:pt idx="41">
                  <c:v>101.1</c:v>
                </c:pt>
                <c:pt idx="42">
                  <c:v>102.5</c:v>
                </c:pt>
                <c:pt idx="43">
                  <c:v>103.6</c:v>
                </c:pt>
                <c:pt idx="44">
                  <c:v>108.6</c:v>
                </c:pt>
                <c:pt idx="45">
                  <c:v>111.3</c:v>
                </c:pt>
                <c:pt idx="46">
                  <c:v>113.1</c:v>
                </c:pt>
                <c:pt idx="47">
                  <c:v>114.3</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143.6</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132.30000000000001</c:v>
                </c:pt>
                <c:pt idx="259">
                  <c:v>139.30000000000001</c:v>
                </c:pt>
                <c:pt idx="260">
                  <c:v>135.6</c:v>
                </c:pt>
                <c:pt idx="261">
                  <c:v>134.1</c:v>
                </c:pt>
                <c:pt idx="262">
                  <c:v>136.30000000000001</c:v>
                </c:pt>
                <c:pt idx="263">
                  <c:v>143.1</c:v>
                </c:pt>
                <c:pt idx="264">
                  <c:v>149</c:v>
                </c:pt>
                <c:pt idx="265">
                  <c:v>148.4</c:v>
                </c:pt>
                <c:pt idx="266">
                  <c:v>149.4</c:v>
                </c:pt>
                <c:pt idx="267">
                  <c:v>147.30000000000001</c:v>
                </c:pt>
                <c:pt idx="268">
                  <c:v>151.5</c:v>
                </c:pt>
                <c:pt idx="269">
                  <c:v>151</c:v>
                </c:pt>
                <c:pt idx="270">
                  <c:v>157.6</c:v>
                </c:pt>
                <c:pt idx="271">
                  <c:v>154.80000000000001</c:v>
                </c:pt>
                <c:pt idx="272">
                  <c:v>159.30000000000001</c:v>
                </c:pt>
                <c:pt idx="273">
                  <c:v>147.80000000000001</c:v>
                </c:pt>
                <c:pt idx="274">
                  <c:v>153.9</c:v>
                </c:pt>
                <c:pt idx="275">
                  <c:v>147.5</c:v>
                </c:pt>
                <c:pt idx="276">
                  <c:v>149.5</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135.1</c:v>
                </c:pt>
                <c:pt idx="292">
                  <c:v>136.69999999999999</c:v>
                </c:pt>
                <c:pt idx="293">
                  <c:v>135</c:v>
                </c:pt>
                <c:pt idx="294">
                  <c:v>130.5</c:v>
                </c:pt>
                <c:pt idx="295">
                  <c:v>132.5</c:v>
                </c:pt>
                <c:pt idx="296">
                  <c:v>137.30000000000001</c:v>
                </c:pt>
                <c:pt idx="297">
                  <c:v>146.9</c:v>
                </c:pt>
                <c:pt idx="298">
                  <c:v>140.4</c:v>
                </c:pt>
                <c:pt idx="299">
                  <c:v>138.69999999999999</c:v>
                </c:pt>
                <c:pt idx="300">
                  <c:v>146.4</c:v>
                </c:pt>
                <c:pt idx="301">
                  <c:v>148.1</c:v>
                </c:pt>
                <c:pt idx="302">
                  <c:v>153.5</c:v>
                </c:pt>
                <c:pt idx="303">
                  <c:v>138.80000000000001</c:v>
                </c:pt>
                <c:pt idx="304">
                  <c:v>141</c:v>
                </c:pt>
                <c:pt idx="305">
                  <c:v>141.30000000000001</c:v>
                </c:pt>
                <c:pt idx="306">
                  <c:v>133.5</c:v>
                </c:pt>
                <c:pt idx="307">
                  <c:v>131.5</c:v>
                </c:pt>
                <c:pt idx="308">
                  <c:v>132.1</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90.2</c:v>
                </c:pt>
                <c:pt idx="53">
                  <c:v>89.7</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95.2</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98.6</c:v>
                </c:pt>
                <c:pt idx="107">
                  <c:v>94.7</c:v>
                </c:pt>
                <c:pt idx="108">
                  <c:v>91.2</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pt idx="306">
                  <c:v>125.1</c:v>
                </c:pt>
                <c:pt idx="307">
                  <c:v>118.6</c:v>
                </c:pt>
                <c:pt idx="308">
                  <c:v>119.8</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pt idx="558">
                  <c:v>0</c:v>
                </c:pt>
                <c:pt idx="559">
                  <c:v>12.5</c:v>
                </c:pt>
                <c:pt idx="560">
                  <c:v>50</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45720</xdr:colOff>
          <xdr:row>5</xdr:row>
          <xdr:rowOff>274320</xdr:rowOff>
        </xdr:from>
        <xdr:to>
          <xdr:col>10</xdr:col>
          <xdr:colOff>1188720</xdr:colOff>
          <xdr:row>6</xdr:row>
          <xdr:rowOff>350520</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15315" y="6932295"/>
          <a:ext cx="3870960" cy="34480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60960</xdr:rowOff>
        </xdr:from>
        <xdr:to>
          <xdr:col>7</xdr:col>
          <xdr:colOff>30480</xdr:colOff>
          <xdr:row>43</xdr:row>
          <xdr:rowOff>45720</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3771424" y="6295549"/>
          <a:ext cx="2336482" cy="636270"/>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091089" y="0"/>
          <a:ext cx="3123724"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091089" y="0"/>
          <a:ext cx="3123724"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091089" y="0"/>
          <a:ext cx="3123724"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091089" y="0"/>
          <a:ext cx="3123724"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091089" y="0"/>
          <a:ext cx="3123724"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091089" y="0"/>
          <a:ext cx="3123724"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091089" y="0"/>
          <a:ext cx="3123724"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091089" y="0"/>
          <a:ext cx="3123724"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091089" y="0"/>
          <a:ext cx="3123724"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091089" y="0"/>
          <a:ext cx="3123724"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091089" y="0"/>
          <a:ext cx="3123724"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091089" y="0"/>
          <a:ext cx="3123724"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091089" y="0"/>
          <a:ext cx="3123724"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091089" y="0"/>
          <a:ext cx="3123724"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421380" y="2954655"/>
          <a:ext cx="2065020" cy="560070"/>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744980" y="3808095"/>
          <a:ext cx="2670810" cy="407670"/>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310890" y="3063240"/>
          <a:ext cx="2175510" cy="567690"/>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735455" y="3810000"/>
          <a:ext cx="2585085" cy="39624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5330" y="3036570"/>
          <a:ext cx="2120265" cy="55626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733550" y="3810000"/>
          <a:ext cx="2636520" cy="407670"/>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0.90\tokei_sv2\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0.90\tokei_sv2\107%20&#65315;&#65321;&#12289;&#26223;&#27841;\&#9670;&#26223;&#27671;&#21205;&#21521;&#25351;&#25968;\&#9679;&#26032;CI\06%20&#23395;&#31680;&#35519;&#25972;\2024-07\R6&#23395;&#31680;&#35519;&#25972;&#35336;&#31639;by&#30001;&#32000;\&#12298;&#20844;&#34920;&#36039;&#26009;&#122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107%20&#65315;&#65321;&#12289;&#26223;&#27841;\7.12.26&#26223;&#27841;&#20844;&#34920;\&#65315;&#65321;&#12487;&#12540;&#12479;.xls" TargetMode="External"/><Relationship Id="rId1" Type="http://schemas.openxmlformats.org/officeDocument/2006/relationships/externalLinkPath" Target="file:///Y:\107%20&#65315;&#65321;&#12289;&#26223;&#27841;\7.12.26&#26223;&#27841;&#20844;&#34920;\&#65315;&#65321;&#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数値"/>
      <sheetName val="DI数値_3ヶ月前比"/>
      <sheetName val="季節指数（D16 E18）"/>
      <sheetName val="季節調整値 有効桁"/>
      <sheetName val="各月DI数値"/>
      <sheetName val="季節調整値 原データ"/>
      <sheetName val="DI差"/>
    </sheetNames>
    <sheetDataSet>
      <sheetData sheetId="0"/>
      <sheetData sheetId="1"/>
      <sheetData sheetId="2"/>
      <sheetData sheetId="3"/>
      <sheetData sheetId="4">
        <row r="3">
          <cell r="J3">
            <v>85.714285714285708</v>
          </cell>
          <cell r="S3">
            <v>75</v>
          </cell>
          <cell r="AA3">
            <v>85.714285714285708</v>
          </cell>
        </row>
        <row r="4">
          <cell r="J4">
            <v>85.714285714285708</v>
          </cell>
          <cell r="S4">
            <v>75</v>
          </cell>
          <cell r="AA4">
            <v>85.714285714285708</v>
          </cell>
        </row>
        <row r="5">
          <cell r="J5">
            <v>85.714285714285708</v>
          </cell>
          <cell r="S5">
            <v>75</v>
          </cell>
          <cell r="AA5">
            <v>71.428571428571431</v>
          </cell>
        </row>
        <row r="6">
          <cell r="J6">
            <v>85.714285714285708</v>
          </cell>
          <cell r="S6">
            <v>75</v>
          </cell>
          <cell r="AA6">
            <v>71.428571428571431</v>
          </cell>
        </row>
        <row r="7">
          <cell r="J7">
            <v>85.714285714285708</v>
          </cell>
          <cell r="S7">
            <v>75</v>
          </cell>
          <cell r="AA7">
            <v>85.714285714285708</v>
          </cell>
        </row>
        <row r="8">
          <cell r="J8">
            <v>42.857142857142854</v>
          </cell>
          <cell r="S8">
            <v>75</v>
          </cell>
          <cell r="AA8">
            <v>14.285714285714286</v>
          </cell>
        </row>
        <row r="9">
          <cell r="J9">
            <v>71.428571428571431</v>
          </cell>
          <cell r="S9">
            <v>50</v>
          </cell>
          <cell r="AA9">
            <v>57.142857142857146</v>
          </cell>
        </row>
        <row r="10">
          <cell r="J10">
            <v>28.571428571428573</v>
          </cell>
          <cell r="S10">
            <v>50</v>
          </cell>
          <cell r="AA10">
            <v>71.428571428571431</v>
          </cell>
        </row>
        <row r="11">
          <cell r="J11">
            <v>85.714285714285708</v>
          </cell>
          <cell r="S11">
            <v>75</v>
          </cell>
          <cell r="AA11">
            <v>85.714285714285708</v>
          </cell>
        </row>
        <row r="12">
          <cell r="J12">
            <v>85.714285714285708</v>
          </cell>
          <cell r="S12">
            <v>50</v>
          </cell>
          <cell r="AA12">
            <v>57.142857142857146</v>
          </cell>
        </row>
        <row r="13">
          <cell r="J13">
            <v>78.571428571428569</v>
          </cell>
          <cell r="S13">
            <v>75</v>
          </cell>
          <cell r="AA13">
            <v>71.428571428571431</v>
          </cell>
        </row>
        <row r="14">
          <cell r="J14">
            <v>57.142857142857146</v>
          </cell>
          <cell r="S14">
            <v>87.5</v>
          </cell>
          <cell r="AA14">
            <v>57.142857142857146</v>
          </cell>
        </row>
        <row r="15">
          <cell r="J15">
            <v>57.142857142857146</v>
          </cell>
          <cell r="S15">
            <v>62.5</v>
          </cell>
          <cell r="AA15">
            <v>57.142857142857146</v>
          </cell>
        </row>
        <row r="16">
          <cell r="J16">
            <v>28.571428571428573</v>
          </cell>
          <cell r="S16">
            <v>25</v>
          </cell>
          <cell r="AA16">
            <v>71.428571428571431</v>
          </cell>
        </row>
        <row r="17">
          <cell r="J17">
            <v>92.857142857142861</v>
          </cell>
          <cell r="S17">
            <v>75</v>
          </cell>
          <cell r="AA17">
            <v>85.714285714285708</v>
          </cell>
        </row>
        <row r="18">
          <cell r="J18">
            <v>85.714285714285708</v>
          </cell>
          <cell r="S18">
            <v>50</v>
          </cell>
          <cell r="AA18">
            <v>28.571428571428573</v>
          </cell>
        </row>
        <row r="19">
          <cell r="J19">
            <v>78.571428571428569</v>
          </cell>
          <cell r="S19">
            <v>75</v>
          </cell>
          <cell r="AA19">
            <v>64.285714285714292</v>
          </cell>
        </row>
        <row r="20">
          <cell r="J20">
            <v>100</v>
          </cell>
          <cell r="S20">
            <v>62.5</v>
          </cell>
          <cell r="AA20">
            <v>100</v>
          </cell>
        </row>
        <row r="21">
          <cell r="J21">
            <v>71.428571428571431</v>
          </cell>
          <cell r="S21">
            <v>75</v>
          </cell>
          <cell r="AA21">
            <v>71.428571428571431</v>
          </cell>
        </row>
        <row r="22">
          <cell r="J22">
            <v>57.142857142857146</v>
          </cell>
          <cell r="S22">
            <v>87.5</v>
          </cell>
          <cell r="AA22">
            <v>57.142857142857146</v>
          </cell>
        </row>
        <row r="23">
          <cell r="J23">
            <v>57.142857142857146</v>
          </cell>
          <cell r="S23">
            <v>87.5</v>
          </cell>
          <cell r="AA23">
            <v>85.714285714285708</v>
          </cell>
        </row>
        <row r="24">
          <cell r="J24">
            <v>71.428571428571431</v>
          </cell>
          <cell r="S24">
            <v>75</v>
          </cell>
          <cell r="AA24">
            <v>85.714285714285708</v>
          </cell>
        </row>
        <row r="25">
          <cell r="J25">
            <v>57.142857142857146</v>
          </cell>
          <cell r="S25">
            <v>75</v>
          </cell>
          <cell r="AA25">
            <v>42.857142857142854</v>
          </cell>
        </row>
        <row r="26">
          <cell r="J26">
            <v>71.428571428571431</v>
          </cell>
          <cell r="S26">
            <v>75</v>
          </cell>
          <cell r="AA26">
            <v>71.428571428571431</v>
          </cell>
        </row>
        <row r="27">
          <cell r="J27">
            <v>50</v>
          </cell>
          <cell r="S27">
            <v>62.5</v>
          </cell>
          <cell r="AA27">
            <v>71.428571428571431</v>
          </cell>
        </row>
        <row r="28">
          <cell r="J28">
            <v>57.142857142857146</v>
          </cell>
          <cell r="S28">
            <v>75</v>
          </cell>
          <cell r="AA28">
            <v>71.428571428571431</v>
          </cell>
        </row>
        <row r="29">
          <cell r="J29">
            <v>42.857142857142854</v>
          </cell>
          <cell r="S29">
            <v>87.5</v>
          </cell>
          <cell r="AA29">
            <v>42.857142857142854</v>
          </cell>
        </row>
        <row r="30">
          <cell r="J30">
            <v>64.285714285714292</v>
          </cell>
          <cell r="S30">
            <v>50</v>
          </cell>
          <cell r="AA30">
            <v>85.714285714285708</v>
          </cell>
        </row>
        <row r="31">
          <cell r="J31">
            <v>71.428571428571431</v>
          </cell>
          <cell r="S31">
            <v>43.75</v>
          </cell>
          <cell r="AA31">
            <v>57.142857142857146</v>
          </cell>
        </row>
        <row r="32">
          <cell r="J32">
            <v>71.428571428571431</v>
          </cell>
          <cell r="S32">
            <v>62.5</v>
          </cell>
          <cell r="AA32">
            <v>71.428571428571431</v>
          </cell>
        </row>
        <row r="33">
          <cell r="J33">
            <v>85.714285714285708</v>
          </cell>
          <cell r="S33">
            <v>75</v>
          </cell>
          <cell r="AA33">
            <v>28.571428571428573</v>
          </cell>
        </row>
        <row r="34">
          <cell r="J34">
            <v>85.714285714285708</v>
          </cell>
          <cell r="S34">
            <v>87.5</v>
          </cell>
          <cell r="AA34">
            <v>42.857142857142854</v>
          </cell>
        </row>
        <row r="35">
          <cell r="J35">
            <v>85.714285714285708</v>
          </cell>
          <cell r="S35">
            <v>37.5</v>
          </cell>
          <cell r="AA35">
            <v>14.285714285714286</v>
          </cell>
        </row>
        <row r="36">
          <cell r="J36">
            <v>35.714285714285715</v>
          </cell>
          <cell r="S36">
            <v>75</v>
          </cell>
          <cell r="AA36">
            <v>57.142857142857146</v>
          </cell>
        </row>
        <row r="37">
          <cell r="J37">
            <v>28.571428571428573</v>
          </cell>
          <cell r="S37">
            <v>56.25</v>
          </cell>
          <cell r="AA37">
            <v>57.142857142857146</v>
          </cell>
        </row>
        <row r="38">
          <cell r="J38">
            <v>14.285714285714286</v>
          </cell>
          <cell r="S38">
            <v>25</v>
          </cell>
          <cell r="AA38">
            <v>100</v>
          </cell>
        </row>
        <row r="39">
          <cell r="J39">
            <v>28.571428571428573</v>
          </cell>
          <cell r="S39">
            <v>50</v>
          </cell>
          <cell r="AA39">
            <v>85.714285714285708</v>
          </cell>
        </row>
        <row r="40">
          <cell r="J40">
            <v>42.857142857142854</v>
          </cell>
          <cell r="S40">
            <v>62.5</v>
          </cell>
          <cell r="AA40">
            <v>85.714285714285708</v>
          </cell>
        </row>
        <row r="41">
          <cell r="J41">
            <v>42.857142857142854</v>
          </cell>
          <cell r="S41">
            <v>37.5</v>
          </cell>
          <cell r="AA41">
            <v>71.428571428571431</v>
          </cell>
        </row>
        <row r="42">
          <cell r="J42">
            <v>71.428571428571431</v>
          </cell>
          <cell r="S42">
            <v>75</v>
          </cell>
          <cell r="AA42">
            <v>28.571428571428573</v>
          </cell>
        </row>
        <row r="43">
          <cell r="J43">
            <v>42.857142857142854</v>
          </cell>
          <cell r="S43">
            <v>75</v>
          </cell>
          <cell r="AA43">
            <v>57.142857142857146</v>
          </cell>
        </row>
        <row r="44">
          <cell r="J44">
            <v>14.285714285714286</v>
          </cell>
          <cell r="S44">
            <v>62.5</v>
          </cell>
          <cell r="AA44">
            <v>57.142857142857146</v>
          </cell>
        </row>
        <row r="45">
          <cell r="J45">
            <v>50</v>
          </cell>
          <cell r="S45">
            <v>50</v>
          </cell>
          <cell r="AA45">
            <v>64.285714285714292</v>
          </cell>
        </row>
        <row r="46">
          <cell r="J46">
            <v>57.142857142857146</v>
          </cell>
          <cell r="S46">
            <v>37.5</v>
          </cell>
          <cell r="AA46">
            <v>57.142857142857146</v>
          </cell>
        </row>
        <row r="47">
          <cell r="J47">
            <v>28.571428571428573</v>
          </cell>
          <cell r="S47">
            <v>0</v>
          </cell>
          <cell r="AA47">
            <v>71.428571428571431</v>
          </cell>
        </row>
        <row r="48">
          <cell r="J48">
            <v>57.142857142857146</v>
          </cell>
          <cell r="S48">
            <v>12.5</v>
          </cell>
          <cell r="AA48">
            <v>57.142857142857146</v>
          </cell>
        </row>
        <row r="49">
          <cell r="J49">
            <v>57.142857142857146</v>
          </cell>
          <cell r="S49">
            <v>50</v>
          </cell>
          <cell r="AA49">
            <v>57.142857142857146</v>
          </cell>
        </row>
        <row r="50">
          <cell r="J50">
            <v>28.571428571428573</v>
          </cell>
          <cell r="S50">
            <v>25</v>
          </cell>
          <cell r="AA50">
            <v>50</v>
          </cell>
        </row>
        <row r="51">
          <cell r="J51">
            <v>42.857142857142854</v>
          </cell>
          <cell r="S51">
            <v>37.5</v>
          </cell>
          <cell r="AA51">
            <v>50</v>
          </cell>
        </row>
        <row r="52">
          <cell r="J52">
            <v>14.285714285714286</v>
          </cell>
          <cell r="S52">
            <v>37.5</v>
          </cell>
          <cell r="AA52">
            <v>71.428571428571431</v>
          </cell>
        </row>
        <row r="53">
          <cell r="J53">
            <v>14.285714285714286</v>
          </cell>
          <cell r="S53">
            <v>0</v>
          </cell>
          <cell r="AA53">
            <v>57.142857142857146</v>
          </cell>
        </row>
        <row r="54">
          <cell r="J54">
            <v>71.428571428571431</v>
          </cell>
          <cell r="S54">
            <v>12.5</v>
          </cell>
          <cell r="AA54">
            <v>50</v>
          </cell>
        </row>
        <row r="55">
          <cell r="J55">
            <v>28.571428571428573</v>
          </cell>
          <cell r="S55">
            <v>25</v>
          </cell>
          <cell r="AA55">
            <v>42.857142857142854</v>
          </cell>
        </row>
        <row r="56">
          <cell r="J56">
            <v>57.142857142857146</v>
          </cell>
          <cell r="S56">
            <v>0</v>
          </cell>
          <cell r="AA56">
            <v>42.857142857142854</v>
          </cell>
        </row>
        <row r="57">
          <cell r="J57">
            <v>57.142857142857146</v>
          </cell>
          <cell r="S57">
            <v>0</v>
          </cell>
          <cell r="AA57">
            <v>28.571428571428573</v>
          </cell>
        </row>
        <row r="58">
          <cell r="J58">
            <v>57.142857142857146</v>
          </cell>
          <cell r="S58">
            <v>12.5</v>
          </cell>
          <cell r="AA58">
            <v>28.571428571428573</v>
          </cell>
        </row>
        <row r="59">
          <cell r="J59">
            <v>14.285714285714286</v>
          </cell>
          <cell r="S59">
            <v>37.5</v>
          </cell>
          <cell r="AA59">
            <v>28.571428571428573</v>
          </cell>
        </row>
        <row r="60">
          <cell r="J60">
            <v>57.142857142857146</v>
          </cell>
          <cell r="S60">
            <v>12.5</v>
          </cell>
          <cell r="AA60">
            <v>28.571428571428573</v>
          </cell>
        </row>
        <row r="61">
          <cell r="J61">
            <v>14.285714285714286</v>
          </cell>
          <cell r="S61">
            <v>12.5</v>
          </cell>
          <cell r="AA61">
            <v>57.142857142857146</v>
          </cell>
        </row>
        <row r="62">
          <cell r="J62">
            <v>28.571428571428573</v>
          </cell>
          <cell r="S62">
            <v>18.75</v>
          </cell>
          <cell r="AA62">
            <v>14.285714285714286</v>
          </cell>
        </row>
        <row r="63">
          <cell r="J63">
            <v>28.571428571428573</v>
          </cell>
          <cell r="S63">
            <v>62.5</v>
          </cell>
          <cell r="AA63">
            <v>28.571428571428573</v>
          </cell>
        </row>
        <row r="64">
          <cell r="J64">
            <v>0</v>
          </cell>
          <cell r="S64">
            <v>12.5</v>
          </cell>
          <cell r="AA64">
            <v>14.285714285714286</v>
          </cell>
        </row>
        <row r="65">
          <cell r="J65">
            <v>28.571428571428573</v>
          </cell>
          <cell r="S65">
            <v>62.5</v>
          </cell>
          <cell r="AA65">
            <v>57.142857142857146</v>
          </cell>
        </row>
        <row r="66">
          <cell r="J66">
            <v>57.142857142857146</v>
          </cell>
          <cell r="S66">
            <v>62.5</v>
          </cell>
          <cell r="AA66">
            <v>42.857142857142854</v>
          </cell>
        </row>
        <row r="67">
          <cell r="J67">
            <v>14.285714285714286</v>
          </cell>
          <cell r="S67">
            <v>25</v>
          </cell>
          <cell r="AA67">
            <v>71.428571428571431</v>
          </cell>
        </row>
        <row r="68">
          <cell r="J68">
            <v>28.571428571428573</v>
          </cell>
          <cell r="S68">
            <v>37.5</v>
          </cell>
          <cell r="AA68">
            <v>57.142857142857146</v>
          </cell>
        </row>
        <row r="69">
          <cell r="J69">
            <v>57.142857142857146</v>
          </cell>
          <cell r="S69">
            <v>62.5</v>
          </cell>
          <cell r="AA69">
            <v>57.142857142857146</v>
          </cell>
        </row>
        <row r="70">
          <cell r="J70">
            <v>42.857142857142854</v>
          </cell>
          <cell r="S70">
            <v>25</v>
          </cell>
          <cell r="AA70">
            <v>42.857142857142854</v>
          </cell>
        </row>
        <row r="71">
          <cell r="J71">
            <v>14.285714285714286</v>
          </cell>
          <cell r="S71">
            <v>37.5</v>
          </cell>
          <cell r="AA71">
            <v>42.857142857142854</v>
          </cell>
        </row>
        <row r="72">
          <cell r="J72">
            <v>42.857142857142854</v>
          </cell>
          <cell r="S72">
            <v>25</v>
          </cell>
          <cell r="AA72">
            <v>57.142857142857146</v>
          </cell>
        </row>
        <row r="73">
          <cell r="J73">
            <v>57.142857142857146</v>
          </cell>
          <cell r="S73">
            <v>25</v>
          </cell>
          <cell r="AA73">
            <v>42.857142857142854</v>
          </cell>
        </row>
        <row r="74">
          <cell r="J74">
            <v>42.857142857142854</v>
          </cell>
          <cell r="S74">
            <v>12.5</v>
          </cell>
          <cell r="AA74">
            <v>42.857142857142854</v>
          </cell>
        </row>
        <row r="75">
          <cell r="J75">
            <v>85.714285714285708</v>
          </cell>
          <cell r="S75">
            <v>56.25</v>
          </cell>
          <cell r="AA75">
            <v>42.857142857142854</v>
          </cell>
        </row>
        <row r="76">
          <cell r="J76">
            <v>71.428571428571431</v>
          </cell>
          <cell r="S76">
            <v>25</v>
          </cell>
          <cell r="AA76">
            <v>57.142857142857146</v>
          </cell>
        </row>
        <row r="77">
          <cell r="J77">
            <v>57.142857142857146</v>
          </cell>
          <cell r="S77">
            <v>87.5</v>
          </cell>
          <cell r="AA77">
            <v>28.571428571428573</v>
          </cell>
        </row>
        <row r="78">
          <cell r="J78">
            <v>85.714285714285708</v>
          </cell>
          <cell r="S78">
            <v>68.75</v>
          </cell>
          <cell r="AA78">
            <v>42.857142857142854</v>
          </cell>
        </row>
        <row r="79">
          <cell r="J79">
            <v>85.714285714285708</v>
          </cell>
          <cell r="S79">
            <v>62.5</v>
          </cell>
          <cell r="AA79">
            <v>57.142857142857146</v>
          </cell>
        </row>
        <row r="80">
          <cell r="J80">
            <v>85.714285714285708</v>
          </cell>
          <cell r="S80">
            <v>50</v>
          </cell>
          <cell r="AA80">
            <v>14.285714285714286</v>
          </cell>
        </row>
        <row r="81">
          <cell r="J81">
            <v>71.428571428571431</v>
          </cell>
          <cell r="S81">
            <v>62.5</v>
          </cell>
          <cell r="AA81">
            <v>42.857142857142854</v>
          </cell>
        </row>
        <row r="82">
          <cell r="J82">
            <v>100</v>
          </cell>
          <cell r="S82">
            <v>31.25</v>
          </cell>
          <cell r="AA82">
            <v>57.142857142857146</v>
          </cell>
        </row>
        <row r="83">
          <cell r="J83">
            <v>57.142857142857146</v>
          </cell>
          <cell r="S83">
            <v>25</v>
          </cell>
          <cell r="AA83">
            <v>21.428571428571427</v>
          </cell>
        </row>
        <row r="84">
          <cell r="J84">
            <v>64.285714285714292</v>
          </cell>
          <cell r="S84">
            <v>50</v>
          </cell>
          <cell r="AA84">
            <v>71.428571428571431</v>
          </cell>
        </row>
        <row r="85">
          <cell r="J85">
            <v>42.857142857142854</v>
          </cell>
          <cell r="S85">
            <v>87.5</v>
          </cell>
          <cell r="AA85">
            <v>71.428571428571431</v>
          </cell>
        </row>
        <row r="86">
          <cell r="J86">
            <v>42.857142857142854</v>
          </cell>
          <cell r="S86">
            <v>62.5</v>
          </cell>
          <cell r="AA86">
            <v>71.428571428571431</v>
          </cell>
        </row>
        <row r="87">
          <cell r="J87">
            <v>57.142857142857146</v>
          </cell>
          <cell r="S87">
            <v>62.5</v>
          </cell>
          <cell r="AA87">
            <v>71.428571428571431</v>
          </cell>
        </row>
        <row r="88">
          <cell r="J88">
            <v>57.142857142857146</v>
          </cell>
          <cell r="S88">
            <v>81.25</v>
          </cell>
          <cell r="AA88">
            <v>85.714285714285708</v>
          </cell>
        </row>
        <row r="89">
          <cell r="J89">
            <v>28.571428571428573</v>
          </cell>
          <cell r="S89">
            <v>25</v>
          </cell>
          <cell r="AA89">
            <v>42.857142857142854</v>
          </cell>
        </row>
        <row r="90">
          <cell r="J90">
            <v>28.571428571428573</v>
          </cell>
          <cell r="S90">
            <v>37.5</v>
          </cell>
          <cell r="AA90">
            <v>0</v>
          </cell>
        </row>
        <row r="91">
          <cell r="J91">
            <v>28.571428571428573</v>
          </cell>
          <cell r="S91">
            <v>50</v>
          </cell>
          <cell r="AA91">
            <v>42.857142857142854</v>
          </cell>
        </row>
        <row r="92">
          <cell r="J92">
            <v>28.571428571428573</v>
          </cell>
          <cell r="S92">
            <v>37.5</v>
          </cell>
          <cell r="AA92">
            <v>57.142857142857146</v>
          </cell>
        </row>
        <row r="93">
          <cell r="J93">
            <v>28.571428571428573</v>
          </cell>
          <cell r="S93">
            <v>25</v>
          </cell>
          <cell r="AA93">
            <v>42.857142857142854</v>
          </cell>
        </row>
        <row r="94">
          <cell r="J94">
            <v>57.142857142857146</v>
          </cell>
          <cell r="S94">
            <v>62.5</v>
          </cell>
          <cell r="AA94">
            <v>42.857142857142854</v>
          </cell>
        </row>
        <row r="95">
          <cell r="J95">
            <v>57.142857142857146</v>
          </cell>
          <cell r="S95">
            <v>62.5</v>
          </cell>
          <cell r="AA95">
            <v>71.428571428571431</v>
          </cell>
        </row>
        <row r="96">
          <cell r="J96">
            <v>71.428571428571431</v>
          </cell>
          <cell r="S96">
            <v>62.5</v>
          </cell>
          <cell r="AA96">
            <v>42.857142857142854</v>
          </cell>
        </row>
        <row r="97">
          <cell r="J97">
            <v>42.857142857142854</v>
          </cell>
          <cell r="S97">
            <v>62.5</v>
          </cell>
          <cell r="AA97">
            <v>28.571428571428573</v>
          </cell>
        </row>
        <row r="98">
          <cell r="J98">
            <v>71.428571428571431</v>
          </cell>
          <cell r="S98">
            <v>75</v>
          </cell>
          <cell r="AA98">
            <v>28.571428571428573</v>
          </cell>
        </row>
        <row r="99">
          <cell r="J99">
            <v>57.142857142857146</v>
          </cell>
          <cell r="S99">
            <v>75</v>
          </cell>
          <cell r="AA99">
            <v>42.857142857142854</v>
          </cell>
        </row>
        <row r="100">
          <cell r="J100">
            <v>50</v>
          </cell>
          <cell r="S100">
            <v>62.5</v>
          </cell>
          <cell r="AA100">
            <v>42.857142857142854</v>
          </cell>
        </row>
        <row r="101">
          <cell r="J101">
            <v>85.714285714285708</v>
          </cell>
          <cell r="S101">
            <v>56.25</v>
          </cell>
          <cell r="AA101">
            <v>85.714285714285708</v>
          </cell>
        </row>
        <row r="102">
          <cell r="J102">
            <v>71.428571428571431</v>
          </cell>
          <cell r="S102">
            <v>37.5</v>
          </cell>
          <cell r="AA102">
            <v>100</v>
          </cell>
        </row>
        <row r="103">
          <cell r="J103">
            <v>71.428571428571431</v>
          </cell>
          <cell r="S103">
            <v>50</v>
          </cell>
          <cell r="AA103">
            <v>85.714285714285708</v>
          </cell>
        </row>
        <row r="104">
          <cell r="J104">
            <v>42.857142857142854</v>
          </cell>
          <cell r="S104">
            <v>37.5</v>
          </cell>
          <cell r="AA104">
            <v>78.571428571428569</v>
          </cell>
        </row>
        <row r="105">
          <cell r="J105">
            <v>71.428571428571431</v>
          </cell>
          <cell r="S105">
            <v>25</v>
          </cell>
          <cell r="AA105">
            <v>57.142857142857146</v>
          </cell>
        </row>
        <row r="106">
          <cell r="J106">
            <v>85.714285714285708</v>
          </cell>
          <cell r="S106">
            <v>75</v>
          </cell>
          <cell r="AA106">
            <v>57.142857142857146</v>
          </cell>
        </row>
        <row r="107">
          <cell r="J107">
            <v>85.714285714285708</v>
          </cell>
          <cell r="S107">
            <v>75</v>
          </cell>
          <cell r="AA107">
            <v>71.428571428571431</v>
          </cell>
        </row>
        <row r="108">
          <cell r="J108">
            <v>57.142857142857146</v>
          </cell>
          <cell r="S108">
            <v>75</v>
          </cell>
          <cell r="AA108">
            <v>57.142857142857146</v>
          </cell>
        </row>
        <row r="109">
          <cell r="J109">
            <v>71.428571428571431</v>
          </cell>
          <cell r="S109">
            <v>87.5</v>
          </cell>
          <cell r="AA109">
            <v>71.428571428571431</v>
          </cell>
        </row>
        <row r="110">
          <cell r="J110">
            <v>42.857142857142854</v>
          </cell>
          <cell r="S110">
            <v>50</v>
          </cell>
          <cell r="AA110">
            <v>85.714285714285708</v>
          </cell>
        </row>
        <row r="111">
          <cell r="J111">
            <v>57.142857142857146</v>
          </cell>
          <cell r="S111">
            <v>62.5</v>
          </cell>
          <cell r="AA111">
            <v>78.571428571428569</v>
          </cell>
        </row>
        <row r="112">
          <cell r="J112">
            <v>57.142857142857146</v>
          </cell>
          <cell r="S112">
            <v>75</v>
          </cell>
          <cell r="AA112">
            <v>85.714285714285708</v>
          </cell>
        </row>
        <row r="113">
          <cell r="J113">
            <v>71.428571428571431</v>
          </cell>
          <cell r="S113">
            <v>50</v>
          </cell>
          <cell r="AA113">
            <v>85.714285714285708</v>
          </cell>
        </row>
        <row r="114">
          <cell r="J114">
            <v>42.857142857142854</v>
          </cell>
          <cell r="S114">
            <v>50</v>
          </cell>
          <cell r="AA114">
            <v>57.142857142857146</v>
          </cell>
        </row>
        <row r="115">
          <cell r="J115">
            <v>42.857142857142854</v>
          </cell>
          <cell r="S115">
            <v>87.5</v>
          </cell>
          <cell r="AA115">
            <v>57.142857142857146</v>
          </cell>
        </row>
        <row r="116">
          <cell r="J116">
            <v>14.285714285714286</v>
          </cell>
          <cell r="S116">
            <v>68.75</v>
          </cell>
          <cell r="AA116">
            <v>85.714285714285708</v>
          </cell>
        </row>
        <row r="117">
          <cell r="J117">
            <v>7.1428571428571432</v>
          </cell>
          <cell r="S117">
            <v>75</v>
          </cell>
          <cell r="AA117">
            <v>85.714285714285708</v>
          </cell>
        </row>
        <row r="118">
          <cell r="J118">
            <v>14.285714285714286</v>
          </cell>
          <cell r="S118">
            <v>31.25</v>
          </cell>
          <cell r="AA118">
            <v>57.142857142857146</v>
          </cell>
        </row>
        <row r="119">
          <cell r="J119">
            <v>42.857142857142854</v>
          </cell>
          <cell r="S119">
            <v>25</v>
          </cell>
          <cell r="AA119">
            <v>57.142857142857146</v>
          </cell>
        </row>
        <row r="120">
          <cell r="J120">
            <v>14.285714285714286</v>
          </cell>
          <cell r="S120">
            <v>12.5</v>
          </cell>
          <cell r="AA120">
            <v>71.428571428571431</v>
          </cell>
        </row>
        <row r="121">
          <cell r="J121">
            <v>14.285714285714286</v>
          </cell>
          <cell r="S121">
            <v>0</v>
          </cell>
          <cell r="AA121">
            <v>42.857142857142854</v>
          </cell>
        </row>
        <row r="122">
          <cell r="J122">
            <v>28.571428571428573</v>
          </cell>
          <cell r="S122">
            <v>0</v>
          </cell>
          <cell r="AA122">
            <v>50</v>
          </cell>
        </row>
        <row r="123">
          <cell r="J123">
            <v>14.285714285714286</v>
          </cell>
          <cell r="S123">
            <v>0</v>
          </cell>
          <cell r="AA123">
            <v>28.571428571428573</v>
          </cell>
        </row>
        <row r="124">
          <cell r="J124">
            <v>0</v>
          </cell>
          <cell r="S124">
            <v>0</v>
          </cell>
          <cell r="AA124">
            <v>28.571428571428573</v>
          </cell>
        </row>
        <row r="125">
          <cell r="J125">
            <v>28.571428571428573</v>
          </cell>
          <cell r="S125">
            <v>37.5</v>
          </cell>
          <cell r="AA125">
            <v>42.857142857142854</v>
          </cell>
        </row>
        <row r="126">
          <cell r="J126">
            <v>14.285714285714286</v>
          </cell>
          <cell r="S126">
            <v>0</v>
          </cell>
          <cell r="AA126">
            <v>28.571428571428573</v>
          </cell>
        </row>
        <row r="127">
          <cell r="J127">
            <v>0</v>
          </cell>
          <cell r="S127">
            <v>12.5</v>
          </cell>
          <cell r="AA127">
            <v>14.285714285714286</v>
          </cell>
        </row>
        <row r="128">
          <cell r="J128">
            <v>28.571428571428573</v>
          </cell>
          <cell r="S128">
            <v>37.5</v>
          </cell>
          <cell r="AA128">
            <v>42.857142857142854</v>
          </cell>
        </row>
        <row r="129">
          <cell r="J129">
            <v>28.571428571428573</v>
          </cell>
          <cell r="S129">
            <v>25</v>
          </cell>
          <cell r="AA129">
            <v>42.857142857142854</v>
          </cell>
        </row>
        <row r="130">
          <cell r="J130">
            <v>14.285714285714286</v>
          </cell>
          <cell r="S130">
            <v>12.5</v>
          </cell>
          <cell r="AA130">
            <v>28.571428571428573</v>
          </cell>
        </row>
        <row r="131">
          <cell r="J131">
            <v>21.428571428571427</v>
          </cell>
          <cell r="S131">
            <v>25</v>
          </cell>
          <cell r="AA131">
            <v>42.857142857142854</v>
          </cell>
        </row>
        <row r="132">
          <cell r="J132">
            <v>42.857142857142854</v>
          </cell>
          <cell r="S132">
            <v>50</v>
          </cell>
          <cell r="AA132">
            <v>42.857142857142854</v>
          </cell>
        </row>
        <row r="133">
          <cell r="J133">
            <v>28.571428571428573</v>
          </cell>
          <cell r="S133">
            <v>37.5</v>
          </cell>
          <cell r="AA133">
            <v>42.857142857142854</v>
          </cell>
        </row>
        <row r="134">
          <cell r="J134">
            <v>28.571428571428573</v>
          </cell>
          <cell r="S134">
            <v>25</v>
          </cell>
          <cell r="AA134">
            <v>42.857142857142854</v>
          </cell>
        </row>
        <row r="135">
          <cell r="J135">
            <v>57.142857142857146</v>
          </cell>
          <cell r="S135">
            <v>37.5</v>
          </cell>
          <cell r="AA135">
            <v>57.142857142857146</v>
          </cell>
        </row>
        <row r="136">
          <cell r="J136">
            <v>57.142857142857146</v>
          </cell>
          <cell r="S136">
            <v>12.5</v>
          </cell>
          <cell r="AA136">
            <v>42.857142857142854</v>
          </cell>
        </row>
        <row r="137">
          <cell r="J137">
            <v>35.714285714285715</v>
          </cell>
          <cell r="S137">
            <v>62.5</v>
          </cell>
          <cell r="AA137">
            <v>42.857142857142854</v>
          </cell>
        </row>
        <row r="138">
          <cell r="J138">
            <v>57.142857142857146</v>
          </cell>
          <cell r="S138">
            <v>43.75</v>
          </cell>
          <cell r="AA138">
            <v>57.142857142857146</v>
          </cell>
        </row>
        <row r="139">
          <cell r="J139">
            <v>71.428571428571431</v>
          </cell>
          <cell r="S139">
            <v>31.25</v>
          </cell>
          <cell r="AA139">
            <v>42.857142857142854</v>
          </cell>
        </row>
        <row r="140">
          <cell r="J140">
            <v>57.142857142857146</v>
          </cell>
          <cell r="S140">
            <v>75</v>
          </cell>
          <cell r="AA140">
            <v>50</v>
          </cell>
        </row>
        <row r="141">
          <cell r="J141">
            <v>57.142857142857146</v>
          </cell>
          <cell r="S141">
            <v>81.25</v>
          </cell>
          <cell r="AA141">
            <v>57.142857142857146</v>
          </cell>
        </row>
        <row r="142">
          <cell r="J142">
            <v>57.142857142857146</v>
          </cell>
          <cell r="S142">
            <v>37.5</v>
          </cell>
          <cell r="AA142">
            <v>28.571428571428573</v>
          </cell>
        </row>
        <row r="143">
          <cell r="J143">
            <v>57.142857142857146</v>
          </cell>
          <cell r="S143">
            <v>75</v>
          </cell>
          <cell r="AA143">
            <v>28.571428571428573</v>
          </cell>
        </row>
        <row r="144">
          <cell r="J144">
            <v>71.428571428571431</v>
          </cell>
          <cell r="S144">
            <v>62.5</v>
          </cell>
          <cell r="AA144">
            <v>57.142857142857146</v>
          </cell>
        </row>
        <row r="145">
          <cell r="J145">
            <v>71.428571428571431</v>
          </cell>
          <cell r="S145">
            <v>50</v>
          </cell>
          <cell r="AA145">
            <v>28.571428571428573</v>
          </cell>
        </row>
        <row r="146">
          <cell r="J146">
            <v>57.142857142857146</v>
          </cell>
          <cell r="S146">
            <v>62.5</v>
          </cell>
          <cell r="AA146">
            <v>14.285714285714286</v>
          </cell>
        </row>
        <row r="147">
          <cell r="J147">
            <v>57.142857142857146</v>
          </cell>
          <cell r="S147">
            <v>50</v>
          </cell>
          <cell r="AA147">
            <v>57.142857142857146</v>
          </cell>
        </row>
        <row r="148">
          <cell r="J148">
            <v>85.714285714285708</v>
          </cell>
          <cell r="S148">
            <v>56.25</v>
          </cell>
          <cell r="AA148">
            <v>28.571428571428573</v>
          </cell>
        </row>
        <row r="149">
          <cell r="J149">
            <v>78.571428571428569</v>
          </cell>
          <cell r="S149">
            <v>100</v>
          </cell>
          <cell r="AA149">
            <v>42.857142857142854</v>
          </cell>
        </row>
        <row r="150">
          <cell r="J150">
            <v>42.857142857142854</v>
          </cell>
          <cell r="S150">
            <v>37.5</v>
          </cell>
          <cell r="AA150">
            <v>57.142857142857146</v>
          </cell>
        </row>
        <row r="151">
          <cell r="J151">
            <v>57.142857142857146</v>
          </cell>
          <cell r="S151">
            <v>87.5</v>
          </cell>
          <cell r="AA151">
            <v>78.571428571428569</v>
          </cell>
        </row>
        <row r="152">
          <cell r="J152">
            <v>57.142857142857146</v>
          </cell>
          <cell r="S152">
            <v>87.5</v>
          </cell>
          <cell r="AA152">
            <v>57.142857142857146</v>
          </cell>
        </row>
        <row r="153">
          <cell r="J153">
            <v>42.857142857142854</v>
          </cell>
          <cell r="S153">
            <v>100</v>
          </cell>
          <cell r="AA153">
            <v>71.428571428571431</v>
          </cell>
        </row>
        <row r="154">
          <cell r="J154">
            <v>42.857142857142854</v>
          </cell>
          <cell r="S154">
            <v>25</v>
          </cell>
          <cell r="AA154">
            <v>71.428571428571431</v>
          </cell>
        </row>
        <row r="155">
          <cell r="J155">
            <v>57.142857142857146</v>
          </cell>
          <cell r="S155">
            <v>100</v>
          </cell>
          <cell r="AA155">
            <v>57.142857142857146</v>
          </cell>
        </row>
        <row r="156">
          <cell r="J156">
            <v>28.571428571428573</v>
          </cell>
          <cell r="S156">
            <v>87.5</v>
          </cell>
          <cell r="AA156">
            <v>28.571428571428573</v>
          </cell>
        </row>
        <row r="157">
          <cell r="J157">
            <v>71.428571428571431</v>
          </cell>
          <cell r="S157">
            <v>81.25</v>
          </cell>
          <cell r="AA157">
            <v>35.714285714285715</v>
          </cell>
        </row>
        <row r="158">
          <cell r="J158">
            <v>85.714285714285708</v>
          </cell>
          <cell r="S158">
            <v>68.75</v>
          </cell>
          <cell r="AA158">
            <v>42.857142857142854</v>
          </cell>
        </row>
        <row r="159">
          <cell r="J159">
            <v>14.285714285714286</v>
          </cell>
          <cell r="S159">
            <v>50</v>
          </cell>
          <cell r="AA159">
            <v>42.857142857142854</v>
          </cell>
        </row>
        <row r="160">
          <cell r="J160">
            <v>28.571428571428573</v>
          </cell>
          <cell r="S160">
            <v>37.5</v>
          </cell>
          <cell r="AA160">
            <v>42.857142857142854</v>
          </cell>
        </row>
        <row r="161">
          <cell r="J161">
            <v>28.571428571428573</v>
          </cell>
          <cell r="S161">
            <v>37.5</v>
          </cell>
          <cell r="AA161">
            <v>42.857142857142854</v>
          </cell>
        </row>
        <row r="162">
          <cell r="J162">
            <v>14.285714285714286</v>
          </cell>
          <cell r="S162">
            <v>12.5</v>
          </cell>
          <cell r="AA162">
            <v>28.571428571428573</v>
          </cell>
        </row>
        <row r="163">
          <cell r="J163">
            <v>14.285714285714286</v>
          </cell>
          <cell r="S163">
            <v>25</v>
          </cell>
          <cell r="AA163">
            <v>57.142857142857146</v>
          </cell>
        </row>
        <row r="164">
          <cell r="J164">
            <v>57.142857142857146</v>
          </cell>
          <cell r="S164">
            <v>12.5</v>
          </cell>
          <cell r="AA164">
            <v>42.857142857142854</v>
          </cell>
        </row>
        <row r="165">
          <cell r="J165">
            <v>57.142857142857146</v>
          </cell>
          <cell r="S165">
            <v>12.5</v>
          </cell>
          <cell r="AA165">
            <v>28.571428571428573</v>
          </cell>
        </row>
        <row r="166">
          <cell r="J166">
            <v>42.857142857142854</v>
          </cell>
          <cell r="S166">
            <v>12.5</v>
          </cell>
          <cell r="AA166">
            <v>14.285714285714286</v>
          </cell>
        </row>
        <row r="167">
          <cell r="J167">
            <v>42.857142857142854</v>
          </cell>
          <cell r="S167">
            <v>12.5</v>
          </cell>
          <cell r="AA167">
            <v>14.285714285714286</v>
          </cell>
        </row>
        <row r="168">
          <cell r="J168">
            <v>42.857142857142854</v>
          </cell>
          <cell r="S168">
            <v>0</v>
          </cell>
          <cell r="AA168">
            <v>7.1428571428571432</v>
          </cell>
        </row>
        <row r="169">
          <cell r="J169">
            <v>28.571428571428573</v>
          </cell>
          <cell r="S169">
            <v>0</v>
          </cell>
          <cell r="AA169">
            <v>14.285714285714286</v>
          </cell>
        </row>
        <row r="170">
          <cell r="J170">
            <v>21.428571428571427</v>
          </cell>
          <cell r="S170">
            <v>12.5</v>
          </cell>
          <cell r="AA170">
            <v>35.714285714285715</v>
          </cell>
        </row>
        <row r="171">
          <cell r="J171">
            <v>14.285714285714286</v>
          </cell>
          <cell r="S171">
            <v>25</v>
          </cell>
          <cell r="AA171">
            <v>42.857142857142854</v>
          </cell>
        </row>
        <row r="172">
          <cell r="J172">
            <v>28.571428571428573</v>
          </cell>
          <cell r="S172">
            <v>12.5</v>
          </cell>
          <cell r="AA172">
            <v>28.571428571428573</v>
          </cell>
        </row>
        <row r="173">
          <cell r="J173">
            <v>42.857142857142854</v>
          </cell>
          <cell r="S173">
            <v>68.75</v>
          </cell>
          <cell r="AA173">
            <v>57.142857142857146</v>
          </cell>
        </row>
        <row r="174">
          <cell r="J174">
            <v>50</v>
          </cell>
          <cell r="S174">
            <v>62.5</v>
          </cell>
          <cell r="AA174">
            <v>85.714285714285708</v>
          </cell>
        </row>
        <row r="175">
          <cell r="J175">
            <v>57.142857142857146</v>
          </cell>
          <cell r="S175">
            <v>87.5</v>
          </cell>
          <cell r="AA175">
            <v>71.428571428571431</v>
          </cell>
        </row>
        <row r="176">
          <cell r="J176">
            <v>71.428571428571431</v>
          </cell>
          <cell r="S176">
            <v>87.5</v>
          </cell>
          <cell r="AA176">
            <v>57.142857142857146</v>
          </cell>
        </row>
        <row r="177">
          <cell r="J177">
            <v>71.428571428571431</v>
          </cell>
          <cell r="S177">
            <v>75</v>
          </cell>
          <cell r="AA177">
            <v>42.857142857142854</v>
          </cell>
        </row>
        <row r="178">
          <cell r="J178">
            <v>42.857142857142854</v>
          </cell>
          <cell r="S178">
            <v>50</v>
          </cell>
          <cell r="AA178">
            <v>57.142857142857146</v>
          </cell>
        </row>
        <row r="179">
          <cell r="J179">
            <v>85.714285714285708</v>
          </cell>
          <cell r="S179">
            <v>100</v>
          </cell>
          <cell r="AA179">
            <v>71.428571428571431</v>
          </cell>
        </row>
        <row r="180">
          <cell r="J180">
            <v>71.428571428571431</v>
          </cell>
          <cell r="S180">
            <v>87.5</v>
          </cell>
          <cell r="AA180">
            <v>57.142857142857146</v>
          </cell>
        </row>
        <row r="181">
          <cell r="J181">
            <v>100</v>
          </cell>
          <cell r="S181">
            <v>87.5</v>
          </cell>
          <cell r="AA181">
            <v>78.571428571428569</v>
          </cell>
        </row>
        <row r="182">
          <cell r="J182">
            <v>71.428571428571431</v>
          </cell>
          <cell r="S182">
            <v>87.5</v>
          </cell>
          <cell r="AA182">
            <v>57.142857142857146</v>
          </cell>
        </row>
        <row r="183">
          <cell r="J183">
            <v>71.428571428571431</v>
          </cell>
          <cell r="S183">
            <v>75</v>
          </cell>
          <cell r="AA183">
            <v>57.142857142857146</v>
          </cell>
        </row>
        <row r="184">
          <cell r="J184">
            <v>14.285714285714286</v>
          </cell>
          <cell r="S184">
            <v>37.5</v>
          </cell>
          <cell r="AA184">
            <v>57.142857142857146</v>
          </cell>
        </row>
        <row r="185">
          <cell r="J185">
            <v>14.285714285714286</v>
          </cell>
          <cell r="S185">
            <v>75</v>
          </cell>
          <cell r="AA185">
            <v>57.142857142857146</v>
          </cell>
        </row>
        <row r="186">
          <cell r="J186">
            <v>0</v>
          </cell>
          <cell r="S186">
            <v>25</v>
          </cell>
          <cell r="AA186">
            <v>42.857142857142854</v>
          </cell>
        </row>
        <row r="187">
          <cell r="J187">
            <v>14.285714285714286</v>
          </cell>
          <cell r="S187">
            <v>50</v>
          </cell>
          <cell r="AA187">
            <v>14.285714285714286</v>
          </cell>
        </row>
        <row r="188">
          <cell r="J188">
            <v>57.142857142857146</v>
          </cell>
          <cell r="S188">
            <v>75</v>
          </cell>
          <cell r="AA188">
            <v>57.142857142857146</v>
          </cell>
        </row>
        <row r="189">
          <cell r="J189">
            <v>71.428571428571431</v>
          </cell>
          <cell r="S189">
            <v>100</v>
          </cell>
          <cell r="AA189">
            <v>71.428571428571431</v>
          </cell>
        </row>
        <row r="190">
          <cell r="J190">
            <v>57.142857142857146</v>
          </cell>
          <cell r="S190">
            <v>50</v>
          </cell>
          <cell r="AA190">
            <v>42.857142857142854</v>
          </cell>
        </row>
        <row r="191">
          <cell r="J191">
            <v>57.142857142857146</v>
          </cell>
          <cell r="S191">
            <v>100</v>
          </cell>
          <cell r="AA191">
            <v>57.142857142857146</v>
          </cell>
        </row>
        <row r="192">
          <cell r="J192">
            <v>71.428571428571431</v>
          </cell>
          <cell r="S192">
            <v>87.5</v>
          </cell>
          <cell r="AA192">
            <v>92.857142857142861</v>
          </cell>
        </row>
        <row r="193">
          <cell r="J193">
            <v>57.142857142857146</v>
          </cell>
          <cell r="S193">
            <v>87.5</v>
          </cell>
          <cell r="AA193">
            <v>71.428571428571431</v>
          </cell>
        </row>
        <row r="194">
          <cell r="J194">
            <v>71.428571428571431</v>
          </cell>
          <cell r="S194">
            <v>87.5</v>
          </cell>
          <cell r="AA194">
            <v>42.857142857142854</v>
          </cell>
        </row>
        <row r="195">
          <cell r="J195">
            <v>57.142857142857146</v>
          </cell>
          <cell r="S195">
            <v>75</v>
          </cell>
          <cell r="AA195">
            <v>57.142857142857146</v>
          </cell>
        </row>
        <row r="196">
          <cell r="J196">
            <v>28.571428571428573</v>
          </cell>
          <cell r="S196">
            <v>87.5</v>
          </cell>
          <cell r="AA196">
            <v>71.428571428571431</v>
          </cell>
        </row>
        <row r="197">
          <cell r="J197">
            <v>14.285714285714286</v>
          </cell>
          <cell r="S197">
            <v>68.75</v>
          </cell>
          <cell r="AA197">
            <v>42.857142857142854</v>
          </cell>
        </row>
        <row r="198">
          <cell r="J198">
            <v>42.857142857142854</v>
          </cell>
          <cell r="S198">
            <v>62.5</v>
          </cell>
          <cell r="AA198">
            <v>57.142857142857146</v>
          </cell>
        </row>
        <row r="199">
          <cell r="J199">
            <v>14.285714285714286</v>
          </cell>
          <cell r="S199">
            <v>62.5</v>
          </cell>
          <cell r="AA199">
            <v>71.428571428571431</v>
          </cell>
        </row>
        <row r="200">
          <cell r="J200">
            <v>50</v>
          </cell>
          <cell r="S200">
            <v>75</v>
          </cell>
          <cell r="AA200">
            <v>71.428571428571431</v>
          </cell>
        </row>
        <row r="201">
          <cell r="J201">
            <v>57.142857142857146</v>
          </cell>
          <cell r="S201">
            <v>87.5</v>
          </cell>
          <cell r="AA201">
            <v>57.142857142857146</v>
          </cell>
        </row>
        <row r="202">
          <cell r="J202">
            <v>57.142857142857146</v>
          </cell>
          <cell r="S202">
            <v>75</v>
          </cell>
          <cell r="AA202">
            <v>57.142857142857146</v>
          </cell>
        </row>
        <row r="203">
          <cell r="J203">
            <v>57.142857142857146</v>
          </cell>
          <cell r="S203">
            <v>25</v>
          </cell>
          <cell r="AA203">
            <v>57.142857142857146</v>
          </cell>
        </row>
        <row r="204">
          <cell r="J204">
            <v>35.714285714285715</v>
          </cell>
          <cell r="S204">
            <v>25</v>
          </cell>
          <cell r="AA204">
            <v>57.142857142857146</v>
          </cell>
        </row>
        <row r="205">
          <cell r="J205">
            <v>42.857142857142854</v>
          </cell>
          <cell r="S205">
            <v>25</v>
          </cell>
          <cell r="AA205">
            <v>57.142857142857146</v>
          </cell>
        </row>
        <row r="206">
          <cell r="J206">
            <v>28.571428571428573</v>
          </cell>
          <cell r="S206">
            <v>12.5</v>
          </cell>
          <cell r="AA206">
            <v>42.857142857142854</v>
          </cell>
        </row>
        <row r="207">
          <cell r="J207">
            <v>28.571428571428573</v>
          </cell>
          <cell r="S207">
            <v>25</v>
          </cell>
          <cell r="AA207">
            <v>42.857142857142854</v>
          </cell>
        </row>
        <row r="208">
          <cell r="J208">
            <v>14.285714285714286</v>
          </cell>
          <cell r="S208">
            <v>37.5</v>
          </cell>
          <cell r="AA208">
            <v>28.571428571428573</v>
          </cell>
        </row>
        <row r="209">
          <cell r="J209">
            <v>42.857142857142854</v>
          </cell>
          <cell r="S209">
            <v>50</v>
          </cell>
          <cell r="AA209">
            <v>57.142857142857146</v>
          </cell>
        </row>
        <row r="210">
          <cell r="J210">
            <v>28.571428571428573</v>
          </cell>
          <cell r="S210">
            <v>37.5</v>
          </cell>
          <cell r="AA210">
            <v>57.142857142857146</v>
          </cell>
        </row>
        <row r="211">
          <cell r="J211">
            <v>71.428571428571431</v>
          </cell>
          <cell r="S211">
            <v>37.5</v>
          </cell>
          <cell r="AA211">
            <v>42.857142857142854</v>
          </cell>
        </row>
        <row r="212">
          <cell r="J212">
            <v>28.571428571428573</v>
          </cell>
          <cell r="S212">
            <v>43.75</v>
          </cell>
          <cell r="AA212">
            <v>57.142857142857146</v>
          </cell>
        </row>
        <row r="213">
          <cell r="J213">
            <v>57.142857142857146</v>
          </cell>
          <cell r="S213">
            <v>12.5</v>
          </cell>
          <cell r="AA213">
            <v>35.714285714285715</v>
          </cell>
        </row>
        <row r="214">
          <cell r="J214">
            <v>42.857142857142854</v>
          </cell>
          <cell r="S214">
            <v>75</v>
          </cell>
          <cell r="AA214">
            <v>42.857142857142854</v>
          </cell>
        </row>
        <row r="215">
          <cell r="J215">
            <v>71.428571428571431</v>
          </cell>
          <cell r="S215">
            <v>50</v>
          </cell>
          <cell r="AA215">
            <v>42.857142857142854</v>
          </cell>
        </row>
        <row r="216">
          <cell r="J216">
            <v>71.428571428571431</v>
          </cell>
          <cell r="S216">
            <v>75</v>
          </cell>
          <cell r="AA216">
            <v>42.857142857142854</v>
          </cell>
        </row>
        <row r="217">
          <cell r="J217">
            <v>85.714285714285708</v>
          </cell>
          <cell r="S217">
            <v>100</v>
          </cell>
          <cell r="AA217">
            <v>57.142857142857146</v>
          </cell>
        </row>
        <row r="218">
          <cell r="J218">
            <v>57.142857142857146</v>
          </cell>
          <cell r="S218">
            <v>75</v>
          </cell>
          <cell r="AA218">
            <v>85.714285714285708</v>
          </cell>
        </row>
        <row r="219">
          <cell r="J219">
            <v>85.714285714285708</v>
          </cell>
          <cell r="S219">
            <v>62.5</v>
          </cell>
          <cell r="AA219">
            <v>57.142857142857146</v>
          </cell>
        </row>
        <row r="220">
          <cell r="J220">
            <v>57.142857142857146</v>
          </cell>
          <cell r="S220">
            <v>87.5</v>
          </cell>
          <cell r="AA220">
            <v>85.714285714285708</v>
          </cell>
        </row>
        <row r="221">
          <cell r="J221">
            <v>57.142857142857146</v>
          </cell>
          <cell r="S221">
            <v>62.5</v>
          </cell>
          <cell r="AA221">
            <v>71.428571428571431</v>
          </cell>
        </row>
        <row r="222">
          <cell r="J222">
            <v>57.142857142857146</v>
          </cell>
          <cell r="S222">
            <v>87.5</v>
          </cell>
          <cell r="AA222">
            <v>85.714285714285708</v>
          </cell>
        </row>
        <row r="223">
          <cell r="J223">
            <v>85.714285714285708</v>
          </cell>
          <cell r="S223">
            <v>87.5</v>
          </cell>
          <cell r="AA223">
            <v>85.714285714285708</v>
          </cell>
        </row>
        <row r="224">
          <cell r="J224">
            <v>28.571428571428573</v>
          </cell>
          <cell r="S224">
            <v>75</v>
          </cell>
          <cell r="AA224">
            <v>71.428571428571431</v>
          </cell>
        </row>
        <row r="225">
          <cell r="J225">
            <v>85.714285714285708</v>
          </cell>
          <cell r="S225">
            <v>87.5</v>
          </cell>
          <cell r="AA225">
            <v>64.285714285714292</v>
          </cell>
        </row>
        <row r="226">
          <cell r="J226">
            <v>57.142857142857146</v>
          </cell>
          <cell r="S226">
            <v>87.5</v>
          </cell>
          <cell r="AA226">
            <v>50</v>
          </cell>
        </row>
        <row r="227">
          <cell r="J227">
            <v>57.142857142857146</v>
          </cell>
          <cell r="S227">
            <v>50</v>
          </cell>
          <cell r="AA227">
            <v>64.285714285714292</v>
          </cell>
        </row>
        <row r="228">
          <cell r="J228">
            <v>64.285714285714292</v>
          </cell>
          <cell r="S228">
            <v>87.5</v>
          </cell>
          <cell r="AA228">
            <v>50</v>
          </cell>
        </row>
        <row r="229">
          <cell r="J229">
            <v>71.428571428571431</v>
          </cell>
          <cell r="S229">
            <v>100</v>
          </cell>
          <cell r="AA229">
            <v>57.142857142857146</v>
          </cell>
        </row>
        <row r="230">
          <cell r="J230">
            <v>57.142857142857146</v>
          </cell>
          <cell r="S230">
            <v>87.5</v>
          </cell>
          <cell r="AA230">
            <v>71.428571428571431</v>
          </cell>
        </row>
        <row r="231">
          <cell r="J231">
            <v>57.142857142857146</v>
          </cell>
          <cell r="S231">
            <v>100</v>
          </cell>
          <cell r="AA231">
            <v>42.857142857142854</v>
          </cell>
        </row>
        <row r="232">
          <cell r="J232">
            <v>42.857142857142854</v>
          </cell>
          <cell r="S232">
            <v>93.75</v>
          </cell>
          <cell r="AA232">
            <v>42.857142857142854</v>
          </cell>
        </row>
        <row r="233">
          <cell r="J233">
            <v>14.285714285714286</v>
          </cell>
          <cell r="S233">
            <v>75</v>
          </cell>
          <cell r="AA233">
            <v>57.142857142857146</v>
          </cell>
        </row>
        <row r="234">
          <cell r="J234">
            <v>14.285714285714286</v>
          </cell>
          <cell r="S234">
            <v>75</v>
          </cell>
          <cell r="AA234">
            <v>14.285714285714286</v>
          </cell>
        </row>
        <row r="235">
          <cell r="J235">
            <v>42.857142857142854</v>
          </cell>
          <cell r="S235">
            <v>75</v>
          </cell>
          <cell r="AA235">
            <v>14.285714285714286</v>
          </cell>
        </row>
        <row r="236">
          <cell r="J236">
            <v>71.428571428571431</v>
          </cell>
          <cell r="S236">
            <v>75</v>
          </cell>
          <cell r="AA236">
            <v>64.285714285714292</v>
          </cell>
        </row>
        <row r="237">
          <cell r="J237">
            <v>14.285714285714286</v>
          </cell>
          <cell r="S237">
            <v>50</v>
          </cell>
          <cell r="AA237">
            <v>57.142857142857146</v>
          </cell>
        </row>
        <row r="238">
          <cell r="J238">
            <v>35.714285714285715</v>
          </cell>
          <cell r="S238">
            <v>62.5</v>
          </cell>
          <cell r="AA238">
            <v>57.142857142857146</v>
          </cell>
        </row>
        <row r="239">
          <cell r="J239">
            <v>14.285714285714286</v>
          </cell>
          <cell r="S239">
            <v>62.5</v>
          </cell>
          <cell r="AA239">
            <v>71.428571428571431</v>
          </cell>
        </row>
        <row r="240">
          <cell r="J240">
            <v>42.857142857142854</v>
          </cell>
          <cell r="S240">
            <v>62.5</v>
          </cell>
          <cell r="AA240">
            <v>57.142857142857146</v>
          </cell>
        </row>
        <row r="241">
          <cell r="J241">
            <v>28.571428571428573</v>
          </cell>
          <cell r="S241">
            <v>50</v>
          </cell>
          <cell r="AA241">
            <v>57.142857142857146</v>
          </cell>
        </row>
        <row r="242">
          <cell r="J242">
            <v>71.428571428571431</v>
          </cell>
          <cell r="S242">
            <v>50</v>
          </cell>
          <cell r="AA242">
            <v>57.142857142857146</v>
          </cell>
        </row>
        <row r="243">
          <cell r="J243">
            <v>21.428571428571427</v>
          </cell>
          <cell r="S243">
            <v>37.5</v>
          </cell>
          <cell r="AA243">
            <v>42.857142857142854</v>
          </cell>
        </row>
        <row r="244">
          <cell r="J244">
            <v>42.857142857142854</v>
          </cell>
          <cell r="S244">
            <v>37.5</v>
          </cell>
          <cell r="AA244">
            <v>71.428571428571431</v>
          </cell>
        </row>
        <row r="245">
          <cell r="J245">
            <v>42.857142857142854</v>
          </cell>
          <cell r="S245">
            <v>25</v>
          </cell>
          <cell r="AA245">
            <v>57.142857142857146</v>
          </cell>
        </row>
        <row r="246">
          <cell r="J246">
            <v>42.857142857142854</v>
          </cell>
          <cell r="S246">
            <v>37.5</v>
          </cell>
          <cell r="AA246">
            <v>42.857142857142854</v>
          </cell>
        </row>
        <row r="247">
          <cell r="J247">
            <v>14.285714285714286</v>
          </cell>
          <cell r="S247">
            <v>18.75</v>
          </cell>
          <cell r="AA247">
            <v>42.857142857142854</v>
          </cell>
        </row>
        <row r="248">
          <cell r="J248">
            <v>42.857142857142854</v>
          </cell>
          <cell r="S248">
            <v>25</v>
          </cell>
          <cell r="AA248">
            <v>28.571428571428573</v>
          </cell>
        </row>
        <row r="249">
          <cell r="J249">
            <v>28.571428571428573</v>
          </cell>
          <cell r="S249">
            <v>12.5</v>
          </cell>
          <cell r="AA249">
            <v>57.142857142857146</v>
          </cell>
        </row>
        <row r="250">
          <cell r="J250">
            <v>28.571428571428573</v>
          </cell>
          <cell r="S250">
            <v>0</v>
          </cell>
          <cell r="AA250">
            <v>28.571428571428573</v>
          </cell>
        </row>
        <row r="251">
          <cell r="J251">
            <v>28.571428571428573</v>
          </cell>
          <cell r="S251">
            <v>12.5</v>
          </cell>
          <cell r="AA251">
            <v>14.285714285714286</v>
          </cell>
        </row>
        <row r="252">
          <cell r="J252">
            <v>28.571428571428573</v>
          </cell>
          <cell r="S252">
            <v>25</v>
          </cell>
          <cell r="AA252">
            <v>28.571428571428573</v>
          </cell>
        </row>
        <row r="253">
          <cell r="J253">
            <v>28.571428571428573</v>
          </cell>
          <cell r="S253">
            <v>12.5</v>
          </cell>
          <cell r="AA253">
            <v>50</v>
          </cell>
        </row>
        <row r="254">
          <cell r="J254">
            <v>14.285714285714286</v>
          </cell>
          <cell r="S254">
            <v>0</v>
          </cell>
          <cell r="AA254">
            <v>42.857142857142854</v>
          </cell>
        </row>
        <row r="255">
          <cell r="J255">
            <v>28.571428571428573</v>
          </cell>
          <cell r="S255">
            <v>0</v>
          </cell>
          <cell r="AA255">
            <v>14.285714285714286</v>
          </cell>
        </row>
        <row r="256">
          <cell r="J256">
            <v>14.285714285714286</v>
          </cell>
          <cell r="S256">
            <v>0</v>
          </cell>
          <cell r="AA256">
            <v>14.285714285714286</v>
          </cell>
        </row>
        <row r="257">
          <cell r="J257">
            <v>14.285714285714286</v>
          </cell>
          <cell r="S257">
            <v>0</v>
          </cell>
          <cell r="AA257">
            <v>14.285714285714286</v>
          </cell>
        </row>
        <row r="258">
          <cell r="J258">
            <v>14.285714285714286</v>
          </cell>
          <cell r="S258">
            <v>0</v>
          </cell>
          <cell r="AA258">
            <v>14.285714285714286</v>
          </cell>
        </row>
        <row r="259">
          <cell r="J259">
            <v>14.285714285714286</v>
          </cell>
          <cell r="S259">
            <v>0</v>
          </cell>
          <cell r="AA259">
            <v>28.571428571428573</v>
          </cell>
        </row>
        <row r="260">
          <cell r="J260">
            <v>14.285714285714286</v>
          </cell>
          <cell r="S260">
            <v>50</v>
          </cell>
          <cell r="AA260">
            <v>0</v>
          </cell>
        </row>
        <row r="261">
          <cell r="J261">
            <v>42.857142857142854</v>
          </cell>
          <cell r="S261">
            <v>50</v>
          </cell>
          <cell r="AA261">
            <v>28.571428571428573</v>
          </cell>
        </row>
        <row r="262">
          <cell r="J262">
            <v>42.857142857142854</v>
          </cell>
          <cell r="S262">
            <v>87.5</v>
          </cell>
          <cell r="AA262">
            <v>28.571428571428573</v>
          </cell>
        </row>
        <row r="263">
          <cell r="J263">
            <v>85.714285714285708</v>
          </cell>
          <cell r="S263">
            <v>75</v>
          </cell>
          <cell r="AA263">
            <v>14.285714285714286</v>
          </cell>
        </row>
        <row r="264">
          <cell r="J264">
            <v>71.428571428571431</v>
          </cell>
          <cell r="S264">
            <v>100</v>
          </cell>
          <cell r="AA264">
            <v>57.142857142857146</v>
          </cell>
        </row>
        <row r="265">
          <cell r="J265">
            <v>85.714285714285708</v>
          </cell>
          <cell r="S265">
            <v>100</v>
          </cell>
          <cell r="AA265">
            <v>57.142857142857146</v>
          </cell>
        </row>
        <row r="266">
          <cell r="J266">
            <v>57.142857142857146</v>
          </cell>
          <cell r="S266">
            <v>87.5</v>
          </cell>
          <cell r="AA266">
            <v>85.714285714285708</v>
          </cell>
        </row>
        <row r="267">
          <cell r="J267">
            <v>85.714285714285708</v>
          </cell>
          <cell r="S267">
            <v>100</v>
          </cell>
          <cell r="AA267">
            <v>71.428571428571431</v>
          </cell>
        </row>
        <row r="268">
          <cell r="J268">
            <v>35.714285714285715</v>
          </cell>
          <cell r="S268">
            <v>87.5</v>
          </cell>
          <cell r="AA268">
            <v>85.714285714285708</v>
          </cell>
        </row>
        <row r="269">
          <cell r="J269">
            <v>57.142857142857146</v>
          </cell>
          <cell r="S269">
            <v>100</v>
          </cell>
          <cell r="AA269">
            <v>57.142857142857146</v>
          </cell>
        </row>
        <row r="270">
          <cell r="J270">
            <v>71.428571428571431</v>
          </cell>
          <cell r="S270">
            <v>100</v>
          </cell>
          <cell r="AA270">
            <v>71.428571428571431</v>
          </cell>
        </row>
        <row r="271">
          <cell r="J271">
            <v>71.428571428571431</v>
          </cell>
          <cell r="S271">
            <v>100</v>
          </cell>
          <cell r="AA271">
            <v>71.428571428571431</v>
          </cell>
        </row>
        <row r="272">
          <cell r="J272">
            <v>92.857142857142861</v>
          </cell>
          <cell r="S272">
            <v>75</v>
          </cell>
          <cell r="AA272">
            <v>57.142857142857146</v>
          </cell>
        </row>
        <row r="273">
          <cell r="J273">
            <v>71.428571428571431</v>
          </cell>
          <cell r="S273">
            <v>81.25</v>
          </cell>
          <cell r="AA273">
            <v>71.428571428571431</v>
          </cell>
        </row>
        <row r="274">
          <cell r="J274">
            <v>71.428571428571431</v>
          </cell>
          <cell r="S274">
            <v>87.5</v>
          </cell>
          <cell r="AA274">
            <v>57.142857142857146</v>
          </cell>
        </row>
        <row r="275">
          <cell r="J275">
            <v>85.714285714285708</v>
          </cell>
          <cell r="S275">
            <v>87.5</v>
          </cell>
          <cell r="AA275">
            <v>64.285714285714292</v>
          </cell>
        </row>
        <row r="276">
          <cell r="J276">
            <v>42.857142857142854</v>
          </cell>
          <cell r="S276">
            <v>87.5</v>
          </cell>
          <cell r="AA276">
            <v>85.714285714285708</v>
          </cell>
        </row>
        <row r="277">
          <cell r="J277">
            <v>42.857142857142854</v>
          </cell>
          <cell r="S277">
            <v>87.5</v>
          </cell>
          <cell r="AA277">
            <v>85.714285714285708</v>
          </cell>
        </row>
        <row r="278">
          <cell r="J278">
            <v>71.428571428571431</v>
          </cell>
          <cell r="S278">
            <v>100</v>
          </cell>
          <cell r="AA278">
            <v>71.428571428571431</v>
          </cell>
        </row>
        <row r="279">
          <cell r="J279">
            <v>57.142857142857146</v>
          </cell>
          <cell r="S279">
            <v>81.25</v>
          </cell>
          <cell r="AA279">
            <v>85.714285714285708</v>
          </cell>
        </row>
        <row r="280">
          <cell r="J280">
            <v>35.714285714285715</v>
          </cell>
          <cell r="S280">
            <v>75</v>
          </cell>
          <cell r="AA280">
            <v>57.142857142857146</v>
          </cell>
        </row>
        <row r="281">
          <cell r="J281">
            <v>14.285714285714286</v>
          </cell>
          <cell r="S281">
            <v>16.666666666666668</v>
          </cell>
          <cell r="AA281">
            <v>50</v>
          </cell>
        </row>
        <row r="282">
          <cell r="J282">
            <v>35.714285714285715</v>
          </cell>
          <cell r="S282">
            <v>0</v>
          </cell>
          <cell r="AA282">
            <v>50</v>
          </cell>
        </row>
        <row r="283">
          <cell r="J283">
            <v>42.857142857142854</v>
          </cell>
          <cell r="S283">
            <v>0</v>
          </cell>
          <cell r="AA283">
            <v>42.857142857142854</v>
          </cell>
        </row>
        <row r="284">
          <cell r="J284">
            <v>28.571428571428573</v>
          </cell>
          <cell r="S284">
            <v>0</v>
          </cell>
          <cell r="AA284">
            <v>57.142857142857146</v>
          </cell>
        </row>
        <row r="285">
          <cell r="J285">
            <v>57.142857142857146</v>
          </cell>
          <cell r="S285">
            <v>12.5</v>
          </cell>
          <cell r="AA285">
            <v>42.857142857142854</v>
          </cell>
        </row>
        <row r="286">
          <cell r="J286">
            <v>100</v>
          </cell>
          <cell r="S286">
            <v>83.333333333333343</v>
          </cell>
          <cell r="AA286">
            <v>100</v>
          </cell>
        </row>
        <row r="287">
          <cell r="J287">
            <v>100</v>
          </cell>
          <cell r="S287">
            <v>100</v>
          </cell>
          <cell r="AA287">
            <v>83.333333333333343</v>
          </cell>
        </row>
        <row r="288">
          <cell r="J288">
            <v>85.714285714285708</v>
          </cell>
          <cell r="S288">
            <v>75</v>
          </cell>
          <cell r="AA288">
            <v>57.142857142857146</v>
          </cell>
        </row>
        <row r="289">
          <cell r="J289">
            <v>100</v>
          </cell>
          <cell r="S289">
            <v>62.5</v>
          </cell>
          <cell r="AA289">
            <v>71.428571428571431</v>
          </cell>
        </row>
        <row r="290">
          <cell r="J290">
            <v>71.428571428571431</v>
          </cell>
          <cell r="S290">
            <v>75</v>
          </cell>
          <cell r="AA290">
            <v>57.142857142857146</v>
          </cell>
        </row>
        <row r="291">
          <cell r="J291">
            <v>92.857142857142861</v>
          </cell>
          <cell r="S291">
            <v>87.5</v>
          </cell>
          <cell r="AA291">
            <v>42.857142857142854</v>
          </cell>
        </row>
        <row r="292">
          <cell r="J292">
            <v>85.714285714285708</v>
          </cell>
          <cell r="S292">
            <v>75</v>
          </cell>
          <cell r="AA292">
            <v>42.857142857142854</v>
          </cell>
        </row>
        <row r="293">
          <cell r="J293">
            <v>71.428571428571431</v>
          </cell>
          <cell r="S293">
            <v>75</v>
          </cell>
          <cell r="AA293">
            <v>57.142857142857146</v>
          </cell>
        </row>
        <row r="294">
          <cell r="J294">
            <v>85.714285714285708</v>
          </cell>
          <cell r="S294">
            <v>75</v>
          </cell>
          <cell r="AA294">
            <v>64.285714285714292</v>
          </cell>
        </row>
        <row r="295">
          <cell r="J295">
            <v>100</v>
          </cell>
          <cell r="S295">
            <v>75</v>
          </cell>
          <cell r="AA295">
            <v>71.428571428571431</v>
          </cell>
        </row>
        <row r="296">
          <cell r="J296">
            <v>57.142857142857146</v>
          </cell>
          <cell r="S296">
            <v>37.5</v>
          </cell>
          <cell r="AA296">
            <v>71.428571428571431</v>
          </cell>
        </row>
        <row r="297">
          <cell r="J297">
            <v>71.428571428571431</v>
          </cell>
          <cell r="S297">
            <v>62.5</v>
          </cell>
          <cell r="AA297">
            <v>57.142857142857146</v>
          </cell>
        </row>
        <row r="298">
          <cell r="J298">
            <v>64.285714285714292</v>
          </cell>
          <cell r="S298">
            <v>25</v>
          </cell>
          <cell r="AA298">
            <v>57.142857142857146</v>
          </cell>
        </row>
        <row r="299">
          <cell r="J299">
            <v>28.571428571428573</v>
          </cell>
          <cell r="S299">
            <v>37.5</v>
          </cell>
          <cell r="AA299">
            <v>64.285714285714292</v>
          </cell>
        </row>
        <row r="300">
          <cell r="J300">
            <v>35.714285714285715</v>
          </cell>
          <cell r="S300">
            <v>12.5</v>
          </cell>
          <cell r="AA300">
            <v>42.857142857142854</v>
          </cell>
        </row>
        <row r="301">
          <cell r="J301">
            <v>42.857142857142854</v>
          </cell>
          <cell r="S301">
            <v>12.5</v>
          </cell>
          <cell r="AA301">
            <v>57.142857142857146</v>
          </cell>
        </row>
        <row r="302">
          <cell r="J302">
            <v>14.285714285714286</v>
          </cell>
          <cell r="S302">
            <v>37.5</v>
          </cell>
          <cell r="AA302">
            <v>57.142857142857146</v>
          </cell>
        </row>
        <row r="303">
          <cell r="J303">
            <v>42.857142857142854</v>
          </cell>
          <cell r="S303">
            <v>50</v>
          </cell>
          <cell r="AA303">
            <v>14.285714285714286</v>
          </cell>
        </row>
        <row r="304">
          <cell r="J304">
            <v>57.142857142857146</v>
          </cell>
          <cell r="S304">
            <v>50</v>
          </cell>
          <cell r="AA304">
            <v>42.857142857142854</v>
          </cell>
        </row>
        <row r="305">
          <cell r="J305">
            <v>57.142857142857146</v>
          </cell>
          <cell r="S305">
            <v>62.5</v>
          </cell>
          <cell r="AA305">
            <v>71.428571428571431</v>
          </cell>
        </row>
        <row r="306">
          <cell r="J306">
            <v>28.571428571428573</v>
          </cell>
          <cell r="S306">
            <v>62.5</v>
          </cell>
          <cell r="AA306">
            <v>57.142857142857146</v>
          </cell>
        </row>
        <row r="307">
          <cell r="J307">
            <v>71.428571428571431</v>
          </cell>
          <cell r="S307">
            <v>50</v>
          </cell>
          <cell r="AA307">
            <v>71.428571428571431</v>
          </cell>
        </row>
        <row r="308">
          <cell r="J308">
            <v>57.142857142857146</v>
          </cell>
          <cell r="S308">
            <v>62.5</v>
          </cell>
          <cell r="AA308">
            <v>100</v>
          </cell>
        </row>
        <row r="309">
          <cell r="J309">
            <v>35.714285714285715</v>
          </cell>
          <cell r="S309">
            <v>75</v>
          </cell>
          <cell r="AA309">
            <v>71.428571428571431</v>
          </cell>
        </row>
        <row r="310">
          <cell r="J310">
            <v>57.142857142857146</v>
          </cell>
          <cell r="S310">
            <v>50</v>
          </cell>
          <cell r="AA310">
            <v>57.142857142857146</v>
          </cell>
        </row>
        <row r="311">
          <cell r="J311">
            <v>78.571428571428569</v>
          </cell>
          <cell r="S311">
            <v>100</v>
          </cell>
          <cell r="AA311">
            <v>85.714285714285708</v>
          </cell>
        </row>
        <row r="312">
          <cell r="J312">
            <v>42.857142857142854</v>
          </cell>
          <cell r="S312">
            <v>75</v>
          </cell>
          <cell r="AA312">
            <v>71.428571428571431</v>
          </cell>
        </row>
        <row r="313">
          <cell r="J313">
            <v>57.142857142857146</v>
          </cell>
          <cell r="S313">
            <v>62.5</v>
          </cell>
          <cell r="AA313">
            <v>85.714285714285708</v>
          </cell>
        </row>
        <row r="314">
          <cell r="J314">
            <v>57.142857142857146</v>
          </cell>
          <cell r="S314">
            <v>62.5</v>
          </cell>
          <cell r="AA314">
            <v>85.714285714285708</v>
          </cell>
        </row>
        <row r="315">
          <cell r="J315">
            <v>42.857142857142854</v>
          </cell>
          <cell r="S315">
            <v>62.5</v>
          </cell>
          <cell r="AA315">
            <v>71.428571428571431</v>
          </cell>
        </row>
        <row r="316">
          <cell r="J316">
            <v>35.714285714285715</v>
          </cell>
          <cell r="S316">
            <v>75</v>
          </cell>
          <cell r="AA316">
            <v>78.571428571428569</v>
          </cell>
        </row>
        <row r="317">
          <cell r="J317">
            <v>35.714285714285715</v>
          </cell>
          <cell r="S317">
            <v>50</v>
          </cell>
          <cell r="AA317">
            <v>42.857142857142854</v>
          </cell>
        </row>
        <row r="318">
          <cell r="J318">
            <v>21.428571428571427</v>
          </cell>
          <cell r="S318">
            <v>37.5</v>
          </cell>
          <cell r="AA318">
            <v>57.142857142857146</v>
          </cell>
        </row>
        <row r="319">
          <cell r="J319">
            <v>28.571428571428573</v>
          </cell>
          <cell r="S319">
            <v>43.75</v>
          </cell>
          <cell r="AA319">
            <v>42.857142857142854</v>
          </cell>
        </row>
        <row r="320">
          <cell r="J320">
            <v>28.571428571428573</v>
          </cell>
          <cell r="S320">
            <v>75</v>
          </cell>
          <cell r="AA320">
            <v>42.857142857142854</v>
          </cell>
        </row>
        <row r="321">
          <cell r="J321">
            <v>14.285714285714286</v>
          </cell>
          <cell r="S321">
            <v>37.5</v>
          </cell>
          <cell r="AA321">
            <v>57.142857142857146</v>
          </cell>
        </row>
        <row r="322">
          <cell r="J322">
            <v>28.571428571428573</v>
          </cell>
          <cell r="S322">
            <v>12.5</v>
          </cell>
          <cell r="AA322">
            <v>71.428571428571431</v>
          </cell>
        </row>
        <row r="323">
          <cell r="J323">
            <v>57.142857142857146</v>
          </cell>
          <cell r="S323">
            <v>87.5</v>
          </cell>
          <cell r="AA323">
            <v>100</v>
          </cell>
        </row>
        <row r="324">
          <cell r="J324">
            <v>64.285714285714292</v>
          </cell>
          <cell r="S324">
            <v>62.5</v>
          </cell>
          <cell r="AA324">
            <v>42.857142857142854</v>
          </cell>
        </row>
        <row r="325">
          <cell r="J325">
            <v>71.428571428571431</v>
          </cell>
          <cell r="S325">
            <v>50</v>
          </cell>
          <cell r="AA325">
            <v>57.142857142857146</v>
          </cell>
        </row>
        <row r="326">
          <cell r="J326">
            <v>85.714285714285708</v>
          </cell>
          <cell r="S326">
            <v>37.5</v>
          </cell>
          <cell r="AA326">
            <v>28.571428571428573</v>
          </cell>
        </row>
        <row r="327">
          <cell r="J327">
            <v>64.285714285714292</v>
          </cell>
          <cell r="S327">
            <v>100</v>
          </cell>
          <cell r="AA327">
            <v>28.571428571428573</v>
          </cell>
        </row>
        <row r="328">
          <cell r="J328">
            <v>50</v>
          </cell>
          <cell r="S328">
            <v>50</v>
          </cell>
          <cell r="AA328">
            <v>28.571428571428573</v>
          </cell>
        </row>
        <row r="329">
          <cell r="J329">
            <v>14.285714285714286</v>
          </cell>
          <cell r="S329">
            <v>62.5</v>
          </cell>
          <cell r="AA329">
            <v>28.571428571428573</v>
          </cell>
        </row>
        <row r="330">
          <cell r="J330">
            <v>28.571428571428573</v>
          </cell>
          <cell r="S330">
            <v>50</v>
          </cell>
          <cell r="AA330">
            <v>57.142857142857146</v>
          </cell>
        </row>
        <row r="331">
          <cell r="J331">
            <v>28.571428571428573</v>
          </cell>
          <cell r="S331">
            <v>75</v>
          </cell>
          <cell r="AA331">
            <v>57.142857142857146</v>
          </cell>
        </row>
        <row r="332">
          <cell r="J332">
            <v>42.857142857142854</v>
          </cell>
          <cell r="S332">
            <v>12.5</v>
          </cell>
          <cell r="AA332">
            <v>71.428571428571431</v>
          </cell>
        </row>
        <row r="333">
          <cell r="J333">
            <v>57.142857142857146</v>
          </cell>
          <cell r="S333">
            <v>50</v>
          </cell>
          <cell r="AA333">
            <v>42.857142857142854</v>
          </cell>
        </row>
        <row r="334">
          <cell r="J334">
            <v>42.857142857142854</v>
          </cell>
          <cell r="S334">
            <v>50</v>
          </cell>
          <cell r="AA334">
            <v>42.857142857142854</v>
          </cell>
        </row>
        <row r="335">
          <cell r="J335">
            <v>42.857142857142854</v>
          </cell>
          <cell r="S335">
            <v>25</v>
          </cell>
          <cell r="AA335">
            <v>0</v>
          </cell>
        </row>
        <row r="336">
          <cell r="J336">
            <v>14.285714285714286</v>
          </cell>
          <cell r="S336">
            <v>25</v>
          </cell>
          <cell r="AA336">
            <v>42.857142857142854</v>
          </cell>
        </row>
        <row r="337">
          <cell r="J337">
            <v>14.285714285714286</v>
          </cell>
          <cell r="S337">
            <v>37.5</v>
          </cell>
          <cell r="AA337">
            <v>28.571428571428573</v>
          </cell>
        </row>
        <row r="338">
          <cell r="J338">
            <v>28.571428571428573</v>
          </cell>
          <cell r="S338">
            <v>25</v>
          </cell>
          <cell r="AA338">
            <v>71.428571428571431</v>
          </cell>
        </row>
        <row r="339">
          <cell r="J339">
            <v>14.285714285714286</v>
          </cell>
          <cell r="S339">
            <v>25</v>
          </cell>
          <cell r="AA339">
            <v>71.428571428571431</v>
          </cell>
        </row>
        <row r="340">
          <cell r="J340">
            <v>35.714285714285715</v>
          </cell>
          <cell r="S340">
            <v>50</v>
          </cell>
          <cell r="AA340">
            <v>85.714285714285708</v>
          </cell>
        </row>
        <row r="341">
          <cell r="J341">
            <v>28.571428571428573</v>
          </cell>
          <cell r="S341">
            <v>50</v>
          </cell>
          <cell r="AA341">
            <v>42.857142857142854</v>
          </cell>
        </row>
        <row r="342">
          <cell r="J342">
            <v>42.857142857142854</v>
          </cell>
          <cell r="S342">
            <v>62.5</v>
          </cell>
          <cell r="AA342">
            <v>71.428571428571431</v>
          </cell>
        </row>
        <row r="343">
          <cell r="J343">
            <v>57.142857142857146</v>
          </cell>
          <cell r="S343">
            <v>31.25</v>
          </cell>
          <cell r="AA343">
            <v>42.857142857142854</v>
          </cell>
        </row>
        <row r="344">
          <cell r="J344">
            <v>28.571428571428573</v>
          </cell>
          <cell r="S344">
            <v>25</v>
          </cell>
          <cell r="AA344">
            <v>28.571428571428573</v>
          </cell>
        </row>
        <row r="345">
          <cell r="J345">
            <v>28.571428571428573</v>
          </cell>
          <cell r="S345">
            <v>37.5</v>
          </cell>
          <cell r="AA345">
            <v>28.571428571428573</v>
          </cell>
        </row>
        <row r="346">
          <cell r="J346">
            <v>57.142857142857146</v>
          </cell>
          <cell r="S346">
            <v>25</v>
          </cell>
          <cell r="AA346">
            <v>28.571428571428573</v>
          </cell>
        </row>
        <row r="347">
          <cell r="J347">
            <v>42.857142857142854</v>
          </cell>
          <cell r="S347">
            <v>87.5</v>
          </cell>
          <cell r="AA347">
            <v>28.571428571428573</v>
          </cell>
        </row>
        <row r="348">
          <cell r="J348">
            <v>28.571428571428573</v>
          </cell>
          <cell r="S348">
            <v>87.5</v>
          </cell>
          <cell r="AA348">
            <v>42.857142857142854</v>
          </cell>
        </row>
        <row r="349">
          <cell r="J349">
            <v>71.428571428571431</v>
          </cell>
          <cell r="S349">
            <v>87.5</v>
          </cell>
          <cell r="AA349">
            <v>85.714285714285708</v>
          </cell>
        </row>
        <row r="350">
          <cell r="J350">
            <v>71.428571428571431</v>
          </cell>
          <cell r="S350">
            <v>100</v>
          </cell>
          <cell r="AA350">
            <v>42.857142857142854</v>
          </cell>
        </row>
        <row r="351">
          <cell r="J351">
            <v>71.428571428571431</v>
          </cell>
          <cell r="S351">
            <v>100</v>
          </cell>
          <cell r="AA351">
            <v>71.428571428571431</v>
          </cell>
        </row>
        <row r="352">
          <cell r="J352">
            <v>57.142857142857146</v>
          </cell>
          <cell r="S352">
            <v>75</v>
          </cell>
          <cell r="AA352">
            <v>71.428571428571431</v>
          </cell>
        </row>
        <row r="353">
          <cell r="J353">
            <v>42.857142857142854</v>
          </cell>
          <cell r="S353">
            <v>87.5</v>
          </cell>
          <cell r="AA353">
            <v>42.857142857142854</v>
          </cell>
        </row>
        <row r="354">
          <cell r="J354">
            <v>64.285714285714292</v>
          </cell>
          <cell r="S354">
            <v>87.5</v>
          </cell>
          <cell r="AA354">
            <v>57.142857142857146</v>
          </cell>
        </row>
        <row r="355">
          <cell r="J355">
            <v>28.571428571428573</v>
          </cell>
          <cell r="S355">
            <v>75</v>
          </cell>
          <cell r="AA355">
            <v>50</v>
          </cell>
        </row>
        <row r="356">
          <cell r="J356">
            <v>50</v>
          </cell>
          <cell r="S356">
            <v>87.5</v>
          </cell>
          <cell r="AA356">
            <v>57.142857142857146</v>
          </cell>
        </row>
        <row r="357">
          <cell r="J357">
            <v>57.142857142857146</v>
          </cell>
          <cell r="S357">
            <v>87.5</v>
          </cell>
          <cell r="AA357">
            <v>85.714285714285708</v>
          </cell>
        </row>
        <row r="358">
          <cell r="J358">
            <v>42.857142857142854</v>
          </cell>
          <cell r="S358">
            <v>62.5</v>
          </cell>
          <cell r="AA358">
            <v>57.142857142857146</v>
          </cell>
        </row>
        <row r="359">
          <cell r="J359">
            <v>28.571428571428573</v>
          </cell>
          <cell r="S359">
            <v>31.25</v>
          </cell>
          <cell r="AA359">
            <v>57.142857142857146</v>
          </cell>
        </row>
        <row r="360">
          <cell r="J360">
            <v>14.285714285714286</v>
          </cell>
          <cell r="S360">
            <v>43.75</v>
          </cell>
          <cell r="AA360">
            <v>42.857142857142854</v>
          </cell>
        </row>
        <row r="361">
          <cell r="J361">
            <v>28.571428571428573</v>
          </cell>
          <cell r="S361">
            <v>75</v>
          </cell>
          <cell r="AA361">
            <v>57.142857142857146</v>
          </cell>
        </row>
        <row r="362">
          <cell r="J362">
            <v>28.571428571428573</v>
          </cell>
          <cell r="S362">
            <v>75</v>
          </cell>
          <cell r="AA362">
            <v>50</v>
          </cell>
        </row>
        <row r="363">
          <cell r="J363">
            <v>71.428571428571431</v>
          </cell>
          <cell r="S363">
            <v>75</v>
          </cell>
          <cell r="AA363">
            <v>50</v>
          </cell>
        </row>
        <row r="364">
          <cell r="J364">
            <v>71.428571428571431</v>
          </cell>
          <cell r="S364">
            <v>62.5</v>
          </cell>
          <cell r="AA364">
            <v>57.142857142857146</v>
          </cell>
        </row>
        <row r="365">
          <cell r="J365">
            <v>85.714285714285708</v>
          </cell>
          <cell r="S365">
            <v>75</v>
          </cell>
          <cell r="AA365">
            <v>57.142857142857146</v>
          </cell>
        </row>
        <row r="366">
          <cell r="J366">
            <v>78.571428571428569</v>
          </cell>
          <cell r="S366">
            <v>75</v>
          </cell>
          <cell r="AA366">
            <v>42.857142857142854</v>
          </cell>
        </row>
        <row r="367">
          <cell r="J367">
            <v>71.428571428571431</v>
          </cell>
          <cell r="S367">
            <v>62.5</v>
          </cell>
          <cell r="AA367">
            <v>42.857142857142854</v>
          </cell>
        </row>
        <row r="368">
          <cell r="J368">
            <v>64.285714285714292</v>
          </cell>
          <cell r="S368">
            <v>75</v>
          </cell>
          <cell r="AA368">
            <v>28.571428571428573</v>
          </cell>
        </row>
        <row r="369">
          <cell r="J369">
            <v>78.571428571428569</v>
          </cell>
          <cell r="S369">
            <v>87.5</v>
          </cell>
          <cell r="AA369">
            <v>71.428571428571431</v>
          </cell>
        </row>
        <row r="370">
          <cell r="J370">
            <v>57.142857142857146</v>
          </cell>
          <cell r="S370">
            <v>62.5</v>
          </cell>
          <cell r="AA370">
            <v>57.142857142857146</v>
          </cell>
        </row>
        <row r="371">
          <cell r="J371">
            <v>50</v>
          </cell>
          <cell r="S371">
            <v>50</v>
          </cell>
          <cell r="AA371">
            <v>71.428571428571431</v>
          </cell>
        </row>
        <row r="372">
          <cell r="J372">
            <v>57.142857142857146</v>
          </cell>
          <cell r="S372">
            <v>62.5</v>
          </cell>
          <cell r="AA372">
            <v>28.571428571428573</v>
          </cell>
        </row>
        <row r="373">
          <cell r="J373">
            <v>57.142857142857146</v>
          </cell>
          <cell r="S373">
            <v>6.25</v>
          </cell>
          <cell r="AA373">
            <v>14.285714285714286</v>
          </cell>
        </row>
        <row r="374">
          <cell r="J374">
            <v>42.857142857142854</v>
          </cell>
          <cell r="S374">
            <v>6.25</v>
          </cell>
          <cell r="AA374">
            <v>14.285714285714286</v>
          </cell>
        </row>
        <row r="375">
          <cell r="J375">
            <v>85.714285714285708</v>
          </cell>
          <cell r="S375">
            <v>12.5</v>
          </cell>
          <cell r="AA375">
            <v>14.285714285714286</v>
          </cell>
        </row>
        <row r="376">
          <cell r="J376">
            <v>57.142857142857146</v>
          </cell>
          <cell r="S376">
            <v>25</v>
          </cell>
          <cell r="AA376">
            <v>42.857142857142854</v>
          </cell>
        </row>
        <row r="377">
          <cell r="J377">
            <v>14.285714285714286</v>
          </cell>
          <cell r="S377">
            <v>37.5</v>
          </cell>
          <cell r="AA377">
            <v>42.857142857142854</v>
          </cell>
        </row>
        <row r="378">
          <cell r="J378">
            <v>28.571428571428573</v>
          </cell>
          <cell r="S378">
            <v>50</v>
          </cell>
          <cell r="AA378">
            <v>42.857142857142854</v>
          </cell>
        </row>
        <row r="379">
          <cell r="J379">
            <v>42.857142857142854</v>
          </cell>
          <cell r="S379">
            <v>37.5</v>
          </cell>
          <cell r="AA379">
            <v>64.285714285714292</v>
          </cell>
        </row>
        <row r="380">
          <cell r="J380">
            <v>50</v>
          </cell>
          <cell r="S380">
            <v>62.5</v>
          </cell>
          <cell r="AA380">
            <v>85.714285714285708</v>
          </cell>
        </row>
        <row r="381">
          <cell r="J381">
            <v>28.571428571428573</v>
          </cell>
          <cell r="S381">
            <v>12.5</v>
          </cell>
          <cell r="AA381">
            <v>57.142857142857146</v>
          </cell>
        </row>
        <row r="382">
          <cell r="J382">
            <v>28.571428571428573</v>
          </cell>
          <cell r="S382">
            <v>25</v>
          </cell>
          <cell r="AA382">
            <v>71.428571428571431</v>
          </cell>
        </row>
        <row r="383">
          <cell r="J383">
            <v>28.571428571428573</v>
          </cell>
          <cell r="S383">
            <v>62.5</v>
          </cell>
          <cell r="AA383">
            <v>85.714285714285708</v>
          </cell>
        </row>
        <row r="384">
          <cell r="J384">
            <v>21.428571428571427</v>
          </cell>
          <cell r="S384">
            <v>25</v>
          </cell>
          <cell r="AA384">
            <v>35.714285714285715</v>
          </cell>
        </row>
        <row r="385">
          <cell r="J385">
            <v>28.571428571428573</v>
          </cell>
          <cell r="S385">
            <v>12.5</v>
          </cell>
          <cell r="AA385">
            <v>42.857142857142854</v>
          </cell>
        </row>
        <row r="386">
          <cell r="J386">
            <v>14.285714285714286</v>
          </cell>
          <cell r="S386">
            <v>12.5</v>
          </cell>
          <cell r="AA386">
            <v>71.428571428571431</v>
          </cell>
        </row>
        <row r="387">
          <cell r="J387">
            <v>28.571428571428573</v>
          </cell>
          <cell r="S387">
            <v>12.5</v>
          </cell>
          <cell r="AA387">
            <v>28.571428571428573</v>
          </cell>
        </row>
        <row r="388">
          <cell r="J388">
            <v>14.285714285714286</v>
          </cell>
          <cell r="S388">
            <v>37.5</v>
          </cell>
          <cell r="AA388">
            <v>28.571428571428573</v>
          </cell>
        </row>
        <row r="389">
          <cell r="J389">
            <v>28.571428571428573</v>
          </cell>
          <cell r="S389">
            <v>37.5</v>
          </cell>
          <cell r="AA389">
            <v>57.142857142857146</v>
          </cell>
        </row>
        <row r="390">
          <cell r="J390">
            <v>14.285714285714286</v>
          </cell>
          <cell r="S390">
            <v>50</v>
          </cell>
          <cell r="AA390">
            <v>28.571428571428573</v>
          </cell>
        </row>
        <row r="391">
          <cell r="J391">
            <v>14.285714285714286</v>
          </cell>
          <cell r="S391">
            <v>0</v>
          </cell>
          <cell r="AA391">
            <v>28.571428571428573</v>
          </cell>
        </row>
        <row r="392">
          <cell r="J392">
            <v>14.285714285714286</v>
          </cell>
          <cell r="S392">
            <v>0</v>
          </cell>
          <cell r="AA392">
            <v>42.857142857142854</v>
          </cell>
        </row>
        <row r="393">
          <cell r="J393">
            <v>14.285714285714286</v>
          </cell>
          <cell r="S393">
            <v>12.5</v>
          </cell>
          <cell r="AA393">
            <v>42.857142857142854</v>
          </cell>
        </row>
        <row r="394">
          <cell r="J394">
            <v>42.857142857142854</v>
          </cell>
          <cell r="S394">
            <v>0</v>
          </cell>
          <cell r="AA394">
            <v>42.857142857142854</v>
          </cell>
        </row>
        <row r="395">
          <cell r="J395">
            <v>71.428571428571431</v>
          </cell>
          <cell r="S395">
            <v>0</v>
          </cell>
          <cell r="AA395">
            <v>42.857142857142854</v>
          </cell>
        </row>
        <row r="396">
          <cell r="J396">
            <v>71.428571428571431</v>
          </cell>
          <cell r="S396">
            <v>75</v>
          </cell>
          <cell r="AA396">
            <v>57.142857142857146</v>
          </cell>
        </row>
        <row r="397">
          <cell r="J397">
            <v>85.714285714285708</v>
          </cell>
          <cell r="S397">
            <v>100</v>
          </cell>
          <cell r="AA397">
            <v>57.142857142857146</v>
          </cell>
        </row>
        <row r="398">
          <cell r="J398">
            <v>71.428571428571431</v>
          </cell>
          <cell r="S398">
            <v>87.5</v>
          </cell>
          <cell r="AA398">
            <v>14.285714285714286</v>
          </cell>
        </row>
        <row r="399">
          <cell r="J399">
            <v>57.142857142857146</v>
          </cell>
          <cell r="S399">
            <v>87.5</v>
          </cell>
          <cell r="AA399">
            <v>50</v>
          </cell>
        </row>
        <row r="400">
          <cell r="J400">
            <v>28.571428571428573</v>
          </cell>
          <cell r="S400">
            <v>87.5</v>
          </cell>
          <cell r="AA400">
            <v>42.857142857142854</v>
          </cell>
        </row>
        <row r="401">
          <cell r="J401">
            <v>42.857142857142854</v>
          </cell>
          <cell r="S401">
            <v>75</v>
          </cell>
          <cell r="AA401">
            <v>57.142857142857146</v>
          </cell>
        </row>
        <row r="402">
          <cell r="J402">
            <v>71.428571428571431</v>
          </cell>
          <cell r="S402">
            <v>87.5</v>
          </cell>
          <cell r="AA402">
            <v>85.714285714285708</v>
          </cell>
        </row>
        <row r="403">
          <cell r="J403">
            <v>57.142857142857146</v>
          </cell>
          <cell r="S403">
            <v>100</v>
          </cell>
          <cell r="AA403">
            <v>85.714285714285708</v>
          </cell>
        </row>
        <row r="404">
          <cell r="J404">
            <v>42.857142857142854</v>
          </cell>
          <cell r="S404">
            <v>87.5</v>
          </cell>
          <cell r="AA404">
            <v>71.428571428571431</v>
          </cell>
        </row>
        <row r="405">
          <cell r="J405">
            <v>64.285714285714292</v>
          </cell>
          <cell r="S405">
            <v>87.5</v>
          </cell>
          <cell r="AA405">
            <v>71.428571428571431</v>
          </cell>
        </row>
        <row r="406">
          <cell r="J406">
            <v>71.428571428571431</v>
          </cell>
          <cell r="S406">
            <v>100</v>
          </cell>
          <cell r="AA406">
            <v>28.571428571428573</v>
          </cell>
        </row>
        <row r="407">
          <cell r="J407">
            <v>42.857142857142854</v>
          </cell>
          <cell r="S407">
            <v>75</v>
          </cell>
          <cell r="AA407">
            <v>28.571428571428573</v>
          </cell>
        </row>
        <row r="408">
          <cell r="J408">
            <v>35.714285714285715</v>
          </cell>
          <cell r="S408">
            <v>75</v>
          </cell>
          <cell r="AA408">
            <v>57.142857142857146</v>
          </cell>
        </row>
        <row r="409">
          <cell r="J409">
            <v>42.857142857142854</v>
          </cell>
          <cell r="S409">
            <v>75</v>
          </cell>
          <cell r="AA409">
            <v>57.142857142857146</v>
          </cell>
        </row>
        <row r="410">
          <cell r="J410">
            <v>42.857142857142854</v>
          </cell>
          <cell r="S410">
            <v>75</v>
          </cell>
          <cell r="AA410">
            <v>57.142857142857146</v>
          </cell>
        </row>
        <row r="411">
          <cell r="J411">
            <v>35.714285714285715</v>
          </cell>
          <cell r="S411">
            <v>62.5</v>
          </cell>
          <cell r="AA411">
            <v>57.142857142857146</v>
          </cell>
        </row>
        <row r="412">
          <cell r="J412">
            <v>42.857142857142854</v>
          </cell>
          <cell r="S412">
            <v>62.5</v>
          </cell>
          <cell r="AA412">
            <v>57.142857142857146</v>
          </cell>
        </row>
        <row r="413">
          <cell r="J413">
            <v>28.571428571428573</v>
          </cell>
          <cell r="S413">
            <v>87.5</v>
          </cell>
          <cell r="AA413">
            <v>57.142857142857146</v>
          </cell>
        </row>
        <row r="414">
          <cell r="J414">
            <v>42.857142857142854</v>
          </cell>
          <cell r="S414">
            <v>87.5</v>
          </cell>
          <cell r="AA414">
            <v>71.428571428571431</v>
          </cell>
        </row>
        <row r="415">
          <cell r="J415">
            <v>42.857142857142854</v>
          </cell>
          <cell r="S415">
            <v>87.5</v>
          </cell>
          <cell r="AA415">
            <v>85.714285714285708</v>
          </cell>
        </row>
        <row r="416">
          <cell r="J416">
            <v>64.285714285714292</v>
          </cell>
          <cell r="S416">
            <v>62.5</v>
          </cell>
          <cell r="AA416">
            <v>57.142857142857146</v>
          </cell>
        </row>
        <row r="417">
          <cell r="J417">
            <v>85.714285714285708</v>
          </cell>
          <cell r="S417">
            <v>62.5</v>
          </cell>
          <cell r="AA417">
            <v>85.714285714285708</v>
          </cell>
        </row>
        <row r="418">
          <cell r="J418">
            <v>57.142857142857146</v>
          </cell>
          <cell r="S418">
            <v>62.5</v>
          </cell>
          <cell r="AA418">
            <v>85.714285714285708</v>
          </cell>
        </row>
        <row r="419">
          <cell r="J419">
            <v>42.857142857142854</v>
          </cell>
          <cell r="S419">
            <v>62.5</v>
          </cell>
          <cell r="AA419">
            <v>85.714285714285708</v>
          </cell>
        </row>
        <row r="420">
          <cell r="J420">
            <v>71.428571428571431</v>
          </cell>
          <cell r="S420">
            <v>25</v>
          </cell>
          <cell r="AA420">
            <v>50</v>
          </cell>
        </row>
        <row r="421">
          <cell r="J421">
            <v>50</v>
          </cell>
          <cell r="S421">
            <v>50</v>
          </cell>
          <cell r="AA421">
            <v>71.428571428571431</v>
          </cell>
        </row>
        <row r="422">
          <cell r="J422">
            <v>50</v>
          </cell>
          <cell r="S422">
            <v>25</v>
          </cell>
          <cell r="AA422">
            <v>42.857142857142854</v>
          </cell>
        </row>
        <row r="423">
          <cell r="J423">
            <v>50</v>
          </cell>
          <cell r="S423">
            <v>18.75</v>
          </cell>
          <cell r="AA423">
            <v>85.714285714285708</v>
          </cell>
        </row>
        <row r="424">
          <cell r="J424">
            <v>57.142857142857146</v>
          </cell>
          <cell r="S424">
            <v>25</v>
          </cell>
          <cell r="AA424">
            <v>57.142857142857146</v>
          </cell>
        </row>
        <row r="425">
          <cell r="J425">
            <v>28.571428571428573</v>
          </cell>
          <cell r="S425">
            <v>50</v>
          </cell>
          <cell r="AA425">
            <v>57.142857142857146</v>
          </cell>
        </row>
        <row r="426">
          <cell r="J426">
            <v>57.142857142857146</v>
          </cell>
          <cell r="S426">
            <v>37.5</v>
          </cell>
          <cell r="AA426">
            <v>57.142857142857146</v>
          </cell>
        </row>
        <row r="427">
          <cell r="J427">
            <v>28.571428571428573</v>
          </cell>
          <cell r="S427">
            <v>50</v>
          </cell>
          <cell r="AA427">
            <v>14.285714285714286</v>
          </cell>
        </row>
        <row r="428">
          <cell r="J428">
            <v>42.857142857142854</v>
          </cell>
          <cell r="S428">
            <v>25</v>
          </cell>
          <cell r="AA428">
            <v>14.285714285714286</v>
          </cell>
        </row>
        <row r="429">
          <cell r="J429">
            <v>28.571428571428573</v>
          </cell>
          <cell r="S429">
            <v>25</v>
          </cell>
          <cell r="AA429">
            <v>42.857142857142854</v>
          </cell>
        </row>
        <row r="430">
          <cell r="J430">
            <v>57.142857142857146</v>
          </cell>
          <cell r="S430">
            <v>25</v>
          </cell>
          <cell r="AA430">
            <v>71.428571428571431</v>
          </cell>
        </row>
        <row r="431">
          <cell r="J431">
            <v>57.142857142857146</v>
          </cell>
          <cell r="S431">
            <v>25</v>
          </cell>
          <cell r="AA431">
            <v>78.571428571428569</v>
          </cell>
        </row>
        <row r="432">
          <cell r="J432">
            <v>21.428571428571427</v>
          </cell>
          <cell r="S432">
            <v>37.5</v>
          </cell>
          <cell r="AA432">
            <v>85.714285714285708</v>
          </cell>
        </row>
        <row r="433">
          <cell r="J433">
            <v>28.571428571428573</v>
          </cell>
          <cell r="S433">
            <v>12.5</v>
          </cell>
          <cell r="AA433">
            <v>71.428571428571431</v>
          </cell>
        </row>
        <row r="434">
          <cell r="J434">
            <v>64.285714285714292</v>
          </cell>
          <cell r="S434">
            <v>37.5</v>
          </cell>
          <cell r="AA434">
            <v>85.714285714285708</v>
          </cell>
        </row>
        <row r="435">
          <cell r="J435">
            <v>28.571428571428573</v>
          </cell>
          <cell r="S435">
            <v>12.5</v>
          </cell>
          <cell r="AA435">
            <v>28.571428571428573</v>
          </cell>
        </row>
        <row r="436">
          <cell r="J436">
            <v>0</v>
          </cell>
          <cell r="S436">
            <v>62.5</v>
          </cell>
          <cell r="AA436">
            <v>42.857142857142854</v>
          </cell>
        </row>
        <row r="437">
          <cell r="J437">
            <v>57.142857142857146</v>
          </cell>
          <cell r="S437">
            <v>62.5</v>
          </cell>
          <cell r="AA437">
            <v>28.571428571428573</v>
          </cell>
        </row>
        <row r="438">
          <cell r="J438">
            <v>42.857142857142854</v>
          </cell>
          <cell r="S438">
            <v>62.5</v>
          </cell>
          <cell r="AA438">
            <v>28.571428571428573</v>
          </cell>
        </row>
        <row r="439">
          <cell r="J439">
            <v>28.571428571428573</v>
          </cell>
          <cell r="S439">
            <v>62.5</v>
          </cell>
          <cell r="AA439">
            <v>28.571428571428573</v>
          </cell>
        </row>
        <row r="440">
          <cell r="J440">
            <v>42.857142857142854</v>
          </cell>
          <cell r="S440">
            <v>75</v>
          </cell>
          <cell r="AA440">
            <v>85.714285714285708</v>
          </cell>
        </row>
        <row r="441">
          <cell r="J441">
            <v>64.285714285714292</v>
          </cell>
          <cell r="S441">
            <v>50</v>
          </cell>
          <cell r="AA441">
            <v>28.571428571428573</v>
          </cell>
        </row>
        <row r="442">
          <cell r="J442">
            <v>42.857142857142854</v>
          </cell>
          <cell r="S442">
            <v>25</v>
          </cell>
          <cell r="AA442">
            <v>57.142857142857146</v>
          </cell>
        </row>
        <row r="443">
          <cell r="J443">
            <v>57.142857142857146</v>
          </cell>
          <cell r="S443">
            <v>43.75</v>
          </cell>
          <cell r="AA443">
            <v>57.142857142857146</v>
          </cell>
        </row>
        <row r="444">
          <cell r="J444">
            <v>71.428571428571431</v>
          </cell>
          <cell r="S444">
            <v>75</v>
          </cell>
          <cell r="AA444">
            <v>57.142857142857146</v>
          </cell>
        </row>
        <row r="445">
          <cell r="J445">
            <v>42.857142857142854</v>
          </cell>
          <cell r="S445">
            <v>68.75</v>
          </cell>
          <cell r="AA445">
            <v>71.428571428571431</v>
          </cell>
        </row>
        <row r="446">
          <cell r="J446">
            <v>57.142857142857146</v>
          </cell>
          <cell r="S446">
            <v>75</v>
          </cell>
          <cell r="AA446">
            <v>85.714285714285708</v>
          </cell>
        </row>
        <row r="447">
          <cell r="J447">
            <v>57.142857142857146</v>
          </cell>
          <cell r="S447">
            <v>87.5</v>
          </cell>
          <cell r="AA447">
            <v>42.857142857142854</v>
          </cell>
        </row>
        <row r="448">
          <cell r="J448">
            <v>71.428571428571431</v>
          </cell>
          <cell r="S448">
            <v>62.5</v>
          </cell>
          <cell r="AA448">
            <v>85.714285714285708</v>
          </cell>
        </row>
        <row r="449">
          <cell r="J449">
            <v>50</v>
          </cell>
          <cell r="S449">
            <v>75</v>
          </cell>
          <cell r="AA449">
            <v>42.857142857142854</v>
          </cell>
        </row>
        <row r="450">
          <cell r="J450">
            <v>85.714285714285708</v>
          </cell>
          <cell r="S450">
            <v>25</v>
          </cell>
          <cell r="AA450">
            <v>28.571428571428573</v>
          </cell>
        </row>
        <row r="451">
          <cell r="J451">
            <v>57.142857142857146</v>
          </cell>
          <cell r="S451">
            <v>50</v>
          </cell>
          <cell r="AA451">
            <v>28.571428571428573</v>
          </cell>
        </row>
        <row r="452">
          <cell r="J452">
            <v>57.142857142857146</v>
          </cell>
          <cell r="S452">
            <v>25</v>
          </cell>
          <cell r="AA452">
            <v>14.285714285714286</v>
          </cell>
        </row>
        <row r="453">
          <cell r="J453">
            <v>64.285714285714292</v>
          </cell>
          <cell r="S453">
            <v>0</v>
          </cell>
          <cell r="AA453">
            <v>42.857142857142854</v>
          </cell>
        </row>
        <row r="454">
          <cell r="J454">
            <v>42.857142857142854</v>
          </cell>
          <cell r="S454">
            <v>12.5</v>
          </cell>
          <cell r="AA454">
            <v>14.285714285714286</v>
          </cell>
        </row>
        <row r="455">
          <cell r="J455">
            <v>42.857142857142854</v>
          </cell>
          <cell r="S455">
            <v>50</v>
          </cell>
          <cell r="AA455">
            <v>42.857142857142854</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workbookViewId="0">
      <selection activeCell="F6" sqref="F6"/>
    </sheetView>
  </sheetViews>
  <sheetFormatPr defaultColWidth="7.6640625" defaultRowHeight="13.2"/>
  <cols>
    <col min="1" max="1" width="4" style="13" customWidth="1"/>
    <col min="2" max="2" width="10.33203125" style="13" customWidth="1"/>
    <col min="3" max="3" width="6.109375" style="13" customWidth="1"/>
    <col min="4" max="4" width="10.33203125" style="13" customWidth="1"/>
    <col min="5" max="5" width="6.109375" style="13" customWidth="1"/>
    <col min="6" max="6" width="10.33203125" style="13" customWidth="1"/>
    <col min="7" max="7" width="6.109375" style="13" customWidth="1"/>
    <col min="8" max="8" width="3.6640625" style="13" customWidth="1"/>
    <col min="9" max="9" width="7.6640625" style="13" customWidth="1"/>
    <col min="10" max="10" width="4" style="13" customWidth="1"/>
    <col min="11" max="11" width="16" style="13" customWidth="1"/>
    <col min="12" max="16384" width="7.6640625" style="13"/>
  </cols>
  <sheetData>
    <row r="1" spans="1:11">
      <c r="B1" s="1330" t="s">
        <v>264</v>
      </c>
      <c r="C1" s="1330"/>
      <c r="D1" s="1330"/>
      <c r="E1" s="1330"/>
      <c r="F1" s="1330"/>
      <c r="G1" s="1330"/>
    </row>
    <row r="2" spans="1:11" ht="6" customHeight="1"/>
    <row r="3" spans="1:11" ht="30" customHeight="1">
      <c r="A3" s="14"/>
      <c r="B3" s="1333" t="s">
        <v>265</v>
      </c>
      <c r="C3" s="1333"/>
      <c r="D3" s="1333"/>
      <c r="E3" s="1333"/>
      <c r="F3" s="1333"/>
      <c r="G3" s="1333"/>
      <c r="H3" s="15"/>
    </row>
    <row r="4" spans="1:11" ht="6" customHeight="1"/>
    <row r="5" spans="1:11" ht="30" customHeight="1" thickBot="1">
      <c r="A5" s="16"/>
      <c r="B5" s="1332" t="s">
        <v>266</v>
      </c>
      <c r="C5" s="1332"/>
      <c r="D5" s="1332"/>
      <c r="E5" s="1332"/>
      <c r="F5" s="1332"/>
      <c r="G5" s="1332"/>
      <c r="H5" s="17"/>
    </row>
    <row r="6" spans="1:11" ht="42" customHeight="1" thickTop="1" thickBot="1">
      <c r="A6" s="16"/>
      <c r="B6" s="18">
        <v>7</v>
      </c>
      <c r="C6" s="19" t="s">
        <v>267</v>
      </c>
      <c r="D6" s="18">
        <v>12</v>
      </c>
      <c r="E6" s="19"/>
      <c r="F6" s="1002" t="s">
        <v>836</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31" t="s">
        <v>269</v>
      </c>
      <c r="C9" s="1331"/>
      <c r="D9" s="1331"/>
      <c r="E9" s="1331"/>
      <c r="F9" s="22"/>
      <c r="G9" s="22"/>
      <c r="H9" s="23"/>
      <c r="J9" s="24" t="s">
        <v>270</v>
      </c>
      <c r="K9" s="25">
        <f ca="1">NOW()</f>
        <v>46017.484827893517</v>
      </c>
    </row>
    <row r="10" spans="1:11" ht="18" customHeight="1">
      <c r="A10" s="21"/>
      <c r="B10" s="26">
        <f>IF(D6&lt;4,B6-1,B6)</f>
        <v>7</v>
      </c>
      <c r="C10" s="27" t="s">
        <v>267</v>
      </c>
      <c r="D10" s="26">
        <f>IF(D6&lt;=3, D6+9,D6-3)</f>
        <v>9</v>
      </c>
      <c r="E10" s="28" t="s">
        <v>189</v>
      </c>
      <c r="F10" s="29"/>
      <c r="G10" s="28"/>
      <c r="H10" s="23"/>
      <c r="J10" s="30" t="s">
        <v>271</v>
      </c>
      <c r="K10" s="31">
        <v>39966.555107523149</v>
      </c>
    </row>
    <row r="11" spans="1:11" ht="8.25" customHeight="1">
      <c r="A11" s="21"/>
      <c r="B11" s="23"/>
      <c r="C11" s="23"/>
      <c r="D11" s="23"/>
      <c r="E11" s="23"/>
      <c r="F11" s="23"/>
      <c r="G11" s="23"/>
      <c r="H11" s="23"/>
    </row>
    <row r="15" spans="1:11">
      <c r="F15" s="1163" t="s">
        <v>769</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45720</xdr:colOff>
                <xdr:row>5</xdr:row>
                <xdr:rowOff>274320</xdr:rowOff>
              </from>
              <to>
                <xdr:col>10</xdr:col>
                <xdr:colOff>1188720</xdr:colOff>
                <xdr:row>6</xdr:row>
                <xdr:rowOff>350520</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D10" sqref="D10:J54"/>
    </sheetView>
  </sheetViews>
  <sheetFormatPr defaultColWidth="8.109375" defaultRowHeight="13.2"/>
  <cols>
    <col min="1" max="1" width="1.77734375" style="249" customWidth="1"/>
    <col min="2" max="2" width="4" style="245" customWidth="1"/>
    <col min="3" max="3" width="3.88671875" style="245" customWidth="1"/>
    <col min="4" max="4" width="12.109375" style="254" customWidth="1"/>
    <col min="5" max="7" width="12.109375" style="252" customWidth="1"/>
    <col min="8" max="8" width="12.109375" style="253" customWidth="1"/>
    <col min="9" max="10" width="12.109375" style="252" customWidth="1"/>
    <col min="11" max="11" width="1.109375" customWidth="1"/>
    <col min="31" max="16384" width="8.109375" style="249"/>
  </cols>
  <sheetData>
    <row r="1" spans="1:192" s="245" customFormat="1" ht="21" customHeight="1">
      <c r="B1" s="258" t="s">
        <v>56</v>
      </c>
      <c r="C1" s="216"/>
      <c r="D1" s="216"/>
      <c r="E1" s="1244"/>
      <c r="F1" s="216"/>
      <c r="G1" s="216"/>
      <c r="H1" s="247"/>
      <c r="I1" s="248"/>
      <c r="J1" s="248"/>
    </row>
    <row r="2" spans="1:192" ht="15" customHeight="1">
      <c r="B2" s="250"/>
      <c r="C2" s="246"/>
      <c r="D2" s="251"/>
    </row>
    <row r="3" spans="1:192" ht="15" customHeight="1">
      <c r="B3" s="1483" t="s">
        <v>548</v>
      </c>
      <c r="C3" s="1483"/>
      <c r="D3" s="1483"/>
      <c r="E3" s="1483"/>
      <c r="F3" s="1483"/>
      <c r="G3" s="1483"/>
      <c r="H3" s="1483"/>
      <c r="I3" s="1483"/>
      <c r="J3" s="1483"/>
    </row>
    <row r="4" spans="1:192" ht="15" customHeight="1">
      <c r="B4" s="697"/>
      <c r="C4" s="690" t="s">
        <v>555</v>
      </c>
      <c r="D4" s="446" t="s">
        <v>393</v>
      </c>
      <c r="E4" s="1245" t="s">
        <v>151</v>
      </c>
      <c r="F4" s="446" t="s">
        <v>152</v>
      </c>
      <c r="G4" s="446" t="s">
        <v>153</v>
      </c>
      <c r="H4" s="446" t="s">
        <v>154</v>
      </c>
      <c r="I4" s="446" t="s">
        <v>155</v>
      </c>
      <c r="J4" s="446" t="s">
        <v>156</v>
      </c>
    </row>
    <row r="5" spans="1:192" s="245" customFormat="1" ht="15" customHeight="1">
      <c r="B5" s="691"/>
      <c r="C5" s="692"/>
      <c r="D5" s="1481" t="s">
        <v>493</v>
      </c>
      <c r="E5" s="1486" t="s">
        <v>496</v>
      </c>
      <c r="F5" s="1486" t="s">
        <v>495</v>
      </c>
      <c r="G5" s="1488" t="s">
        <v>398</v>
      </c>
      <c r="H5" s="1488" t="s">
        <v>397</v>
      </c>
      <c r="I5" s="1484" t="s">
        <v>780</v>
      </c>
      <c r="J5" s="1484" t="s">
        <v>781</v>
      </c>
    </row>
    <row r="6" spans="1:192" ht="15" customHeight="1">
      <c r="B6" s="447"/>
      <c r="C6" s="249"/>
      <c r="D6" s="1482"/>
      <c r="E6" s="1489"/>
      <c r="F6" s="1485"/>
      <c r="G6" s="1485"/>
      <c r="H6" s="1485"/>
      <c r="I6" s="1491"/>
      <c r="J6" s="1485"/>
    </row>
    <row r="7" spans="1:192" ht="15" customHeight="1">
      <c r="B7" s="447"/>
      <c r="C7" s="249"/>
      <c r="D7" s="1482"/>
      <c r="E7" s="1490"/>
      <c r="F7" s="1487"/>
      <c r="G7" s="1487"/>
      <c r="H7" s="1485"/>
      <c r="I7" s="1491"/>
      <c r="J7" s="1485"/>
    </row>
    <row r="8" spans="1:192" ht="15" customHeight="1">
      <c r="B8" s="447"/>
      <c r="C8" s="249"/>
      <c r="D8" s="1482"/>
      <c r="E8" s="1490"/>
      <c r="F8" s="1487"/>
      <c r="G8" s="1487"/>
      <c r="H8" s="1485"/>
      <c r="I8" s="1482"/>
      <c r="J8" s="1485"/>
    </row>
    <row r="9" spans="1:192" ht="15" customHeight="1">
      <c r="A9" s="250"/>
      <c r="B9" s="448" t="s">
        <v>194</v>
      </c>
      <c r="C9" s="449"/>
      <c r="D9" s="809" t="s">
        <v>583</v>
      </c>
      <c r="E9" s="1173" t="s">
        <v>772</v>
      </c>
      <c r="F9" s="1173" t="s">
        <v>772</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7">
        <v>83.3</v>
      </c>
      <c r="K10" s="1305"/>
    </row>
    <row r="11" spans="1:192" ht="15" customHeight="1">
      <c r="B11" s="999"/>
      <c r="C11" s="568">
        <v>2</v>
      </c>
      <c r="D11" s="906">
        <v>6381.5</v>
      </c>
      <c r="E11" s="785">
        <v>89.3</v>
      </c>
      <c r="F11" s="929">
        <v>70.400000000000006</v>
      </c>
      <c r="G11" s="569">
        <v>3320</v>
      </c>
      <c r="H11" s="813">
        <v>434</v>
      </c>
      <c r="I11" s="569">
        <v>5</v>
      </c>
      <c r="J11" s="1288">
        <v>78.7</v>
      </c>
      <c r="K11" s="1305"/>
    </row>
    <row r="12" spans="1:192" ht="15" customHeight="1">
      <c r="B12" s="999"/>
      <c r="C12" s="568">
        <v>3</v>
      </c>
      <c r="D12" s="906">
        <v>6076.6</v>
      </c>
      <c r="E12" s="785">
        <v>88.9</v>
      </c>
      <c r="F12" s="929">
        <v>73.5</v>
      </c>
      <c r="G12" s="569">
        <v>3373</v>
      </c>
      <c r="H12" s="813">
        <v>548</v>
      </c>
      <c r="I12" s="569">
        <v>4</v>
      </c>
      <c r="J12" s="1288">
        <v>78</v>
      </c>
      <c r="K12" s="1305"/>
    </row>
    <row r="13" spans="1:192" ht="15" customHeight="1">
      <c r="B13" s="1001"/>
      <c r="C13" s="568">
        <v>4</v>
      </c>
      <c r="D13" s="906">
        <v>6529.8</v>
      </c>
      <c r="E13" s="785">
        <v>90.7</v>
      </c>
      <c r="F13" s="929">
        <v>73.5</v>
      </c>
      <c r="G13" s="569">
        <v>3433</v>
      </c>
      <c r="H13" s="813">
        <v>617</v>
      </c>
      <c r="I13" s="569">
        <v>4</v>
      </c>
      <c r="J13" s="1288">
        <v>81.3</v>
      </c>
      <c r="K13" s="1305"/>
    </row>
    <row r="14" spans="1:192" ht="15" customHeight="1">
      <c r="B14" s="1003"/>
      <c r="C14" s="568">
        <v>5</v>
      </c>
      <c r="D14" s="906">
        <v>6650.9</v>
      </c>
      <c r="E14" s="785">
        <v>89.6</v>
      </c>
      <c r="F14" s="929">
        <v>91.9</v>
      </c>
      <c r="G14" s="569">
        <v>3320</v>
      </c>
      <c r="H14" s="813">
        <v>561</v>
      </c>
      <c r="I14" s="569">
        <v>3</v>
      </c>
      <c r="J14" s="1288">
        <v>84.7</v>
      </c>
      <c r="K14" s="1305"/>
    </row>
    <row r="15" spans="1:192" ht="15" customHeight="1">
      <c r="B15" s="999"/>
      <c r="C15" s="568">
        <v>6</v>
      </c>
      <c r="D15" s="906">
        <v>6312.7</v>
      </c>
      <c r="E15" s="785">
        <v>92.5</v>
      </c>
      <c r="F15" s="929">
        <v>83</v>
      </c>
      <c r="G15" s="569">
        <v>3408</v>
      </c>
      <c r="H15" s="813">
        <v>582</v>
      </c>
      <c r="I15" s="569">
        <v>3</v>
      </c>
      <c r="J15" s="1288">
        <v>88</v>
      </c>
      <c r="K15" s="1305"/>
    </row>
    <row r="16" spans="1:192" ht="15" customHeight="1">
      <c r="B16" s="999"/>
      <c r="C16" s="568">
        <v>7</v>
      </c>
      <c r="D16" s="906">
        <v>6536.9</v>
      </c>
      <c r="E16" s="785">
        <v>86.3</v>
      </c>
      <c r="F16" s="929">
        <v>92.4</v>
      </c>
      <c r="G16" s="569">
        <v>3726</v>
      </c>
      <c r="H16" s="813">
        <v>491</v>
      </c>
      <c r="I16" s="569">
        <v>4</v>
      </c>
      <c r="J16" s="1288">
        <v>88</v>
      </c>
      <c r="K16" s="1305"/>
    </row>
    <row r="17" spans="2:11" ht="15" customHeight="1">
      <c r="B17" s="999"/>
      <c r="C17" s="568">
        <v>8</v>
      </c>
      <c r="D17" s="906">
        <v>6392.4</v>
      </c>
      <c r="E17" s="785">
        <v>87.2</v>
      </c>
      <c r="F17" s="929">
        <v>92.8</v>
      </c>
      <c r="G17" s="569">
        <v>3351</v>
      </c>
      <c r="H17" s="813">
        <v>452</v>
      </c>
      <c r="I17" s="569">
        <v>3</v>
      </c>
      <c r="J17" s="1288">
        <v>88</v>
      </c>
      <c r="K17" s="1305"/>
    </row>
    <row r="18" spans="2:11" ht="15" customHeight="1">
      <c r="B18" s="999"/>
      <c r="C18" s="568">
        <v>9</v>
      </c>
      <c r="D18" s="906">
        <v>6458.1</v>
      </c>
      <c r="E18" s="785">
        <v>84.9</v>
      </c>
      <c r="F18" s="929">
        <v>94.7</v>
      </c>
      <c r="G18" s="569">
        <v>3465</v>
      </c>
      <c r="H18" s="813">
        <v>536</v>
      </c>
      <c r="I18" s="569">
        <v>7</v>
      </c>
      <c r="J18" s="1288">
        <v>88</v>
      </c>
      <c r="K18" s="1305"/>
    </row>
    <row r="19" spans="2:11" ht="15" customHeight="1">
      <c r="B19" s="999"/>
      <c r="C19" s="568">
        <v>10</v>
      </c>
      <c r="D19" s="906">
        <v>6593.5</v>
      </c>
      <c r="E19" s="785">
        <v>81.5</v>
      </c>
      <c r="F19" s="929">
        <v>106.4</v>
      </c>
      <c r="G19" s="569">
        <v>3700</v>
      </c>
      <c r="H19" s="813">
        <v>581</v>
      </c>
      <c r="I19" s="569">
        <v>2</v>
      </c>
      <c r="J19" s="1288">
        <v>88</v>
      </c>
      <c r="K19" s="1305"/>
    </row>
    <row r="20" spans="2:11" ht="15" customHeight="1">
      <c r="B20" s="999"/>
      <c r="C20" s="568">
        <v>11</v>
      </c>
      <c r="D20" s="906">
        <v>6697.9</v>
      </c>
      <c r="E20" s="785">
        <v>82</v>
      </c>
      <c r="F20" s="929">
        <v>96.9</v>
      </c>
      <c r="G20" s="569">
        <v>3679</v>
      </c>
      <c r="H20" s="813">
        <v>505</v>
      </c>
      <c r="I20" s="569">
        <v>4</v>
      </c>
      <c r="J20" s="1288">
        <v>88</v>
      </c>
      <c r="K20" s="1305"/>
    </row>
    <row r="21" spans="2:11" ht="15" customHeight="1">
      <c r="B21" s="1000"/>
      <c r="C21" s="788">
        <v>12</v>
      </c>
      <c r="D21" s="909">
        <v>6419.9</v>
      </c>
      <c r="E21" s="912">
        <v>81.099999999999994</v>
      </c>
      <c r="F21" s="930">
        <v>106.1</v>
      </c>
      <c r="G21" s="910">
        <v>3782</v>
      </c>
      <c r="H21" s="911">
        <v>637</v>
      </c>
      <c r="I21" s="910">
        <v>5</v>
      </c>
      <c r="J21" s="1289">
        <v>88</v>
      </c>
      <c r="K21" s="1305"/>
    </row>
    <row r="22" spans="2:11" ht="15" customHeight="1">
      <c r="B22" s="1011" t="s">
        <v>714</v>
      </c>
      <c r="C22" s="769">
        <v>1</v>
      </c>
      <c r="D22" s="907">
        <v>6343.8</v>
      </c>
      <c r="E22" s="835">
        <v>81.7</v>
      </c>
      <c r="F22" s="931">
        <v>91.2</v>
      </c>
      <c r="G22" s="834">
        <v>3978</v>
      </c>
      <c r="H22" s="908">
        <v>563</v>
      </c>
      <c r="I22" s="834">
        <v>2</v>
      </c>
      <c r="J22" s="1290">
        <v>88</v>
      </c>
      <c r="K22" s="1305"/>
    </row>
    <row r="23" spans="2:11" ht="15" customHeight="1">
      <c r="B23" s="999"/>
      <c r="C23" s="568">
        <v>2</v>
      </c>
      <c r="D23" s="906">
        <v>6737</v>
      </c>
      <c r="E23" s="785">
        <v>81.3</v>
      </c>
      <c r="F23" s="929">
        <v>100.3</v>
      </c>
      <c r="G23" s="569">
        <v>3959</v>
      </c>
      <c r="H23" s="813">
        <v>532</v>
      </c>
      <c r="I23" s="569">
        <v>1</v>
      </c>
      <c r="J23" s="1288">
        <v>87.7</v>
      </c>
      <c r="K23" s="1305"/>
    </row>
    <row r="24" spans="2:11" ht="15" customHeight="1">
      <c r="B24" s="999"/>
      <c r="C24" s="568">
        <v>3</v>
      </c>
      <c r="D24" s="906">
        <v>5878.6</v>
      </c>
      <c r="E24" s="785">
        <v>82.2</v>
      </c>
      <c r="F24" s="929">
        <v>98.8</v>
      </c>
      <c r="G24" s="569">
        <v>3140</v>
      </c>
      <c r="H24" s="813">
        <v>670</v>
      </c>
      <c r="I24" s="569">
        <v>4</v>
      </c>
      <c r="J24" s="1288">
        <v>86</v>
      </c>
      <c r="K24" s="1305"/>
    </row>
    <row r="25" spans="2:11" ht="15" customHeight="1">
      <c r="B25" s="1001"/>
      <c r="C25" s="568">
        <v>4</v>
      </c>
      <c r="D25" s="906">
        <v>6132.9</v>
      </c>
      <c r="E25" s="785">
        <v>82.3</v>
      </c>
      <c r="F25" s="929">
        <v>106.4</v>
      </c>
      <c r="G25" s="569">
        <v>3782</v>
      </c>
      <c r="H25" s="813">
        <v>503</v>
      </c>
      <c r="I25" s="569">
        <v>5</v>
      </c>
      <c r="J25" s="1288">
        <v>88.3</v>
      </c>
      <c r="K25" s="1305"/>
    </row>
    <row r="26" spans="2:11" ht="15" customHeight="1">
      <c r="B26" s="1003"/>
      <c r="C26" s="568">
        <v>5</v>
      </c>
      <c r="D26" s="906">
        <v>6023</v>
      </c>
      <c r="E26" s="785">
        <v>79.900000000000006</v>
      </c>
      <c r="F26" s="929">
        <v>103.1</v>
      </c>
      <c r="G26" s="569">
        <v>3805</v>
      </c>
      <c r="H26" s="813">
        <v>617</v>
      </c>
      <c r="I26" s="569">
        <v>8</v>
      </c>
      <c r="J26" s="1288">
        <v>90.7</v>
      </c>
      <c r="K26" s="1305"/>
    </row>
    <row r="27" spans="2:11" ht="15" customHeight="1">
      <c r="B27" s="999"/>
      <c r="C27" s="568">
        <v>6</v>
      </c>
      <c r="D27" s="906">
        <v>6280</v>
      </c>
      <c r="E27" s="785">
        <v>85.4</v>
      </c>
      <c r="F27" s="929">
        <v>128.9</v>
      </c>
      <c r="G27" s="569">
        <v>3810</v>
      </c>
      <c r="H27" s="813">
        <v>554</v>
      </c>
      <c r="I27" s="569">
        <v>3</v>
      </c>
      <c r="J27" s="1288">
        <v>93</v>
      </c>
      <c r="K27" s="1305"/>
    </row>
    <row r="28" spans="2:11" ht="15" customHeight="1">
      <c r="B28" s="999"/>
      <c r="C28" s="568">
        <v>7</v>
      </c>
      <c r="D28" s="906">
        <v>6043.8</v>
      </c>
      <c r="E28" s="785">
        <v>76.599999999999994</v>
      </c>
      <c r="F28" s="929">
        <v>92.8</v>
      </c>
      <c r="G28" s="569">
        <v>3521</v>
      </c>
      <c r="H28" s="813">
        <v>572</v>
      </c>
      <c r="I28" s="569">
        <v>4</v>
      </c>
      <c r="J28" s="1288">
        <v>96.7</v>
      </c>
      <c r="K28" s="1305"/>
    </row>
    <row r="29" spans="2:11" ht="15" customHeight="1">
      <c r="B29" s="999"/>
      <c r="C29" s="568">
        <v>8</v>
      </c>
      <c r="D29" s="906">
        <v>6145.2</v>
      </c>
      <c r="E29" s="785">
        <v>66.8</v>
      </c>
      <c r="F29" s="929">
        <v>86.9</v>
      </c>
      <c r="G29" s="569">
        <v>3718</v>
      </c>
      <c r="H29" s="813">
        <v>781</v>
      </c>
      <c r="I29" s="569">
        <v>6</v>
      </c>
      <c r="J29" s="1288">
        <v>100.3</v>
      </c>
      <c r="K29" s="1305"/>
    </row>
    <row r="30" spans="2:11" ht="15" customHeight="1">
      <c r="B30" s="999"/>
      <c r="C30" s="568">
        <v>9</v>
      </c>
      <c r="D30" s="906">
        <v>6550.2</v>
      </c>
      <c r="E30" s="785">
        <v>76.099999999999994</v>
      </c>
      <c r="F30" s="929">
        <v>92.4</v>
      </c>
      <c r="G30" s="569">
        <v>3533</v>
      </c>
      <c r="H30" s="813">
        <v>544</v>
      </c>
      <c r="I30" s="569">
        <v>3</v>
      </c>
      <c r="J30" s="1288">
        <v>104</v>
      </c>
      <c r="K30" s="1305"/>
    </row>
    <row r="31" spans="2:11" ht="15" customHeight="1">
      <c r="B31" s="999"/>
      <c r="C31" s="568">
        <v>10</v>
      </c>
      <c r="D31" s="906">
        <v>5971.3</v>
      </c>
      <c r="E31" s="785">
        <v>77.2</v>
      </c>
      <c r="F31" s="929">
        <v>95.3</v>
      </c>
      <c r="G31" s="569">
        <v>3748</v>
      </c>
      <c r="H31" s="813">
        <v>432</v>
      </c>
      <c r="I31" s="569">
        <v>8</v>
      </c>
      <c r="J31" s="1288">
        <v>101.7</v>
      </c>
      <c r="K31" s="1305"/>
    </row>
    <row r="32" spans="2:11" ht="15" customHeight="1">
      <c r="B32" s="999"/>
      <c r="C32" s="568">
        <v>11</v>
      </c>
      <c r="D32" s="906">
        <v>6052.2</v>
      </c>
      <c r="E32" s="785">
        <v>77.2</v>
      </c>
      <c r="F32" s="929">
        <v>100.7</v>
      </c>
      <c r="G32" s="569">
        <v>3863</v>
      </c>
      <c r="H32" s="813">
        <v>520</v>
      </c>
      <c r="I32" s="569">
        <v>7</v>
      </c>
      <c r="J32" s="1288">
        <v>99.3</v>
      </c>
      <c r="K32" s="1305"/>
    </row>
    <row r="33" spans="2:11" ht="15" customHeight="1">
      <c r="B33" s="1000"/>
      <c r="C33" s="788">
        <v>12</v>
      </c>
      <c r="D33" s="909">
        <v>6510.2</v>
      </c>
      <c r="E33" s="912">
        <v>75.7</v>
      </c>
      <c r="F33" s="930">
        <v>98.4</v>
      </c>
      <c r="G33" s="910">
        <v>3729</v>
      </c>
      <c r="H33" s="911">
        <v>513</v>
      </c>
      <c r="I33" s="910">
        <v>4</v>
      </c>
      <c r="J33" s="1289">
        <v>97</v>
      </c>
      <c r="K33" s="1305"/>
    </row>
    <row r="34" spans="2:11" ht="15" customHeight="1">
      <c r="B34" s="1089" t="s">
        <v>708</v>
      </c>
      <c r="C34" s="769">
        <v>1</v>
      </c>
      <c r="D34" s="907">
        <v>5959.4</v>
      </c>
      <c r="E34" s="835">
        <v>74.8</v>
      </c>
      <c r="F34" s="931">
        <v>72.599999999999994</v>
      </c>
      <c r="G34" s="834">
        <v>3203</v>
      </c>
      <c r="H34" s="908">
        <v>428</v>
      </c>
      <c r="I34" s="834">
        <v>3</v>
      </c>
      <c r="J34" s="1290">
        <v>95.7</v>
      </c>
      <c r="K34" s="1305"/>
    </row>
    <row r="35" spans="2:11" ht="15" customHeight="1">
      <c r="B35" s="999"/>
      <c r="C35" s="568">
        <v>2</v>
      </c>
      <c r="D35" s="906">
        <v>6066.9</v>
      </c>
      <c r="E35" s="785">
        <v>74.099999999999994</v>
      </c>
      <c r="F35" s="929">
        <v>89.5</v>
      </c>
      <c r="G35" s="569">
        <v>2857</v>
      </c>
      <c r="H35" s="813">
        <v>489</v>
      </c>
      <c r="I35" s="569">
        <v>9</v>
      </c>
      <c r="J35" s="1288">
        <v>94.3</v>
      </c>
      <c r="K35" s="1305"/>
    </row>
    <row r="36" spans="2:11" ht="15" customHeight="1">
      <c r="B36" s="999"/>
      <c r="C36" s="568">
        <v>3</v>
      </c>
      <c r="D36" s="906">
        <v>6233.5</v>
      </c>
      <c r="E36" s="785">
        <v>74.099999999999994</v>
      </c>
      <c r="F36" s="929">
        <v>95.7</v>
      </c>
      <c r="G36" s="569">
        <v>3120</v>
      </c>
      <c r="H36" s="813">
        <v>497</v>
      </c>
      <c r="I36" s="569">
        <v>4</v>
      </c>
      <c r="J36" s="1288">
        <v>93</v>
      </c>
      <c r="K36" s="1305"/>
    </row>
    <row r="37" spans="2:11" ht="15" customHeight="1">
      <c r="B37" s="1001"/>
      <c r="C37" s="568">
        <v>4</v>
      </c>
      <c r="D37" s="906">
        <v>6048.9</v>
      </c>
      <c r="E37" s="785">
        <v>75.3</v>
      </c>
      <c r="F37" s="929">
        <v>102.4</v>
      </c>
      <c r="G37" s="569">
        <v>3261</v>
      </c>
      <c r="H37" s="813">
        <v>771</v>
      </c>
      <c r="I37" s="569">
        <v>3</v>
      </c>
      <c r="J37" s="1288">
        <v>92.7</v>
      </c>
      <c r="K37" s="1305"/>
    </row>
    <row r="38" spans="2:11" ht="15" customHeight="1">
      <c r="B38" s="1003"/>
      <c r="C38" s="568">
        <v>5</v>
      </c>
      <c r="D38" s="906">
        <v>6284.5</v>
      </c>
      <c r="E38" s="785">
        <v>77.7</v>
      </c>
      <c r="F38" s="929">
        <v>106.7</v>
      </c>
      <c r="G38" s="569">
        <v>3437</v>
      </c>
      <c r="H38" s="813">
        <v>391</v>
      </c>
      <c r="I38" s="569">
        <v>8</v>
      </c>
      <c r="J38" s="1288">
        <v>92.3</v>
      </c>
      <c r="K38" s="1305"/>
    </row>
    <row r="39" spans="2:11" ht="15" customHeight="1">
      <c r="B39" s="999"/>
      <c r="C39" s="568">
        <v>6</v>
      </c>
      <c r="D39" s="906">
        <v>6006.4</v>
      </c>
      <c r="E39" s="785">
        <v>74.5</v>
      </c>
      <c r="F39" s="929">
        <v>99.3</v>
      </c>
      <c r="G39" s="569">
        <v>3526</v>
      </c>
      <c r="H39" s="813">
        <v>410</v>
      </c>
      <c r="I39" s="569">
        <v>6</v>
      </c>
      <c r="J39" s="1288">
        <v>92</v>
      </c>
      <c r="K39" s="1305"/>
    </row>
    <row r="40" spans="2:11" ht="15" customHeight="1">
      <c r="B40" s="999"/>
      <c r="C40" s="568">
        <v>7</v>
      </c>
      <c r="D40" s="906">
        <v>6061.3</v>
      </c>
      <c r="E40" s="785">
        <v>74.400000000000006</v>
      </c>
      <c r="F40" s="929">
        <v>94.7</v>
      </c>
      <c r="G40" s="569">
        <v>3730</v>
      </c>
      <c r="H40" s="813">
        <v>495</v>
      </c>
      <c r="I40" s="569">
        <v>9</v>
      </c>
      <c r="J40" s="1288">
        <v>93.3</v>
      </c>
      <c r="K40" s="1305"/>
    </row>
    <row r="41" spans="2:11" ht="15" customHeight="1">
      <c r="B41" s="999"/>
      <c r="C41" s="568">
        <v>8</v>
      </c>
      <c r="D41" s="906">
        <v>6188.7</v>
      </c>
      <c r="E41" s="785">
        <v>73.3</v>
      </c>
      <c r="F41" s="929">
        <v>80.5</v>
      </c>
      <c r="G41" s="569">
        <v>3701</v>
      </c>
      <c r="H41" s="813">
        <v>567</v>
      </c>
      <c r="I41" s="569">
        <v>8</v>
      </c>
      <c r="J41" s="1288">
        <v>94.7</v>
      </c>
      <c r="K41" s="1305"/>
    </row>
    <row r="42" spans="2:11" ht="15" customHeight="1">
      <c r="B42" s="999"/>
      <c r="C42" s="568">
        <v>9</v>
      </c>
      <c r="D42" s="906">
        <v>5862.2</v>
      </c>
      <c r="E42" s="785">
        <v>75.7</v>
      </c>
      <c r="F42" s="929">
        <v>103.7</v>
      </c>
      <c r="G42" s="569">
        <v>3748</v>
      </c>
      <c r="H42" s="813">
        <v>340</v>
      </c>
      <c r="I42" s="569">
        <v>5</v>
      </c>
      <c r="J42" s="1288">
        <v>96</v>
      </c>
      <c r="K42" s="1305"/>
    </row>
    <row r="43" spans="2:11" ht="15" customHeight="1">
      <c r="B43" s="999"/>
      <c r="C43" s="568">
        <v>10</v>
      </c>
      <c r="D43" s="906">
        <v>5890.8</v>
      </c>
      <c r="E43" s="785">
        <v>73.2</v>
      </c>
      <c r="F43" s="929">
        <v>108.3</v>
      </c>
      <c r="G43" s="569">
        <v>3514</v>
      </c>
      <c r="H43" s="813">
        <v>528</v>
      </c>
      <c r="I43" s="569">
        <v>7</v>
      </c>
      <c r="J43" s="1288">
        <v>96.3</v>
      </c>
      <c r="K43" s="1306"/>
    </row>
    <row r="44" spans="2:11" ht="15" customHeight="1">
      <c r="B44" s="999"/>
      <c r="C44" s="568">
        <v>11</v>
      </c>
      <c r="D44" s="906">
        <v>5937.6</v>
      </c>
      <c r="E44" s="785">
        <v>73.5</v>
      </c>
      <c r="F44" s="929">
        <v>103.7</v>
      </c>
      <c r="G44" s="569">
        <v>3443</v>
      </c>
      <c r="H44" s="813">
        <v>502</v>
      </c>
      <c r="I44" s="569">
        <v>8</v>
      </c>
      <c r="J44" s="1288">
        <v>96.7</v>
      </c>
      <c r="K44" s="1306"/>
    </row>
    <row r="45" spans="2:11" ht="15" customHeight="1">
      <c r="B45" s="1000"/>
      <c r="C45" s="788">
        <v>12</v>
      </c>
      <c r="D45" s="909">
        <v>5760.7</v>
      </c>
      <c r="E45" s="912">
        <v>73.599999999999994</v>
      </c>
      <c r="F45" s="987">
        <v>102.3</v>
      </c>
      <c r="G45" s="910">
        <v>3424</v>
      </c>
      <c r="H45" s="911">
        <v>519</v>
      </c>
      <c r="I45" s="910">
        <v>6</v>
      </c>
      <c r="J45" s="1289">
        <v>97</v>
      </c>
      <c r="K45" s="1306"/>
    </row>
    <row r="46" spans="2:11" ht="15" customHeight="1">
      <c r="B46" s="1089" t="s">
        <v>818</v>
      </c>
      <c r="C46" s="1057">
        <v>1</v>
      </c>
      <c r="D46" s="934">
        <v>5966.4</v>
      </c>
      <c r="E46" s="1246">
        <v>75.900000000000006</v>
      </c>
      <c r="F46" s="943">
        <v>114.8</v>
      </c>
      <c r="G46" s="935">
        <v>3394</v>
      </c>
      <c r="H46" s="936">
        <v>492</v>
      </c>
      <c r="I46" s="935">
        <v>4</v>
      </c>
      <c r="J46" s="1291">
        <v>97.7</v>
      </c>
      <c r="K46" s="1305"/>
    </row>
    <row r="47" spans="2:11" ht="15" customHeight="1">
      <c r="B47" s="1001"/>
      <c r="C47" s="900">
        <v>2</v>
      </c>
      <c r="D47" s="940">
        <v>5875.1</v>
      </c>
      <c r="E47" s="1274">
        <v>76.2</v>
      </c>
      <c r="F47" s="1274">
        <v>121.8</v>
      </c>
      <c r="G47" s="926">
        <v>3453</v>
      </c>
      <c r="H47" s="941">
        <v>600</v>
      </c>
      <c r="I47" s="926">
        <v>9</v>
      </c>
      <c r="J47" s="983">
        <v>98.3</v>
      </c>
      <c r="K47" s="1305"/>
    </row>
    <row r="48" spans="2:11">
      <c r="B48" s="1001"/>
      <c r="C48" s="900">
        <v>3</v>
      </c>
      <c r="D48" s="940">
        <v>5860</v>
      </c>
      <c r="E48" s="1274">
        <v>70.900000000000006</v>
      </c>
      <c r="F48" s="1274">
        <v>115.7</v>
      </c>
      <c r="G48" s="926">
        <v>3434</v>
      </c>
      <c r="H48" s="941">
        <v>584</v>
      </c>
      <c r="I48" s="926">
        <v>7</v>
      </c>
      <c r="J48" s="983">
        <v>99</v>
      </c>
      <c r="K48" s="1305"/>
    </row>
    <row r="49" spans="2:35">
      <c r="B49" s="1001"/>
      <c r="C49" s="900">
        <v>4</v>
      </c>
      <c r="D49" s="940">
        <v>6259.2</v>
      </c>
      <c r="E49" s="1274">
        <v>73.7</v>
      </c>
      <c r="F49" s="1274">
        <v>102.4</v>
      </c>
      <c r="G49" s="926">
        <v>3846</v>
      </c>
      <c r="H49" s="941">
        <v>510</v>
      </c>
      <c r="I49" s="926">
        <v>6</v>
      </c>
      <c r="J49" s="983">
        <v>99.3</v>
      </c>
      <c r="K49" s="1305"/>
    </row>
    <row r="50" spans="2:35">
      <c r="B50" s="1001"/>
      <c r="C50" s="900">
        <v>5</v>
      </c>
      <c r="D50" s="940">
        <v>6207</v>
      </c>
      <c r="E50" s="1296">
        <v>76.099999999999994</v>
      </c>
      <c r="F50" s="901">
        <v>96.4</v>
      </c>
      <c r="G50" s="926">
        <v>3599</v>
      </c>
      <c r="H50" s="941">
        <v>223</v>
      </c>
      <c r="I50" s="926">
        <v>11</v>
      </c>
      <c r="J50" s="983">
        <v>99.7</v>
      </c>
    </row>
    <row r="51" spans="2:35">
      <c r="B51" s="1001"/>
      <c r="C51" s="900">
        <v>6</v>
      </c>
      <c r="D51" s="940">
        <v>5663.9</v>
      </c>
      <c r="E51" s="1274">
        <v>87.1</v>
      </c>
      <c r="F51" s="1274">
        <v>143.6</v>
      </c>
      <c r="G51" s="926">
        <v>3622</v>
      </c>
      <c r="H51" s="941">
        <v>345</v>
      </c>
      <c r="I51" s="926">
        <v>8</v>
      </c>
      <c r="J51" s="983">
        <v>100</v>
      </c>
    </row>
    <row r="52" spans="2:35">
      <c r="B52" s="1001"/>
      <c r="C52" s="900">
        <v>7</v>
      </c>
      <c r="D52" s="940">
        <v>5627.4</v>
      </c>
      <c r="E52" s="1274">
        <v>81.400000000000006</v>
      </c>
      <c r="F52" s="1274">
        <v>121.8</v>
      </c>
      <c r="G52" s="926">
        <v>3552</v>
      </c>
      <c r="H52" s="941">
        <v>291</v>
      </c>
      <c r="I52" s="926">
        <v>6</v>
      </c>
      <c r="J52" s="983">
        <v>99.3</v>
      </c>
    </row>
    <row r="53" spans="2:35" ht="15" customHeight="1">
      <c r="B53" s="899"/>
      <c r="C53" s="900">
        <v>8</v>
      </c>
      <c r="D53" s="940">
        <v>5436</v>
      </c>
      <c r="E53" s="1274">
        <v>78.599999999999994</v>
      </c>
      <c r="F53" s="1274">
        <v>125.6</v>
      </c>
      <c r="G53" s="926">
        <v>3380</v>
      </c>
      <c r="H53" s="941">
        <v>290</v>
      </c>
      <c r="I53" s="926">
        <v>3</v>
      </c>
      <c r="J53" s="983">
        <v>98.7</v>
      </c>
      <c r="K53" s="1248"/>
      <c r="AE53"/>
      <c r="AF53"/>
      <c r="AG53"/>
      <c r="AH53"/>
      <c r="AI53"/>
    </row>
    <row r="54" spans="2:35" ht="15" customHeight="1">
      <c r="B54" s="899"/>
      <c r="C54" s="900">
        <v>9</v>
      </c>
      <c r="D54" s="940">
        <v>5749.2</v>
      </c>
      <c r="E54" s="1274">
        <v>79.900000000000006</v>
      </c>
      <c r="F54" s="1274">
        <v>122.6</v>
      </c>
      <c r="G54" s="926">
        <v>3586</v>
      </c>
      <c r="H54" s="941">
        <v>357</v>
      </c>
      <c r="I54" s="926">
        <v>5</v>
      </c>
      <c r="J54" s="983">
        <v>98</v>
      </c>
      <c r="K54" s="1248"/>
      <c r="AE54"/>
      <c r="AF54"/>
      <c r="AG54"/>
      <c r="AH54"/>
      <c r="AI54"/>
    </row>
    <row r="55" spans="2:35" ht="15" hidden="1" customHeight="1">
      <c r="B55" s="899"/>
      <c r="C55" s="900">
        <v>10</v>
      </c>
      <c r="D55" s="940">
        <v>5464.4</v>
      </c>
      <c r="E55" s="1274">
        <v>85.4</v>
      </c>
      <c r="F55" s="1274">
        <v>120.9</v>
      </c>
      <c r="G55" s="926">
        <v>3304</v>
      </c>
      <c r="H55" s="941">
        <v>385</v>
      </c>
      <c r="I55" s="926">
        <v>8</v>
      </c>
      <c r="J55" s="983">
        <v>101</v>
      </c>
      <c r="K55" s="1248"/>
      <c r="AE55"/>
      <c r="AF55"/>
      <c r="AG55"/>
      <c r="AH55"/>
      <c r="AI55"/>
    </row>
    <row r="56" spans="2:35" ht="15" hidden="1" customHeight="1">
      <c r="B56" s="899"/>
      <c r="C56" s="900">
        <v>11</v>
      </c>
      <c r="D56" s="940">
        <v>0</v>
      </c>
      <c r="E56" s="1274">
        <v>0</v>
      </c>
      <c r="F56" s="1274">
        <v>0</v>
      </c>
      <c r="G56" s="926">
        <v>3445</v>
      </c>
      <c r="H56" s="941">
        <v>0</v>
      </c>
      <c r="I56" s="926">
        <v>7</v>
      </c>
      <c r="J56" s="983">
        <v>32.700000000000003</v>
      </c>
      <c r="K56" s="1248"/>
      <c r="AE56"/>
      <c r="AF56"/>
      <c r="AG56"/>
      <c r="AH56"/>
      <c r="AI56"/>
    </row>
    <row r="57" spans="2:35" ht="13.5" hidden="1" customHeight="1">
      <c r="B57" s="899"/>
      <c r="C57" s="900">
        <v>12</v>
      </c>
      <c r="D57" s="940">
        <v>0</v>
      </c>
      <c r="E57" s="1274">
        <v>0</v>
      </c>
      <c r="F57" s="1274">
        <v>0</v>
      </c>
      <c r="G57" s="926">
        <v>0</v>
      </c>
      <c r="H57" s="941">
        <v>0</v>
      </c>
      <c r="I57" s="926">
        <v>0</v>
      </c>
      <c r="J57" s="983">
        <v>107</v>
      </c>
      <c r="K57" s="1249"/>
      <c r="AE57"/>
      <c r="AF57"/>
      <c r="AG57"/>
      <c r="AH57"/>
      <c r="AI57"/>
    </row>
    <row r="58" spans="2:35" ht="13.5" hidden="1" customHeight="1">
      <c r="B58" s="1085"/>
      <c r="C58" s="1085"/>
      <c r="D58" s="1185"/>
      <c r="E58" s="1087"/>
      <c r="F58" s="1143"/>
      <c r="G58" s="1087"/>
      <c r="H58" s="1088"/>
      <c r="I58" s="1087"/>
      <c r="J58" s="1143"/>
      <c r="K58" s="252"/>
      <c r="AE58"/>
      <c r="AF58"/>
      <c r="AG58"/>
      <c r="AH58"/>
      <c r="AI58"/>
    </row>
    <row r="59" spans="2:35" ht="6.75" customHeight="1">
      <c r="B59" s="1085"/>
      <c r="C59" s="1085"/>
      <c r="D59" s="1086"/>
      <c r="E59" s="1087"/>
      <c r="F59" s="1087"/>
      <c r="G59" s="1087"/>
      <c r="H59" s="1088"/>
      <c r="I59" s="1087"/>
      <c r="J59" s="1193"/>
      <c r="K59" s="1250"/>
      <c r="AE59"/>
      <c r="AF59"/>
      <c r="AG59"/>
      <c r="AH59"/>
      <c r="AI59"/>
    </row>
    <row r="60" spans="2:35" ht="15" customHeight="1">
      <c r="B60" s="445" t="s">
        <v>63</v>
      </c>
      <c r="C60" s="1194" t="s">
        <v>585</v>
      </c>
      <c r="D60" s="1480" t="s">
        <v>774</v>
      </c>
      <c r="E60" s="1480"/>
      <c r="F60" s="1480"/>
      <c r="G60" s="1480"/>
      <c r="H60" s="1480"/>
      <c r="I60" s="1480"/>
      <c r="J60" s="1480"/>
      <c r="K60" s="1251"/>
    </row>
    <row r="61" spans="2:35" ht="15" customHeight="1">
      <c r="B61" s="249" t="s">
        <v>649</v>
      </c>
      <c r="C61" s="249" t="s">
        <v>650</v>
      </c>
      <c r="D61" s="1480" t="s">
        <v>778</v>
      </c>
      <c r="E61" s="1480"/>
      <c r="F61" s="1480"/>
      <c r="G61" s="1480"/>
      <c r="H61" s="1480"/>
      <c r="I61" s="1480"/>
      <c r="J61" s="1480"/>
      <c r="K61" s="1251"/>
    </row>
    <row r="62" spans="2:35" ht="15" customHeight="1">
      <c r="B62" s="249"/>
      <c r="C62" s="1115" t="s">
        <v>782</v>
      </c>
      <c r="K62" s="1174"/>
    </row>
    <row r="63" spans="2:35" ht="15" hidden="1" customHeight="1">
      <c r="C63" s="1286" t="s">
        <v>825</v>
      </c>
      <c r="D63" s="1182" t="s">
        <v>826</v>
      </c>
    </row>
    <row r="64" spans="2:35" ht="15" hidden="1" customHeight="1">
      <c r="B64" s="249"/>
      <c r="C64" s="701" t="s">
        <v>556</v>
      </c>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H29:H33 B29:C33 D10:D46">
    <cfRule type="expression" dxfId="748" priority="41" stopIfTrue="1">
      <formula>$C15=#REF!</formula>
    </cfRule>
  </conditionalFormatting>
  <conditionalFormatting sqref="B17:B21">
    <cfRule type="expression" dxfId="747" priority="24" stopIfTrue="1">
      <formula>$C22=#REF!</formula>
    </cfRule>
  </conditionalFormatting>
  <conditionalFormatting sqref="B17:B21">
    <cfRule type="expression" dxfId="746" priority="7" stopIfTrue="1">
      <formula>$C22=#REF!</formula>
    </cfRule>
  </conditionalFormatting>
  <conditionalFormatting sqref="I29:I33">
    <cfRule type="expression" dxfId="745" priority="6" stopIfTrue="1">
      <formula>$C34=#REF!</formula>
    </cfRule>
  </conditionalFormatting>
  <conditionalFormatting sqref="D48">
    <cfRule type="expression" dxfId="744" priority="5" stopIfTrue="1">
      <formula>$C53=#REF!</formula>
    </cfRule>
  </conditionalFormatting>
  <conditionalFormatting sqref="D47">
    <cfRule type="expression" dxfId="743" priority="4" stopIfTrue="1">
      <formula>$C52=#REF!</formula>
    </cfRule>
  </conditionalFormatting>
  <conditionalFormatting sqref="J29:J33">
    <cfRule type="expression" dxfId="742" priority="3" stopIfTrue="1">
      <formula>$C34=#REF!</formula>
    </cfRule>
  </conditionalFormatting>
  <conditionalFormatting sqref="D49:D57">
    <cfRule type="expression" dxfId="741" priority="2" stopIfTrue="1">
      <formula>$C54=#REF!</formula>
    </cfRule>
  </conditionalFormatting>
  <conditionalFormatting sqref="D49">
    <cfRule type="expression" dxfId="740" priority="1" stopIfTrue="1">
      <formula>$C54=#REF!</formula>
    </cfRule>
  </conditionalFormatting>
  <pageMargins left="0.78740157480314965" right="0.39370078740157483" top="0.59055118110236227" bottom="0.59055118110236227" header="0.39370078740157483" footer="0.39370078740157483"/>
  <pageSetup paperSize="9" scale="93"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D10" sqref="D10:K54"/>
    </sheetView>
  </sheetViews>
  <sheetFormatPr defaultColWidth="8.109375" defaultRowHeight="13.2"/>
  <cols>
    <col min="1" max="1" width="1.77734375" style="249" customWidth="1"/>
    <col min="2" max="2" width="4" style="249" customWidth="1"/>
    <col min="3" max="3" width="3.88671875" style="249" customWidth="1"/>
    <col min="4" max="4" width="10.6640625" style="254" customWidth="1"/>
    <col min="5" max="7" width="10.6640625" style="252" customWidth="1"/>
    <col min="8" max="8" width="10.6640625" style="253" customWidth="1"/>
    <col min="9" max="11" width="10.6640625" style="252" customWidth="1"/>
    <col min="12" max="12" width="1.33203125" customWidth="1"/>
    <col min="13" max="13" width="5.88671875" customWidth="1"/>
    <col min="36" max="16384" width="8.10937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83" t="s">
        <v>549</v>
      </c>
      <c r="C3" s="1483"/>
      <c r="D3" s="1483"/>
      <c r="E3" s="1483"/>
      <c r="F3" s="1483"/>
      <c r="G3" s="1483"/>
      <c r="H3" s="1483"/>
      <c r="I3" s="1483"/>
      <c r="J3" s="1483"/>
      <c r="K3" s="1483"/>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92" t="s">
        <v>806</v>
      </c>
      <c r="E5" s="1484" t="s">
        <v>801</v>
      </c>
      <c r="F5" s="1484" t="s">
        <v>803</v>
      </c>
      <c r="G5" s="1486" t="s">
        <v>498</v>
      </c>
      <c r="H5" s="1486" t="s">
        <v>508</v>
      </c>
      <c r="I5" s="1486" t="s">
        <v>509</v>
      </c>
      <c r="J5" s="1484" t="s">
        <v>802</v>
      </c>
      <c r="K5" s="1486" t="s">
        <v>543</v>
      </c>
      <c r="AJ5" s="245"/>
      <c r="AK5" s="245"/>
      <c r="AL5" s="245"/>
    </row>
    <row r="6" spans="1:212" ht="15" customHeight="1">
      <c r="B6" s="447"/>
      <c r="C6" s="450"/>
      <c r="D6" s="1481"/>
      <c r="E6" s="1491"/>
      <c r="F6" s="1486"/>
      <c r="G6" s="1486"/>
      <c r="H6" s="1486"/>
      <c r="I6" s="1486"/>
      <c r="J6" s="1491"/>
      <c r="K6" s="1491"/>
    </row>
    <row r="7" spans="1:212" ht="15" customHeight="1">
      <c r="B7" s="447"/>
      <c r="C7" s="450"/>
      <c r="D7" s="1481"/>
      <c r="E7" s="1491"/>
      <c r="F7" s="1486"/>
      <c r="G7" s="1486"/>
      <c r="H7" s="1486"/>
      <c r="I7" s="1486"/>
      <c r="J7" s="1491"/>
      <c r="K7" s="1491"/>
    </row>
    <row r="8" spans="1:212" ht="15" customHeight="1">
      <c r="B8" s="447"/>
      <c r="C8" s="450"/>
      <c r="D8" s="1481"/>
      <c r="E8" s="1482"/>
      <c r="F8" s="1486"/>
      <c r="G8" s="1486"/>
      <c r="H8" s="1486"/>
      <c r="I8" s="1486"/>
      <c r="J8" s="1482"/>
      <c r="K8" s="1482"/>
    </row>
    <row r="9" spans="1:212" ht="15" customHeight="1">
      <c r="A9" s="250"/>
      <c r="B9" s="448" t="s">
        <v>194</v>
      </c>
      <c r="C9" s="454"/>
      <c r="D9" s="455" t="s">
        <v>400</v>
      </c>
      <c r="E9" s="456" t="s">
        <v>475</v>
      </c>
      <c r="F9" s="456" t="s">
        <v>501</v>
      </c>
      <c r="G9" s="1175" t="s">
        <v>773</v>
      </c>
      <c r="H9" s="1175" t="s">
        <v>773</v>
      </c>
      <c r="I9" s="1175" t="s">
        <v>773</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69">
        <v>1.32</v>
      </c>
      <c r="E10" s="1292">
        <v>3959.9</v>
      </c>
      <c r="F10" s="944">
        <v>12.9</v>
      </c>
      <c r="G10" s="905">
        <v>112.7</v>
      </c>
      <c r="H10" s="905">
        <v>125.7</v>
      </c>
      <c r="I10" s="928">
        <v>154.19999999999999</v>
      </c>
      <c r="J10" s="1297">
        <v>74</v>
      </c>
      <c r="K10" s="913">
        <v>4916.3999999999996</v>
      </c>
    </row>
    <row r="11" spans="1:212" ht="15" customHeight="1">
      <c r="B11" s="999"/>
      <c r="C11" s="568">
        <v>2</v>
      </c>
      <c r="D11" s="1270">
        <v>1.35</v>
      </c>
      <c r="E11" s="1293">
        <v>3876.8</v>
      </c>
      <c r="F11" s="937">
        <v>12.4</v>
      </c>
      <c r="G11" s="785">
        <v>106.7</v>
      </c>
      <c r="H11" s="785">
        <v>122.8</v>
      </c>
      <c r="I11" s="928">
        <v>144.80000000000001</v>
      </c>
      <c r="J11" s="1298">
        <v>72.599999999999994</v>
      </c>
      <c r="K11" s="914">
        <v>5927.2</v>
      </c>
    </row>
    <row r="12" spans="1:212" ht="15" customHeight="1">
      <c r="B12" s="999"/>
      <c r="C12" s="568">
        <v>3</v>
      </c>
      <c r="D12" s="1270">
        <v>1.35</v>
      </c>
      <c r="E12" s="1293">
        <v>3890.7</v>
      </c>
      <c r="F12" s="937">
        <v>12.2</v>
      </c>
      <c r="G12" s="785">
        <v>116.8</v>
      </c>
      <c r="H12" s="785">
        <v>124.3</v>
      </c>
      <c r="I12" s="928">
        <v>138.30000000000001</v>
      </c>
      <c r="J12" s="1298">
        <v>71.5</v>
      </c>
      <c r="K12" s="914">
        <v>6527.9</v>
      </c>
    </row>
    <row r="13" spans="1:212" ht="15" customHeight="1">
      <c r="B13" s="1001"/>
      <c r="C13" s="568">
        <v>4</v>
      </c>
      <c r="D13" s="1270">
        <v>1.33</v>
      </c>
      <c r="E13" s="1293">
        <v>3891</v>
      </c>
      <c r="F13" s="937">
        <v>12.2</v>
      </c>
      <c r="G13" s="785">
        <v>102.9</v>
      </c>
      <c r="H13" s="785">
        <v>127.3</v>
      </c>
      <c r="I13" s="928">
        <v>150.5</v>
      </c>
      <c r="J13" s="1298">
        <v>68.8</v>
      </c>
      <c r="K13" s="914">
        <v>3662.9</v>
      </c>
    </row>
    <row r="14" spans="1:212" ht="15" customHeight="1">
      <c r="B14" s="1003"/>
      <c r="C14" s="568">
        <v>5</v>
      </c>
      <c r="D14" s="1270">
        <v>1.31</v>
      </c>
      <c r="E14" s="1293">
        <v>3826.2</v>
      </c>
      <c r="F14" s="937">
        <v>11.9</v>
      </c>
      <c r="G14" s="785">
        <v>113</v>
      </c>
      <c r="H14" s="785">
        <v>129.5</v>
      </c>
      <c r="I14" s="928">
        <v>153.30000000000001</v>
      </c>
      <c r="J14" s="1298">
        <v>67.3</v>
      </c>
      <c r="K14" s="914">
        <v>6116.8</v>
      </c>
    </row>
    <row r="15" spans="1:212" ht="15" customHeight="1">
      <c r="B15" s="999"/>
      <c r="C15" s="568">
        <v>6</v>
      </c>
      <c r="D15" s="1270">
        <v>1.33</v>
      </c>
      <c r="E15" s="1293">
        <v>4019.4</v>
      </c>
      <c r="F15" s="937">
        <v>11.8</v>
      </c>
      <c r="G15" s="785">
        <v>119.1</v>
      </c>
      <c r="H15" s="785">
        <v>129.6</v>
      </c>
      <c r="I15" s="928">
        <v>149.6</v>
      </c>
      <c r="J15" s="1298">
        <v>67.3</v>
      </c>
      <c r="K15" s="914">
        <v>5695.6</v>
      </c>
    </row>
    <row r="16" spans="1:212" ht="15" customHeight="1">
      <c r="B16" s="999"/>
      <c r="C16" s="568">
        <v>7</v>
      </c>
      <c r="D16" s="1270">
        <v>1.32</v>
      </c>
      <c r="E16" s="1293">
        <v>3968</v>
      </c>
      <c r="F16" s="937">
        <v>12.1</v>
      </c>
      <c r="G16" s="785">
        <v>136.69999999999999</v>
      </c>
      <c r="H16" s="785">
        <v>133.6</v>
      </c>
      <c r="I16" s="928">
        <v>153</v>
      </c>
      <c r="J16" s="1298">
        <v>65.599999999999994</v>
      </c>
      <c r="K16" s="914">
        <v>6932.8</v>
      </c>
    </row>
    <row r="17" spans="2:11" ht="15" customHeight="1">
      <c r="B17" s="999"/>
      <c r="C17" s="568">
        <v>8</v>
      </c>
      <c r="D17" s="1270">
        <v>1.31</v>
      </c>
      <c r="E17" s="1293">
        <v>4073.1</v>
      </c>
      <c r="F17" s="937">
        <v>11.9</v>
      </c>
      <c r="G17" s="785">
        <v>125.3</v>
      </c>
      <c r="H17" s="785">
        <v>134.6</v>
      </c>
      <c r="I17" s="928">
        <v>155.6</v>
      </c>
      <c r="J17" s="1298">
        <v>65.3</v>
      </c>
      <c r="K17" s="914">
        <v>6860.2</v>
      </c>
    </row>
    <row r="18" spans="2:11" ht="15" customHeight="1">
      <c r="B18" s="999"/>
      <c r="C18" s="568">
        <v>9</v>
      </c>
      <c r="D18" s="1270">
        <v>1.34</v>
      </c>
      <c r="E18" s="1293">
        <v>3959.1</v>
      </c>
      <c r="F18" s="937">
        <v>11.8</v>
      </c>
      <c r="G18" s="785">
        <v>144.9</v>
      </c>
      <c r="H18" s="785">
        <v>134.1</v>
      </c>
      <c r="I18" s="928">
        <v>148.30000000000001</v>
      </c>
      <c r="J18" s="1298">
        <v>63.7</v>
      </c>
      <c r="K18" s="914">
        <v>6318.9</v>
      </c>
    </row>
    <row r="19" spans="2:11" ht="15" customHeight="1">
      <c r="B19" s="999"/>
      <c r="C19" s="568">
        <v>10</v>
      </c>
      <c r="D19" s="1270">
        <v>1.36</v>
      </c>
      <c r="E19" s="1293">
        <v>3873.1</v>
      </c>
      <c r="F19" s="937">
        <v>11.2</v>
      </c>
      <c r="G19" s="785">
        <v>108.7</v>
      </c>
      <c r="H19" s="785">
        <v>118.6</v>
      </c>
      <c r="I19" s="928">
        <v>139.9</v>
      </c>
      <c r="J19" s="1298">
        <v>72.2</v>
      </c>
      <c r="K19" s="914">
        <v>6486.4</v>
      </c>
    </row>
    <row r="20" spans="2:11" ht="15" customHeight="1">
      <c r="B20" s="999"/>
      <c r="C20" s="568">
        <v>11</v>
      </c>
      <c r="D20" s="1270">
        <v>1.39</v>
      </c>
      <c r="E20" s="1293">
        <v>3867.7</v>
      </c>
      <c r="F20" s="937">
        <v>10.8</v>
      </c>
      <c r="G20" s="785">
        <v>120.6</v>
      </c>
      <c r="H20" s="785">
        <v>121.4</v>
      </c>
      <c r="I20" s="928">
        <v>142.1</v>
      </c>
      <c r="J20" s="1298">
        <v>69.2</v>
      </c>
      <c r="K20" s="914">
        <v>7343.9</v>
      </c>
    </row>
    <row r="21" spans="2:11" ht="15" customHeight="1">
      <c r="B21" s="1000"/>
      <c r="C21" s="788">
        <v>12</v>
      </c>
      <c r="D21" s="1271">
        <v>1.33</v>
      </c>
      <c r="E21" s="1294">
        <v>3878.8</v>
      </c>
      <c r="F21" s="938">
        <v>11.1</v>
      </c>
      <c r="G21" s="912">
        <v>119.5</v>
      </c>
      <c r="H21" s="912">
        <v>120.8</v>
      </c>
      <c r="I21" s="928">
        <v>141</v>
      </c>
      <c r="J21" s="1299">
        <v>69.900000000000006</v>
      </c>
      <c r="K21" s="916">
        <v>4661.8999999999996</v>
      </c>
    </row>
    <row r="22" spans="2:11" ht="15" customHeight="1">
      <c r="B22" s="1011" t="s">
        <v>714</v>
      </c>
      <c r="C22" s="769">
        <v>1</v>
      </c>
      <c r="D22" s="1272">
        <v>1.31</v>
      </c>
      <c r="E22" s="1295">
        <v>3890.8</v>
      </c>
      <c r="F22" s="945">
        <v>10.7</v>
      </c>
      <c r="G22" s="835">
        <v>104.8</v>
      </c>
      <c r="H22" s="835">
        <v>131.1</v>
      </c>
      <c r="I22" s="942">
        <v>152.5</v>
      </c>
      <c r="J22" s="1300">
        <v>65.900000000000006</v>
      </c>
      <c r="K22" s="915">
        <v>5732.9</v>
      </c>
    </row>
    <row r="23" spans="2:11" ht="15" customHeight="1">
      <c r="B23" s="999"/>
      <c r="C23" s="568">
        <v>2</v>
      </c>
      <c r="D23" s="1270">
        <v>1.29</v>
      </c>
      <c r="E23" s="1293">
        <v>3915.7</v>
      </c>
      <c r="F23" s="937">
        <v>10.7</v>
      </c>
      <c r="G23" s="785">
        <v>132.6</v>
      </c>
      <c r="H23" s="785">
        <v>132.5</v>
      </c>
      <c r="I23" s="928">
        <v>148.4</v>
      </c>
      <c r="J23" s="1298">
        <v>64.2</v>
      </c>
      <c r="K23" s="914">
        <v>3675.8</v>
      </c>
    </row>
    <row r="24" spans="2:11" ht="15" customHeight="1">
      <c r="B24" s="999"/>
      <c r="C24" s="568">
        <v>3</v>
      </c>
      <c r="D24" s="1270">
        <v>1.26</v>
      </c>
      <c r="E24" s="1293">
        <v>4056</v>
      </c>
      <c r="F24" s="937">
        <v>10.6</v>
      </c>
      <c r="G24" s="785">
        <v>131.19999999999999</v>
      </c>
      <c r="H24" s="785">
        <v>131.6</v>
      </c>
      <c r="I24" s="928">
        <v>146.69999999999999</v>
      </c>
      <c r="J24" s="1298">
        <v>64.2</v>
      </c>
      <c r="K24" s="914">
        <v>3864.8</v>
      </c>
    </row>
    <row r="25" spans="2:11" ht="15" customHeight="1">
      <c r="B25" s="1001"/>
      <c r="C25" s="568">
        <v>4</v>
      </c>
      <c r="D25" s="1270">
        <v>1.23</v>
      </c>
      <c r="E25" s="1293">
        <v>4051</v>
      </c>
      <c r="F25" s="937">
        <v>10.6</v>
      </c>
      <c r="G25" s="785">
        <v>99.2</v>
      </c>
      <c r="H25" s="785">
        <v>128</v>
      </c>
      <c r="I25" s="928">
        <v>148.4</v>
      </c>
      <c r="J25" s="1298">
        <v>67.400000000000006</v>
      </c>
      <c r="K25" s="914">
        <v>6927.7</v>
      </c>
    </row>
    <row r="26" spans="2:11" ht="15" customHeight="1">
      <c r="B26" s="1003"/>
      <c r="C26" s="568">
        <v>5</v>
      </c>
      <c r="D26" s="1270">
        <v>1.25</v>
      </c>
      <c r="E26" s="1293">
        <v>4189.2</v>
      </c>
      <c r="F26" s="937">
        <v>11.2</v>
      </c>
      <c r="G26" s="785">
        <v>97.3</v>
      </c>
      <c r="H26" s="785">
        <v>126.8</v>
      </c>
      <c r="I26" s="928">
        <v>148.19999999999999</v>
      </c>
      <c r="J26" s="1298">
        <v>68.400000000000006</v>
      </c>
      <c r="K26" s="914">
        <v>3674.7</v>
      </c>
    </row>
    <row r="27" spans="2:11" ht="15" customHeight="1">
      <c r="B27" s="999"/>
      <c r="C27" s="568">
        <v>6</v>
      </c>
      <c r="D27" s="1270">
        <v>1.24</v>
      </c>
      <c r="E27" s="1293">
        <v>4295.5</v>
      </c>
      <c r="F27" s="937">
        <v>11.1</v>
      </c>
      <c r="G27" s="785">
        <v>96.2</v>
      </c>
      <c r="H27" s="785">
        <v>130.30000000000001</v>
      </c>
      <c r="I27" s="928">
        <v>153</v>
      </c>
      <c r="J27" s="1298">
        <v>67.2</v>
      </c>
      <c r="K27" s="914">
        <v>4510.8</v>
      </c>
    </row>
    <row r="28" spans="2:11" ht="15" customHeight="1">
      <c r="B28" s="999"/>
      <c r="C28" s="568">
        <v>7</v>
      </c>
      <c r="D28" s="1270">
        <v>1.23</v>
      </c>
      <c r="E28" s="1293">
        <v>4251.5</v>
      </c>
      <c r="F28" s="937">
        <v>10.9</v>
      </c>
      <c r="G28" s="785">
        <v>98.5</v>
      </c>
      <c r="H28" s="785">
        <v>122.2</v>
      </c>
      <c r="I28" s="928">
        <v>142.69999999999999</v>
      </c>
      <c r="J28" s="1298">
        <v>71.599999999999994</v>
      </c>
      <c r="K28" s="914">
        <v>4055.4</v>
      </c>
    </row>
    <row r="29" spans="2:11" ht="15" customHeight="1">
      <c r="B29" s="999"/>
      <c r="C29" s="568">
        <v>8</v>
      </c>
      <c r="D29" s="1270">
        <v>1.22</v>
      </c>
      <c r="E29" s="1293">
        <v>4266.3</v>
      </c>
      <c r="F29" s="937">
        <v>10.9</v>
      </c>
      <c r="G29" s="785">
        <v>94.6</v>
      </c>
      <c r="H29" s="785">
        <v>115.6</v>
      </c>
      <c r="I29" s="928">
        <v>132.30000000000001</v>
      </c>
      <c r="J29" s="1298">
        <v>75.5</v>
      </c>
      <c r="K29" s="914">
        <v>4448.5</v>
      </c>
    </row>
    <row r="30" spans="2:11" ht="15" customHeight="1">
      <c r="B30" s="999"/>
      <c r="C30" s="568">
        <v>9</v>
      </c>
      <c r="D30" s="1270">
        <v>1.21</v>
      </c>
      <c r="E30" s="1293">
        <v>4259.8999999999996</v>
      </c>
      <c r="F30" s="937">
        <v>11.4</v>
      </c>
      <c r="G30" s="785">
        <v>100.1</v>
      </c>
      <c r="H30" s="785">
        <v>112.9</v>
      </c>
      <c r="I30" s="928">
        <v>127</v>
      </c>
      <c r="J30" s="1298">
        <v>77.900000000000006</v>
      </c>
      <c r="K30" s="914">
        <v>3689.7</v>
      </c>
    </row>
    <row r="31" spans="2:11" ht="15" customHeight="1">
      <c r="B31" s="999"/>
      <c r="C31" s="568">
        <v>10</v>
      </c>
      <c r="D31" s="1270">
        <v>1.22</v>
      </c>
      <c r="E31" s="1293">
        <v>4440</v>
      </c>
      <c r="F31" s="937">
        <v>11.4</v>
      </c>
      <c r="G31" s="785">
        <v>98.2</v>
      </c>
      <c r="H31" s="785">
        <v>110.3</v>
      </c>
      <c r="I31" s="928">
        <v>126.3</v>
      </c>
      <c r="J31" s="1298">
        <v>80.7</v>
      </c>
      <c r="K31" s="914">
        <v>6254.3</v>
      </c>
    </row>
    <row r="32" spans="2:11" ht="15" customHeight="1">
      <c r="B32" s="999"/>
      <c r="C32" s="568">
        <v>11</v>
      </c>
      <c r="D32" s="1270">
        <v>1.22</v>
      </c>
      <c r="E32" s="1293">
        <v>4406.1000000000004</v>
      </c>
      <c r="F32" s="937">
        <v>11.7</v>
      </c>
      <c r="G32" s="785">
        <v>87.6</v>
      </c>
      <c r="H32" s="785">
        <v>108.8</v>
      </c>
      <c r="I32" s="928">
        <v>122.8</v>
      </c>
      <c r="J32" s="1298">
        <v>80.2</v>
      </c>
      <c r="K32" s="914">
        <v>4492.8</v>
      </c>
    </row>
    <row r="33" spans="2:11" ht="15" customHeight="1">
      <c r="B33" s="1000"/>
      <c r="C33" s="788">
        <v>12</v>
      </c>
      <c r="D33" s="1271">
        <v>1.21</v>
      </c>
      <c r="E33" s="1294">
        <v>4441.5</v>
      </c>
      <c r="F33" s="938">
        <v>11</v>
      </c>
      <c r="G33" s="912">
        <v>107.2</v>
      </c>
      <c r="H33" s="912">
        <v>112.5</v>
      </c>
      <c r="I33" s="928">
        <v>124.9</v>
      </c>
      <c r="J33" s="1299">
        <v>77.900000000000006</v>
      </c>
      <c r="K33" s="916">
        <v>4840.5</v>
      </c>
    </row>
    <row r="34" spans="2:11" ht="15" customHeight="1">
      <c r="B34" s="1011" t="s">
        <v>715</v>
      </c>
      <c r="C34" s="769">
        <v>1</v>
      </c>
      <c r="D34" s="1272">
        <v>1.19</v>
      </c>
      <c r="E34" s="1295">
        <v>4410.6000000000004</v>
      </c>
      <c r="F34" s="945">
        <v>10.6</v>
      </c>
      <c r="G34" s="835">
        <v>94.8</v>
      </c>
      <c r="H34" s="835">
        <v>111.4</v>
      </c>
      <c r="I34" s="942">
        <v>129.1</v>
      </c>
      <c r="J34" s="1300">
        <v>80.599999999999994</v>
      </c>
      <c r="K34" s="915">
        <v>3874.1</v>
      </c>
    </row>
    <row r="35" spans="2:11" ht="15" customHeight="1">
      <c r="B35" s="999"/>
      <c r="C35" s="568">
        <v>2</v>
      </c>
      <c r="D35" s="1270">
        <v>1.2</v>
      </c>
      <c r="E35" s="1293">
        <v>4508.7</v>
      </c>
      <c r="F35" s="937">
        <v>10</v>
      </c>
      <c r="G35" s="785">
        <v>103.2</v>
      </c>
      <c r="H35" s="785">
        <v>117.3</v>
      </c>
      <c r="I35" s="928">
        <v>134</v>
      </c>
      <c r="J35" s="1298">
        <v>77.099999999999994</v>
      </c>
      <c r="K35" s="914">
        <v>5389</v>
      </c>
    </row>
    <row r="36" spans="2:11" ht="15" customHeight="1">
      <c r="B36" s="999"/>
      <c r="C36" s="568">
        <v>3</v>
      </c>
      <c r="D36" s="1270">
        <v>1.21</v>
      </c>
      <c r="E36" s="1293">
        <v>4426</v>
      </c>
      <c r="F36" s="937">
        <v>9.9</v>
      </c>
      <c r="G36" s="785">
        <v>107</v>
      </c>
      <c r="H36" s="785">
        <v>120.4</v>
      </c>
      <c r="I36" s="928">
        <v>136.1</v>
      </c>
      <c r="J36" s="1298">
        <v>75.099999999999994</v>
      </c>
      <c r="K36" s="914">
        <v>5073.5</v>
      </c>
    </row>
    <row r="37" spans="2:11" ht="15" customHeight="1">
      <c r="B37" s="1001"/>
      <c r="C37" s="568">
        <v>4</v>
      </c>
      <c r="D37" s="1270">
        <v>1.2</v>
      </c>
      <c r="E37" s="1293">
        <v>4502.8</v>
      </c>
      <c r="F37" s="937">
        <v>10.1</v>
      </c>
      <c r="G37" s="785">
        <v>111.8</v>
      </c>
      <c r="H37" s="785">
        <v>125.8</v>
      </c>
      <c r="I37" s="928">
        <v>138.19999999999999</v>
      </c>
      <c r="J37" s="1298">
        <v>69.8</v>
      </c>
      <c r="K37" s="914">
        <v>4726.5</v>
      </c>
    </row>
    <row r="38" spans="2:11" ht="15" customHeight="1">
      <c r="B38" s="1003"/>
      <c r="C38" s="568">
        <v>5</v>
      </c>
      <c r="D38" s="1270">
        <v>1.2</v>
      </c>
      <c r="E38" s="1293">
        <v>4319</v>
      </c>
      <c r="F38" s="937">
        <v>9.8000000000000007</v>
      </c>
      <c r="G38" s="785">
        <v>104.5</v>
      </c>
      <c r="H38" s="785">
        <v>125.2</v>
      </c>
      <c r="I38" s="928">
        <v>143.1</v>
      </c>
      <c r="J38" s="1298">
        <v>71.099999999999994</v>
      </c>
      <c r="K38" s="914">
        <v>6817.4</v>
      </c>
    </row>
    <row r="39" spans="2:11" ht="15" customHeight="1">
      <c r="B39" s="999"/>
      <c r="C39" s="568">
        <v>6</v>
      </c>
      <c r="D39" s="1270">
        <v>1.17</v>
      </c>
      <c r="E39" s="1293">
        <v>4285.3</v>
      </c>
      <c r="F39" s="937">
        <v>10.1</v>
      </c>
      <c r="G39" s="929">
        <v>104.1</v>
      </c>
      <c r="H39" s="929">
        <v>124.7</v>
      </c>
      <c r="I39" s="928">
        <v>142.4</v>
      </c>
      <c r="J39" s="1298">
        <v>72.3</v>
      </c>
      <c r="K39" s="914">
        <v>6041.9</v>
      </c>
    </row>
    <row r="40" spans="2:11" ht="15" customHeight="1">
      <c r="B40" s="999"/>
      <c r="C40" s="568">
        <v>7</v>
      </c>
      <c r="D40" s="1270">
        <v>1.19</v>
      </c>
      <c r="E40" s="1293">
        <v>4276</v>
      </c>
      <c r="F40" s="937">
        <v>10</v>
      </c>
      <c r="G40" s="929">
        <v>89.6</v>
      </c>
      <c r="H40" s="929">
        <v>120.1</v>
      </c>
      <c r="I40" s="928">
        <v>141.6</v>
      </c>
      <c r="J40" s="1298">
        <v>73.5</v>
      </c>
      <c r="K40" s="914">
        <v>3979</v>
      </c>
    </row>
    <row r="41" spans="2:11" ht="15" customHeight="1">
      <c r="B41" s="999"/>
      <c r="C41" s="568">
        <v>8</v>
      </c>
      <c r="D41" s="1270">
        <v>1.2</v>
      </c>
      <c r="E41" s="1293">
        <v>4167.8999999999996</v>
      </c>
      <c r="F41" s="937">
        <v>9.9</v>
      </c>
      <c r="G41" s="929">
        <v>103.3</v>
      </c>
      <c r="H41" s="929">
        <v>118.7</v>
      </c>
      <c r="I41" s="928">
        <v>134.4</v>
      </c>
      <c r="J41" s="1298">
        <v>73.900000000000006</v>
      </c>
      <c r="K41" s="914">
        <v>4066.4</v>
      </c>
    </row>
    <row r="42" spans="2:11" ht="15" customHeight="1">
      <c r="B42" s="999"/>
      <c r="C42" s="568">
        <v>9</v>
      </c>
      <c r="D42" s="1270">
        <v>1.2</v>
      </c>
      <c r="E42" s="1293">
        <v>4161</v>
      </c>
      <c r="F42" s="937">
        <v>9.5</v>
      </c>
      <c r="G42" s="929">
        <v>111</v>
      </c>
      <c r="H42" s="929">
        <v>124.4</v>
      </c>
      <c r="I42" s="928">
        <v>141.1</v>
      </c>
      <c r="J42" s="1298">
        <v>72</v>
      </c>
      <c r="K42" s="914">
        <v>5366.5</v>
      </c>
    </row>
    <row r="43" spans="2:11" ht="15" customHeight="1">
      <c r="B43" s="999"/>
      <c r="C43" s="568">
        <v>10</v>
      </c>
      <c r="D43" s="1270">
        <v>1.18</v>
      </c>
      <c r="E43" s="1293">
        <v>4076.7</v>
      </c>
      <c r="F43" s="937">
        <v>10.3</v>
      </c>
      <c r="G43" s="929">
        <v>117.1</v>
      </c>
      <c r="H43" s="929">
        <v>133.30000000000001</v>
      </c>
      <c r="I43" s="928">
        <v>159.5</v>
      </c>
      <c r="J43" s="1298">
        <v>65.8</v>
      </c>
      <c r="K43" s="914">
        <v>4408.5</v>
      </c>
    </row>
    <row r="44" spans="2:11" ht="15" customHeight="1">
      <c r="B44" s="999"/>
      <c r="C44" s="568">
        <v>11</v>
      </c>
      <c r="D44" s="1226">
        <v>1.17</v>
      </c>
      <c r="E44" s="982">
        <v>3981.3</v>
      </c>
      <c r="F44" s="946">
        <v>9.6999999999999993</v>
      </c>
      <c r="G44" s="929">
        <v>113</v>
      </c>
      <c r="H44" s="929">
        <v>126.3</v>
      </c>
      <c r="I44" s="928">
        <v>153.1</v>
      </c>
      <c r="J44" s="1301">
        <v>71.8</v>
      </c>
      <c r="K44" s="939">
        <v>4932.3999999999996</v>
      </c>
    </row>
    <row r="45" spans="2:11" ht="15" customHeight="1">
      <c r="B45" s="1000"/>
      <c r="C45" s="788">
        <v>12</v>
      </c>
      <c r="D45" s="1271">
        <v>1.17</v>
      </c>
      <c r="E45" s="1294">
        <v>4169.2</v>
      </c>
      <c r="F45" s="949">
        <v>9.6</v>
      </c>
      <c r="G45" s="930">
        <v>111.1</v>
      </c>
      <c r="H45" s="930">
        <v>124</v>
      </c>
      <c r="I45" s="930">
        <v>150.69999999999999</v>
      </c>
      <c r="J45" s="1301">
        <v>72.2</v>
      </c>
      <c r="K45" s="939">
        <v>6667.5</v>
      </c>
    </row>
    <row r="46" spans="2:11" ht="15" customHeight="1">
      <c r="B46" s="1089" t="s">
        <v>818</v>
      </c>
      <c r="C46" s="1057">
        <v>1</v>
      </c>
      <c r="D46" s="1273">
        <v>1.18</v>
      </c>
      <c r="E46" s="982">
        <v>4045.7</v>
      </c>
      <c r="F46" s="931">
        <v>10.3</v>
      </c>
      <c r="G46" s="1146">
        <v>112.2</v>
      </c>
      <c r="H46" s="1146">
        <v>130.5</v>
      </c>
      <c r="I46" s="1146">
        <v>153</v>
      </c>
      <c r="J46" s="1302">
        <v>69.8</v>
      </c>
      <c r="K46" s="1058">
        <v>8202.7999999999993</v>
      </c>
    </row>
    <row r="47" spans="2:11" ht="15" customHeight="1">
      <c r="B47" s="1001"/>
      <c r="C47" s="900">
        <v>2</v>
      </c>
      <c r="D47" s="1226">
        <v>1.18</v>
      </c>
      <c r="E47" s="1293">
        <v>4000</v>
      </c>
      <c r="F47" s="1275">
        <v>10.6</v>
      </c>
      <c r="G47" s="1275">
        <v>109.7</v>
      </c>
      <c r="H47" s="1275">
        <v>134.19999999999999</v>
      </c>
      <c r="I47" s="928">
        <v>158.5</v>
      </c>
      <c r="J47" s="1301">
        <v>67.2</v>
      </c>
      <c r="K47" s="939">
        <v>5188.3999999999996</v>
      </c>
    </row>
    <row r="48" spans="2:11" ht="15" customHeight="1">
      <c r="B48" s="1001"/>
      <c r="C48" s="900">
        <v>3</v>
      </c>
      <c r="D48" s="1226">
        <v>1.21</v>
      </c>
      <c r="E48" s="982">
        <v>3948.4</v>
      </c>
      <c r="F48" s="1275">
        <v>10.7</v>
      </c>
      <c r="G48" s="1275">
        <v>131.1</v>
      </c>
      <c r="H48" s="1275">
        <v>135.69999999999999</v>
      </c>
      <c r="I48" s="928">
        <v>147</v>
      </c>
      <c r="J48" s="1301">
        <v>66.8</v>
      </c>
      <c r="K48" s="939">
        <v>6551.3</v>
      </c>
    </row>
    <row r="49" spans="2:35" ht="15" customHeight="1">
      <c r="B49" s="1001"/>
      <c r="C49" s="900">
        <v>4</v>
      </c>
      <c r="D49" s="1226">
        <v>1.19</v>
      </c>
      <c r="E49" s="982">
        <v>4001.1</v>
      </c>
      <c r="F49" s="1275">
        <v>10.7</v>
      </c>
      <c r="G49" s="1275">
        <v>90.3</v>
      </c>
      <c r="H49" s="1275">
        <v>123.9</v>
      </c>
      <c r="I49" s="928">
        <v>144.69999999999999</v>
      </c>
      <c r="J49" s="1301">
        <v>76.400000000000006</v>
      </c>
      <c r="K49" s="939">
        <v>4390.6000000000004</v>
      </c>
    </row>
    <row r="50" spans="2:35">
      <c r="B50" s="1001"/>
      <c r="C50" s="900">
        <v>5</v>
      </c>
      <c r="D50" s="1226">
        <v>1.19</v>
      </c>
      <c r="E50" s="982">
        <v>4019.7</v>
      </c>
      <c r="F50" s="946">
        <v>10.9</v>
      </c>
      <c r="G50" s="1296">
        <v>95.2</v>
      </c>
      <c r="H50" s="1296">
        <v>124.7</v>
      </c>
      <c r="I50" s="1296">
        <v>147</v>
      </c>
      <c r="J50" s="1301">
        <v>75.7</v>
      </c>
      <c r="K50" s="939">
        <v>4687.8</v>
      </c>
    </row>
    <row r="51" spans="2:35" ht="15" customHeight="1">
      <c r="B51" s="1070"/>
      <c r="C51" s="900">
        <v>6</v>
      </c>
      <c r="D51" s="1226">
        <v>1.19</v>
      </c>
      <c r="E51" s="982">
        <v>4250.5</v>
      </c>
      <c r="F51" s="927">
        <v>10.6</v>
      </c>
      <c r="G51" s="927">
        <v>108.4</v>
      </c>
      <c r="H51" s="927">
        <v>129.1</v>
      </c>
      <c r="I51" s="927">
        <v>145.30000000000001</v>
      </c>
      <c r="J51" s="927">
        <v>73.8</v>
      </c>
      <c r="K51" s="939">
        <v>4180.8</v>
      </c>
    </row>
    <row r="52" spans="2:35" ht="15" customHeight="1">
      <c r="B52" s="1070"/>
      <c r="C52" s="900">
        <v>7</v>
      </c>
      <c r="D52" s="1226">
        <v>1.1499999999999999</v>
      </c>
      <c r="E52" s="982">
        <v>4365.3</v>
      </c>
      <c r="F52" s="927">
        <v>10.1</v>
      </c>
      <c r="G52" s="927">
        <v>91.3</v>
      </c>
      <c r="H52" s="927">
        <v>124.8</v>
      </c>
      <c r="I52" s="927">
        <v>149.19999999999999</v>
      </c>
      <c r="J52" s="1301">
        <v>73.900000000000006</v>
      </c>
      <c r="K52" s="939">
        <v>4678.8</v>
      </c>
    </row>
    <row r="53" spans="2:35" ht="15" customHeight="1">
      <c r="B53" s="899"/>
      <c r="C53" s="900">
        <v>8</v>
      </c>
      <c r="D53" s="1226">
        <v>1.1000000000000001</v>
      </c>
      <c r="E53" s="982">
        <v>4557.2</v>
      </c>
      <c r="F53" s="927">
        <v>10.4</v>
      </c>
      <c r="G53" s="927">
        <v>108.7</v>
      </c>
      <c r="H53" s="927">
        <v>126</v>
      </c>
      <c r="I53" s="928">
        <v>147.69999999999999</v>
      </c>
      <c r="J53" s="1301">
        <v>71.900000000000006</v>
      </c>
      <c r="K53" s="939">
        <v>3673.7</v>
      </c>
    </row>
    <row r="54" spans="2:35" ht="15" customHeight="1">
      <c r="B54" s="899"/>
      <c r="C54" s="900">
        <v>9</v>
      </c>
      <c r="D54" s="1226">
        <v>1.0900000000000001</v>
      </c>
      <c r="E54" s="982">
        <v>4730.8999999999996</v>
      </c>
      <c r="F54" s="927">
        <v>10</v>
      </c>
      <c r="G54" s="927">
        <v>103.5</v>
      </c>
      <c r="H54" s="927">
        <v>137.1</v>
      </c>
      <c r="I54" s="928">
        <v>164.7</v>
      </c>
      <c r="J54" s="939">
        <v>69.8</v>
      </c>
      <c r="K54" s="939">
        <v>4145.8</v>
      </c>
    </row>
    <row r="55" spans="2:35" ht="15" hidden="1" customHeight="1">
      <c r="B55" s="899"/>
      <c r="C55" s="900">
        <v>10</v>
      </c>
      <c r="D55" s="1226">
        <v>1.07</v>
      </c>
      <c r="E55" s="982">
        <v>4817.6000000000004</v>
      </c>
      <c r="F55" s="927">
        <v>0</v>
      </c>
      <c r="G55" s="927">
        <v>102</v>
      </c>
      <c r="H55" s="927">
        <v>137.19999999999999</v>
      </c>
      <c r="I55" s="928">
        <v>177.4</v>
      </c>
      <c r="J55" s="939">
        <v>0</v>
      </c>
      <c r="K55" s="939">
        <v>5270.9</v>
      </c>
    </row>
    <row r="56" spans="2:35" ht="15" hidden="1" customHeight="1">
      <c r="B56" s="899"/>
      <c r="C56" s="900">
        <v>11</v>
      </c>
      <c r="D56" s="1226">
        <v>0</v>
      </c>
      <c r="E56" s="982">
        <v>0</v>
      </c>
      <c r="F56" s="1145">
        <v>0</v>
      </c>
      <c r="G56" s="1145">
        <v>0</v>
      </c>
      <c r="H56" s="1145">
        <v>0</v>
      </c>
      <c r="I56" s="928">
        <v>0</v>
      </c>
      <c r="J56" s="939" t="e">
        <v>#DIV/0!</v>
      </c>
      <c r="K56" s="939">
        <v>4734.2</v>
      </c>
    </row>
    <row r="57" spans="2:35" ht="13.5" hidden="1" customHeight="1">
      <c r="B57" s="899"/>
      <c r="C57" s="900">
        <v>12</v>
      </c>
      <c r="D57" s="1226">
        <v>0</v>
      </c>
      <c r="E57" s="982">
        <v>0</v>
      </c>
      <c r="F57" s="983">
        <v>0</v>
      </c>
      <c r="G57" s="983">
        <v>0</v>
      </c>
      <c r="H57" s="983">
        <v>0</v>
      </c>
      <c r="I57" s="927">
        <v>0</v>
      </c>
      <c r="J57" s="926" t="e">
        <v>#DIV/0!</v>
      </c>
      <c r="K57" s="926">
        <v>0</v>
      </c>
    </row>
    <row r="58" spans="2:35" ht="13.5" hidden="1" customHeight="1">
      <c r="B58" s="1085"/>
      <c r="C58" s="1085"/>
      <c r="D58" s="1185"/>
      <c r="E58" s="1087"/>
      <c r="F58" s="1143"/>
      <c r="G58" s="1087"/>
      <c r="H58" s="1088"/>
      <c r="I58" s="1087"/>
      <c r="J58" s="1143"/>
      <c r="K58" s="1087"/>
    </row>
    <row r="59" spans="2:35" ht="6.75" customHeight="1">
      <c r="B59" s="1085"/>
      <c r="C59" s="1085"/>
      <c r="D59" s="1086"/>
      <c r="E59" s="1087"/>
      <c r="F59" s="1087"/>
      <c r="G59" s="1087"/>
      <c r="H59" s="1088"/>
      <c r="I59" s="1087"/>
      <c r="J59" s="1193"/>
      <c r="K59" s="1193"/>
    </row>
    <row r="60" spans="2:35">
      <c r="B60" s="445" t="s">
        <v>316</v>
      </c>
      <c r="C60" s="441" t="s">
        <v>562</v>
      </c>
      <c r="D60" s="1116" t="s">
        <v>775</v>
      </c>
    </row>
    <row r="61" spans="2:35">
      <c r="B61" s="249" t="s">
        <v>545</v>
      </c>
      <c r="C61" s="441" t="s">
        <v>560</v>
      </c>
      <c r="D61" s="1176" t="s">
        <v>776</v>
      </c>
      <c r="E61" s="451"/>
      <c r="F61" s="451"/>
      <c r="G61" s="452"/>
      <c r="H61" s="452"/>
      <c r="I61" s="453"/>
      <c r="J61" s="453"/>
      <c r="K61" s="453"/>
    </row>
    <row r="62" spans="2:35">
      <c r="B62" s="249" t="s">
        <v>546</v>
      </c>
      <c r="C62" s="1181" t="s">
        <v>786</v>
      </c>
      <c r="D62" s="254" t="s">
        <v>785</v>
      </c>
    </row>
    <row r="63" spans="2:35" hidden="1">
      <c r="C63" s="1183" t="s">
        <v>825</v>
      </c>
      <c r="D63" s="1182" t="s">
        <v>826</v>
      </c>
    </row>
    <row r="64" spans="2:35">
      <c r="C64" s="1181" t="s">
        <v>816</v>
      </c>
      <c r="D64" s="1116" t="s">
        <v>823</v>
      </c>
      <c r="E64" s="256"/>
      <c r="F64" s="256"/>
      <c r="G64" s="256"/>
      <c r="H64" s="256"/>
      <c r="I64" s="257"/>
      <c r="J64" s="257"/>
      <c r="K64" s="1174"/>
      <c r="AE64" s="249"/>
      <c r="AF64" s="249"/>
      <c r="AG64" s="249"/>
      <c r="AH64" s="249"/>
      <c r="AI64" s="249"/>
    </row>
    <row r="65" spans="2:11">
      <c r="B65" s="259"/>
      <c r="C65" s="259"/>
      <c r="D65" s="255"/>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739" priority="3" stopIfTrue="1">
      <formula>$C34=#REF!</formula>
    </cfRule>
  </conditionalFormatting>
  <conditionalFormatting sqref="B17:B21">
    <cfRule type="expression" dxfId="738" priority="2" stopIfTrue="1">
      <formula>$C22=#REF!</formula>
    </cfRule>
  </conditionalFormatting>
  <conditionalFormatting sqref="B17:B21">
    <cfRule type="expression" dxfId="737"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8"/>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D10" sqref="D10:J54"/>
    </sheetView>
  </sheetViews>
  <sheetFormatPr defaultColWidth="8.109375" defaultRowHeight="13.2"/>
  <cols>
    <col min="1" max="1" width="2.6640625" style="249" customWidth="1"/>
    <col min="2" max="2" width="4.88671875" style="245" customWidth="1"/>
    <col min="3" max="3" width="3.88671875" style="245" customWidth="1"/>
    <col min="4" max="4" width="12.109375" style="254" customWidth="1"/>
    <col min="5" max="8" width="12.109375" style="252" customWidth="1"/>
    <col min="9" max="9" width="12.109375" style="253" customWidth="1"/>
    <col min="10" max="10" width="12.109375" style="1236" customWidth="1"/>
    <col min="11" max="11" width="3" customWidth="1"/>
    <col min="31" max="34" width="8.109375" style="249"/>
    <col min="35" max="36" width="11.6640625" style="249" customWidth="1"/>
    <col min="37" max="16384" width="8.109375" style="249"/>
  </cols>
  <sheetData>
    <row r="1" spans="1:235" s="245" customFormat="1" ht="15" customHeight="1">
      <c r="B1" s="258" t="s">
        <v>586</v>
      </c>
      <c r="C1" s="246"/>
      <c r="D1" s="260"/>
      <c r="E1" s="248"/>
      <c r="F1" s="248"/>
      <c r="G1" s="248"/>
      <c r="H1" s="248"/>
      <c r="I1" s="247"/>
      <c r="J1" s="1235"/>
    </row>
    <row r="2" spans="1:235" ht="15" customHeight="1">
      <c r="B2" s="246"/>
      <c r="C2" s="246"/>
      <c r="D2" s="251"/>
    </row>
    <row r="3" spans="1:235" ht="15" customHeight="1">
      <c r="B3" s="1495" t="s">
        <v>550</v>
      </c>
      <c r="C3" s="1495"/>
      <c r="D3" s="1495"/>
      <c r="E3" s="1495"/>
      <c r="F3" s="1495"/>
      <c r="G3" s="1495"/>
      <c r="H3" s="1495"/>
      <c r="I3" s="1495"/>
      <c r="J3" s="1237"/>
    </row>
    <row r="4" spans="1:235" ht="15" customHeight="1">
      <c r="B4" s="693"/>
      <c r="C4" s="700" t="s">
        <v>555</v>
      </c>
      <c r="D4" s="457" t="s">
        <v>62</v>
      </c>
      <c r="E4" s="457" t="s">
        <v>164</v>
      </c>
      <c r="F4" s="457" t="s">
        <v>165</v>
      </c>
      <c r="G4" s="457" t="s">
        <v>518</v>
      </c>
      <c r="H4" s="457" t="s">
        <v>516</v>
      </c>
      <c r="I4" s="457" t="s">
        <v>517</v>
      </c>
      <c r="J4" s="1238" t="s">
        <v>519</v>
      </c>
    </row>
    <row r="5" spans="1:235" s="245" customFormat="1" ht="15" customHeight="1">
      <c r="B5" s="698"/>
      <c r="C5" s="699"/>
      <c r="D5" s="1496" t="s">
        <v>73</v>
      </c>
      <c r="E5" s="1498" t="s">
        <v>504</v>
      </c>
      <c r="F5" s="1500" t="s">
        <v>804</v>
      </c>
      <c r="G5" s="1504" t="s">
        <v>639</v>
      </c>
      <c r="H5" s="1502" t="s">
        <v>805</v>
      </c>
      <c r="I5" s="1503" t="s">
        <v>542</v>
      </c>
      <c r="J5" s="1493" t="s">
        <v>408</v>
      </c>
    </row>
    <row r="6" spans="1:235" ht="15" customHeight="1">
      <c r="B6" s="458"/>
      <c r="C6" s="249"/>
      <c r="D6" s="1497"/>
      <c r="E6" s="1499"/>
      <c r="F6" s="1501"/>
      <c r="G6" s="1497"/>
      <c r="H6" s="1497"/>
      <c r="I6" s="1497"/>
      <c r="J6" s="1494"/>
    </row>
    <row r="7" spans="1:235" ht="15" customHeight="1">
      <c r="B7" s="458"/>
      <c r="C7" s="249"/>
      <c r="D7" s="1497"/>
      <c r="E7" s="1499"/>
      <c r="F7" s="1501"/>
      <c r="G7" s="1497"/>
      <c r="H7" s="1497"/>
      <c r="I7" s="1497"/>
      <c r="J7" s="1494"/>
    </row>
    <row r="8" spans="1:235" ht="15" customHeight="1">
      <c r="B8" s="458"/>
      <c r="C8" s="249"/>
      <c r="D8" s="1497"/>
      <c r="E8" s="1499"/>
      <c r="F8" s="1501"/>
      <c r="G8" s="1497"/>
      <c r="H8" s="1497"/>
      <c r="I8" s="1497"/>
      <c r="J8" s="1494"/>
    </row>
    <row r="9" spans="1:235" ht="15" customHeight="1">
      <c r="A9" s="250"/>
      <c r="B9" s="815" t="s">
        <v>194</v>
      </c>
      <c r="C9" s="816"/>
      <c r="D9" s="1177" t="s">
        <v>773</v>
      </c>
      <c r="E9" s="1177" t="s">
        <v>773</v>
      </c>
      <c r="F9" s="459" t="s">
        <v>520</v>
      </c>
      <c r="G9" s="459" t="s">
        <v>520</v>
      </c>
      <c r="H9" s="261" t="s">
        <v>587</v>
      </c>
      <c r="I9" s="459" t="s">
        <v>520</v>
      </c>
      <c r="J9" s="1239" t="s">
        <v>787</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303">
        <v>-1.1000000000000001</v>
      </c>
      <c r="H10" s="783">
        <v>309218</v>
      </c>
      <c r="I10" s="784">
        <v>0.2</v>
      </c>
      <c r="J10" s="783">
        <v>3570.4</v>
      </c>
    </row>
    <row r="11" spans="1:235" ht="14.1" customHeight="1">
      <c r="B11" s="999"/>
      <c r="C11" s="568">
        <v>2</v>
      </c>
      <c r="D11" s="929">
        <v>98.3</v>
      </c>
      <c r="E11" s="929">
        <v>116.7</v>
      </c>
      <c r="F11" s="929">
        <v>2.7</v>
      </c>
      <c r="G11" s="1298">
        <v>-3.9</v>
      </c>
      <c r="H11" s="680">
        <v>289847</v>
      </c>
      <c r="I11" s="681">
        <v>0.6</v>
      </c>
      <c r="J11" s="680">
        <v>3569.3</v>
      </c>
    </row>
    <row r="12" spans="1:235" ht="14.1" customHeight="1">
      <c r="B12" s="999"/>
      <c r="C12" s="568">
        <v>3</v>
      </c>
      <c r="D12" s="929">
        <v>100.1</v>
      </c>
      <c r="E12" s="929">
        <v>134</v>
      </c>
      <c r="F12" s="929">
        <v>2.6</v>
      </c>
      <c r="G12" s="1298">
        <v>-2.2000000000000002</v>
      </c>
      <c r="H12" s="680">
        <v>289796</v>
      </c>
      <c r="I12" s="681">
        <v>1.2</v>
      </c>
      <c r="J12" s="680">
        <v>4199</v>
      </c>
    </row>
    <row r="13" spans="1:235" ht="14.1" customHeight="1">
      <c r="B13" s="1001"/>
      <c r="C13" s="568">
        <v>4</v>
      </c>
      <c r="D13" s="929">
        <v>99.4</v>
      </c>
      <c r="E13" s="929">
        <v>111.5</v>
      </c>
      <c r="F13" s="929">
        <v>2.6</v>
      </c>
      <c r="G13" s="1298">
        <v>-1.8</v>
      </c>
      <c r="H13" s="680">
        <v>265093</v>
      </c>
      <c r="I13" s="681">
        <v>2.2999999999999998</v>
      </c>
      <c r="J13" s="680">
        <v>3223.3</v>
      </c>
    </row>
    <row r="14" spans="1:235" ht="14.1" customHeight="1">
      <c r="B14" s="1003"/>
      <c r="C14" s="568">
        <v>5</v>
      </c>
      <c r="D14" s="929">
        <v>101.8</v>
      </c>
      <c r="E14" s="929">
        <v>127.2</v>
      </c>
      <c r="F14" s="929">
        <v>2.6</v>
      </c>
      <c r="G14" s="1298">
        <v>0.5</v>
      </c>
      <c r="H14" s="680">
        <v>355080</v>
      </c>
      <c r="I14" s="681">
        <v>2.7</v>
      </c>
      <c r="J14" s="680">
        <v>3724.9</v>
      </c>
    </row>
    <row r="15" spans="1:235" ht="14.1" customHeight="1">
      <c r="B15" s="999"/>
      <c r="C15" s="568">
        <v>6</v>
      </c>
      <c r="D15" s="929">
        <v>101.8</v>
      </c>
      <c r="E15" s="929">
        <v>136.69999999999999</v>
      </c>
      <c r="F15" s="929">
        <v>2.6</v>
      </c>
      <c r="G15" s="1298">
        <v>-2.4</v>
      </c>
      <c r="H15" s="680">
        <v>297142</v>
      </c>
      <c r="I15" s="681">
        <v>2.2999999999999998</v>
      </c>
      <c r="J15" s="680">
        <v>2919.8</v>
      </c>
    </row>
    <row r="16" spans="1:235" ht="14.1" customHeight="1">
      <c r="B16" s="999"/>
      <c r="C16" s="568">
        <v>7</v>
      </c>
      <c r="D16" s="929">
        <v>102</v>
      </c>
      <c r="E16" s="929">
        <v>173.3</v>
      </c>
      <c r="F16" s="929">
        <v>2.5</v>
      </c>
      <c r="G16" s="1298">
        <v>2.6</v>
      </c>
      <c r="H16" s="680">
        <v>343365</v>
      </c>
      <c r="I16" s="681">
        <v>2.2999999999999998</v>
      </c>
      <c r="J16" s="680">
        <v>3052.8</v>
      </c>
    </row>
    <row r="17" spans="2:10" ht="14.1" customHeight="1">
      <c r="B17" s="999"/>
      <c r="C17" s="568">
        <v>8</v>
      </c>
      <c r="D17" s="929">
        <v>101.7</v>
      </c>
      <c r="E17" s="929">
        <v>149.9</v>
      </c>
      <c r="F17" s="929">
        <v>2.5</v>
      </c>
      <c r="G17" s="1298">
        <v>0.7</v>
      </c>
      <c r="H17" s="680">
        <v>293757</v>
      </c>
      <c r="I17" s="681">
        <v>2.2999999999999998</v>
      </c>
      <c r="J17" s="680">
        <v>3192.8</v>
      </c>
    </row>
    <row r="18" spans="2:10" ht="14.1" customHeight="1">
      <c r="B18" s="999"/>
      <c r="C18" s="568">
        <v>9</v>
      </c>
      <c r="D18" s="929">
        <v>100.7</v>
      </c>
      <c r="E18" s="929">
        <v>180.4</v>
      </c>
      <c r="F18" s="929">
        <v>2.6</v>
      </c>
      <c r="G18" s="1298">
        <v>3.5</v>
      </c>
      <c r="H18" s="680">
        <v>287820</v>
      </c>
      <c r="I18" s="681">
        <v>2.6</v>
      </c>
      <c r="J18" s="680">
        <v>3695.3</v>
      </c>
    </row>
    <row r="19" spans="2:10" ht="14.1" customHeight="1">
      <c r="B19" s="999"/>
      <c r="C19" s="568">
        <v>10</v>
      </c>
      <c r="D19" s="929">
        <v>101.7</v>
      </c>
      <c r="E19" s="929">
        <v>129.69999999999999</v>
      </c>
      <c r="F19" s="929">
        <v>2.6</v>
      </c>
      <c r="G19" s="1298">
        <v>1.5</v>
      </c>
      <c r="H19" s="680">
        <v>274469</v>
      </c>
      <c r="I19" s="681">
        <v>3.2</v>
      </c>
      <c r="J19" s="680">
        <v>3462.5</v>
      </c>
    </row>
    <row r="20" spans="2:10" ht="14.1" customHeight="1">
      <c r="B20" s="999"/>
      <c r="C20" s="568">
        <v>11</v>
      </c>
      <c r="D20" s="929">
        <v>101.7</v>
      </c>
      <c r="E20" s="929">
        <v>150</v>
      </c>
      <c r="F20" s="929">
        <v>2.5</v>
      </c>
      <c r="G20" s="1298">
        <v>-0.8</v>
      </c>
      <c r="H20" s="680">
        <v>278901</v>
      </c>
      <c r="I20" s="681">
        <v>3.5</v>
      </c>
      <c r="J20" s="680">
        <v>3515.8</v>
      </c>
    </row>
    <row r="21" spans="2:10" ht="14.1" customHeight="1">
      <c r="B21" s="1000"/>
      <c r="C21" s="788">
        <v>12</v>
      </c>
      <c r="D21" s="930">
        <v>102.3</v>
      </c>
      <c r="E21" s="930">
        <v>144.19999999999999</v>
      </c>
      <c r="F21" s="930">
        <v>2.5</v>
      </c>
      <c r="G21" s="1299">
        <v>0.1</v>
      </c>
      <c r="H21" s="918">
        <v>310254</v>
      </c>
      <c r="I21" s="917">
        <v>4.3</v>
      </c>
      <c r="J21" s="918">
        <v>3638.5</v>
      </c>
    </row>
    <row r="22" spans="2:10" ht="14.1" customHeight="1">
      <c r="B22" s="1011" t="s">
        <v>714</v>
      </c>
      <c r="C22" s="769">
        <v>1</v>
      </c>
      <c r="D22" s="931">
        <v>103.1</v>
      </c>
      <c r="E22" s="931">
        <v>119</v>
      </c>
      <c r="F22" s="931">
        <v>2.5</v>
      </c>
      <c r="G22" s="1300">
        <v>1</v>
      </c>
      <c r="H22" s="836">
        <v>296612</v>
      </c>
      <c r="I22" s="837">
        <v>4.7</v>
      </c>
      <c r="J22" s="836">
        <v>3756.1</v>
      </c>
    </row>
    <row r="23" spans="2:10" ht="14.1" customHeight="1">
      <c r="B23" s="999"/>
      <c r="C23" s="568">
        <v>2</v>
      </c>
      <c r="D23" s="929">
        <v>103</v>
      </c>
      <c r="E23" s="929">
        <v>170.6</v>
      </c>
      <c r="F23" s="929">
        <v>2.6</v>
      </c>
      <c r="G23" s="1298">
        <v>2</v>
      </c>
      <c r="H23" s="680">
        <v>324808</v>
      </c>
      <c r="I23" s="681">
        <v>3.8</v>
      </c>
      <c r="J23" s="680">
        <v>3042.2</v>
      </c>
    </row>
    <row r="24" spans="2:10" ht="14.1" customHeight="1">
      <c r="B24" s="999"/>
      <c r="C24" s="568">
        <v>3</v>
      </c>
      <c r="D24" s="929">
        <v>104.5</v>
      </c>
      <c r="E24" s="929">
        <v>161</v>
      </c>
      <c r="F24" s="929">
        <v>2.7</v>
      </c>
      <c r="G24" s="1298">
        <v>-1.3</v>
      </c>
      <c r="H24" s="680">
        <v>275860</v>
      </c>
      <c r="I24" s="681">
        <v>3.6</v>
      </c>
      <c r="J24" s="680">
        <v>3265.5</v>
      </c>
    </row>
    <row r="25" spans="2:10" ht="14.1" customHeight="1">
      <c r="B25" s="1001"/>
      <c r="C25" s="568">
        <v>4</v>
      </c>
      <c r="D25" s="929">
        <v>103.8</v>
      </c>
      <c r="E25" s="929">
        <v>109.9</v>
      </c>
      <c r="F25" s="929">
        <v>2.6</v>
      </c>
      <c r="G25" s="1298">
        <v>2.2999999999999998</v>
      </c>
      <c r="H25" s="680">
        <v>287788</v>
      </c>
      <c r="I25" s="681">
        <v>4.0999999999999996</v>
      </c>
      <c r="J25" s="680">
        <v>3016.2</v>
      </c>
    </row>
    <row r="26" spans="2:10" ht="14.1" customHeight="1">
      <c r="B26" s="1003"/>
      <c r="C26" s="568">
        <v>5</v>
      </c>
      <c r="D26" s="929">
        <v>103.7</v>
      </c>
      <c r="E26" s="929">
        <v>108.2</v>
      </c>
      <c r="F26" s="929">
        <v>2.5</v>
      </c>
      <c r="G26" s="1298">
        <v>-1.8</v>
      </c>
      <c r="H26" s="680">
        <v>295039</v>
      </c>
      <c r="I26" s="681">
        <v>3.5</v>
      </c>
      <c r="J26" s="680">
        <v>3269</v>
      </c>
    </row>
    <row r="27" spans="2:10" ht="14.1" customHeight="1">
      <c r="B27" s="999"/>
      <c r="C27" s="568">
        <v>6</v>
      </c>
      <c r="D27" s="929">
        <v>103.2</v>
      </c>
      <c r="E27" s="929">
        <v>106.2</v>
      </c>
      <c r="F27" s="929">
        <v>2.5</v>
      </c>
      <c r="G27" s="1298">
        <v>-0.1</v>
      </c>
      <c r="H27" s="680">
        <v>260415</v>
      </c>
      <c r="I27" s="681">
        <v>3.8</v>
      </c>
      <c r="J27" s="680">
        <v>2885.8</v>
      </c>
    </row>
    <row r="28" spans="2:10" ht="14.1" customHeight="1">
      <c r="B28" s="999"/>
      <c r="C28" s="568">
        <v>7</v>
      </c>
      <c r="D28" s="929">
        <v>103.8</v>
      </c>
      <c r="E28" s="929">
        <v>114.1</v>
      </c>
      <c r="F28" s="929">
        <v>2.6</v>
      </c>
      <c r="G28" s="1298">
        <v>1.3</v>
      </c>
      <c r="H28" s="680">
        <v>290775</v>
      </c>
      <c r="I28" s="681">
        <v>3.8</v>
      </c>
      <c r="J28" s="680">
        <v>3212.9</v>
      </c>
    </row>
    <row r="29" spans="2:10" ht="14.1" customHeight="1">
      <c r="B29" s="999"/>
      <c r="C29" s="568">
        <v>8</v>
      </c>
      <c r="D29" s="929">
        <v>104.1</v>
      </c>
      <c r="E29" s="929">
        <v>109.6</v>
      </c>
      <c r="F29" s="929">
        <v>2.6</v>
      </c>
      <c r="G29" s="1298">
        <v>2.8</v>
      </c>
      <c r="H29" s="1293">
        <v>292701</v>
      </c>
      <c r="I29" s="681">
        <v>4.7</v>
      </c>
      <c r="J29" s="680">
        <v>3428.3</v>
      </c>
    </row>
    <row r="30" spans="2:10" ht="14.1" customHeight="1">
      <c r="B30" s="999"/>
      <c r="C30" s="568">
        <v>9</v>
      </c>
      <c r="D30" s="929">
        <v>104.1</v>
      </c>
      <c r="E30" s="929">
        <v>113.7</v>
      </c>
      <c r="F30" s="929">
        <v>2.6</v>
      </c>
      <c r="G30" s="1298">
        <v>1.8</v>
      </c>
      <c r="H30" s="1293">
        <v>304093</v>
      </c>
      <c r="I30" s="681">
        <v>4.5999999999999996</v>
      </c>
      <c r="J30" s="680">
        <v>3436</v>
      </c>
    </row>
    <row r="31" spans="2:10" ht="14.1" customHeight="1">
      <c r="B31" s="999"/>
      <c r="C31" s="568">
        <v>10</v>
      </c>
      <c r="D31" s="929">
        <v>104.8</v>
      </c>
      <c r="E31" s="929">
        <v>112.7</v>
      </c>
      <c r="F31" s="929">
        <v>2.6</v>
      </c>
      <c r="G31" s="1298">
        <v>0.1</v>
      </c>
      <c r="H31" s="1293">
        <v>362899</v>
      </c>
      <c r="I31" s="681">
        <v>4.5</v>
      </c>
      <c r="J31" s="680">
        <v>3273.3</v>
      </c>
    </row>
    <row r="32" spans="2:10" ht="14.1" customHeight="1">
      <c r="B32" s="999"/>
      <c r="C32" s="568">
        <v>11</v>
      </c>
      <c r="D32" s="929">
        <v>104.9</v>
      </c>
      <c r="E32" s="929">
        <v>93.3</v>
      </c>
      <c r="F32" s="929">
        <v>2.6</v>
      </c>
      <c r="G32" s="1298">
        <v>0.4</v>
      </c>
      <c r="H32" s="1293">
        <v>295708</v>
      </c>
      <c r="I32" s="681">
        <v>4.0999999999999996</v>
      </c>
      <c r="J32" s="680">
        <v>3437.9</v>
      </c>
    </row>
    <row r="33" spans="2:13" ht="14.1" customHeight="1">
      <c r="B33" s="1000"/>
      <c r="C33" s="788">
        <v>12</v>
      </c>
      <c r="D33" s="930">
        <v>104.7</v>
      </c>
      <c r="E33" s="930">
        <v>128.1</v>
      </c>
      <c r="F33" s="930">
        <v>2.5</v>
      </c>
      <c r="G33" s="1299">
        <v>2</v>
      </c>
      <c r="H33" s="1294">
        <v>291607</v>
      </c>
      <c r="I33" s="917">
        <v>3.5</v>
      </c>
      <c r="J33" s="918">
        <v>3583.7</v>
      </c>
    </row>
    <row r="34" spans="2:13" ht="14.1" customHeight="1">
      <c r="B34" s="1011" t="s">
        <v>715</v>
      </c>
      <c r="C34" s="769">
        <v>1</v>
      </c>
      <c r="D34" s="931">
        <v>104.5</v>
      </c>
      <c r="E34" s="931">
        <v>107.5</v>
      </c>
      <c r="F34" s="931">
        <v>2.5</v>
      </c>
      <c r="G34" s="1300">
        <v>-0.5</v>
      </c>
      <c r="H34" s="1295">
        <v>273904</v>
      </c>
      <c r="I34" s="837">
        <v>3.1</v>
      </c>
      <c r="J34" s="836">
        <v>2218.8000000000002</v>
      </c>
    </row>
    <row r="35" spans="2:13" ht="14.1" customHeight="1">
      <c r="B35" s="999"/>
      <c r="C35" s="568">
        <v>2</v>
      </c>
      <c r="D35" s="929">
        <v>104.8</v>
      </c>
      <c r="E35" s="929">
        <v>124.1</v>
      </c>
      <c r="F35" s="929">
        <v>2.6</v>
      </c>
      <c r="G35" s="1298">
        <v>1.3</v>
      </c>
      <c r="H35" s="1293">
        <v>302053</v>
      </c>
      <c r="I35" s="681">
        <v>3.6</v>
      </c>
      <c r="J35" s="680">
        <v>3684.4</v>
      </c>
    </row>
    <row r="36" spans="2:13" ht="14.1" customHeight="1">
      <c r="B36" s="999"/>
      <c r="C36" s="568">
        <v>3</v>
      </c>
      <c r="D36" s="929">
        <v>104.5</v>
      </c>
      <c r="E36" s="929">
        <v>128.6</v>
      </c>
      <c r="F36" s="929">
        <v>2.6</v>
      </c>
      <c r="G36" s="1298">
        <v>3.6</v>
      </c>
      <c r="H36" s="1293">
        <v>292065</v>
      </c>
      <c r="I36" s="681">
        <v>3.2</v>
      </c>
      <c r="J36" s="680">
        <v>3190.6</v>
      </c>
    </row>
    <row r="37" spans="2:13" ht="14.1" customHeight="1">
      <c r="B37" s="1001"/>
      <c r="C37" s="568">
        <v>4</v>
      </c>
      <c r="D37" s="929">
        <v>104.4</v>
      </c>
      <c r="E37" s="929">
        <v>135.80000000000001</v>
      </c>
      <c r="F37" s="929">
        <v>2.6</v>
      </c>
      <c r="G37" s="1298">
        <v>-0.5</v>
      </c>
      <c r="H37" s="680">
        <v>244705</v>
      </c>
      <c r="I37" s="681">
        <v>3.1</v>
      </c>
      <c r="J37" s="680">
        <v>3979.5</v>
      </c>
    </row>
    <row r="38" spans="2:13" ht="14.1" customHeight="1">
      <c r="B38" s="1003"/>
      <c r="C38" s="568">
        <v>5</v>
      </c>
      <c r="D38" s="929">
        <v>104.5</v>
      </c>
      <c r="E38" s="929">
        <v>122.6</v>
      </c>
      <c r="F38" s="929">
        <v>2.6</v>
      </c>
      <c r="G38" s="1298">
        <v>0.9</v>
      </c>
      <c r="H38" s="680">
        <v>259288</v>
      </c>
      <c r="I38" s="681">
        <v>3.7</v>
      </c>
      <c r="J38" s="680">
        <v>3779.5</v>
      </c>
    </row>
    <row r="39" spans="2:13" ht="14.1" customHeight="1">
      <c r="B39" s="999"/>
      <c r="C39" s="568">
        <v>6</v>
      </c>
      <c r="D39" s="929">
        <v>104.9</v>
      </c>
      <c r="E39" s="929">
        <v>126.4</v>
      </c>
      <c r="F39" s="929">
        <v>2.5</v>
      </c>
      <c r="G39" s="1298">
        <v>4.5999999999999996</v>
      </c>
      <c r="H39" s="680">
        <v>380681</v>
      </c>
      <c r="I39" s="681">
        <v>3.2</v>
      </c>
      <c r="J39" s="680">
        <v>2841.2</v>
      </c>
    </row>
    <row r="40" spans="2:13" ht="14.1" customHeight="1">
      <c r="B40" s="999"/>
      <c r="C40" s="568">
        <v>7</v>
      </c>
      <c r="D40" s="929">
        <v>105</v>
      </c>
      <c r="E40" s="929">
        <v>99.6</v>
      </c>
      <c r="F40" s="929">
        <v>2.6</v>
      </c>
      <c r="G40" s="1298">
        <v>-4.3</v>
      </c>
      <c r="H40" s="680">
        <v>266868</v>
      </c>
      <c r="I40" s="681">
        <v>3.3</v>
      </c>
      <c r="J40" s="680">
        <v>5956.7</v>
      </c>
    </row>
    <row r="41" spans="2:13" ht="14.1" customHeight="1">
      <c r="B41" s="999"/>
      <c r="C41" s="568">
        <v>8</v>
      </c>
      <c r="D41" s="929">
        <v>105.4</v>
      </c>
      <c r="E41" s="929">
        <v>121</v>
      </c>
      <c r="F41" s="929">
        <v>2.5</v>
      </c>
      <c r="G41" s="1298">
        <v>3</v>
      </c>
      <c r="H41" s="680">
        <v>329269</v>
      </c>
      <c r="I41" s="681">
        <v>2.7</v>
      </c>
      <c r="J41" s="680">
        <v>3643.4</v>
      </c>
    </row>
    <row r="42" spans="2:13" ht="14.1" customHeight="1">
      <c r="B42" s="999"/>
      <c r="C42" s="568">
        <v>9</v>
      </c>
      <c r="D42" s="929">
        <v>105.6</v>
      </c>
      <c r="E42" s="929">
        <v>132.9</v>
      </c>
      <c r="F42" s="929">
        <v>2.4</v>
      </c>
      <c r="G42" s="1298">
        <v>0.3</v>
      </c>
      <c r="H42" s="680">
        <v>293666</v>
      </c>
      <c r="I42" s="681">
        <v>2.1</v>
      </c>
      <c r="J42" s="680">
        <v>3483.5</v>
      </c>
    </row>
    <row r="43" spans="2:13" ht="14.1" customHeight="1">
      <c r="B43" s="999"/>
      <c r="C43" s="568">
        <v>10</v>
      </c>
      <c r="D43" s="929">
        <v>105.4</v>
      </c>
      <c r="E43" s="929">
        <v>148.6</v>
      </c>
      <c r="F43" s="929">
        <v>2.5</v>
      </c>
      <c r="G43" s="1298">
        <v>-2.6</v>
      </c>
      <c r="H43" s="680">
        <v>310453</v>
      </c>
      <c r="I43" s="681">
        <v>2.4</v>
      </c>
      <c r="J43" s="680">
        <v>3426.3</v>
      </c>
    </row>
    <row r="44" spans="2:13" ht="14.1" customHeight="1">
      <c r="B44" s="999"/>
      <c r="C44" s="568">
        <v>11</v>
      </c>
      <c r="D44" s="929">
        <v>105.8</v>
      </c>
      <c r="E44" s="929">
        <v>138.80000000000001</v>
      </c>
      <c r="F44" s="929">
        <v>2.5</v>
      </c>
      <c r="G44" s="1298">
        <v>2.6</v>
      </c>
      <c r="H44" s="680">
        <v>388180</v>
      </c>
      <c r="I44" s="681">
        <v>2.9</v>
      </c>
      <c r="J44" s="680">
        <v>3527.5</v>
      </c>
    </row>
    <row r="45" spans="2:13" ht="14.1" customHeight="1">
      <c r="B45" s="1000"/>
      <c r="C45" s="925">
        <v>12</v>
      </c>
      <c r="D45" s="930">
        <v>106.2</v>
      </c>
      <c r="E45" s="930">
        <v>133</v>
      </c>
      <c r="F45" s="930">
        <v>2.5</v>
      </c>
      <c r="G45" s="1299">
        <v>0.6</v>
      </c>
      <c r="H45" s="918">
        <v>299489</v>
      </c>
      <c r="I45" s="917">
        <v>3.5</v>
      </c>
      <c r="J45" s="918">
        <v>3413.2</v>
      </c>
    </row>
    <row r="46" spans="2:13" ht="13.5" customHeight="1">
      <c r="B46" s="1011" t="s">
        <v>818</v>
      </c>
      <c r="C46" s="1059">
        <v>1</v>
      </c>
      <c r="D46" s="931">
        <v>106.1</v>
      </c>
      <c r="E46" s="931">
        <v>135.9</v>
      </c>
      <c r="F46" s="931">
        <v>2.5</v>
      </c>
      <c r="G46" s="1300">
        <v>2.9</v>
      </c>
      <c r="H46" s="1061">
        <v>293059</v>
      </c>
      <c r="I46" s="1060">
        <v>3.8</v>
      </c>
      <c r="J46" s="1061">
        <v>3329.7</v>
      </c>
    </row>
    <row r="47" spans="2:13" ht="13.5" customHeight="1">
      <c r="B47" s="1001"/>
      <c r="C47" s="900">
        <v>2</v>
      </c>
      <c r="D47" s="929">
        <v>106.3</v>
      </c>
      <c r="E47" s="929">
        <v>137.4</v>
      </c>
      <c r="F47" s="929">
        <v>2.4</v>
      </c>
      <c r="G47" s="1298">
        <v>1.2</v>
      </c>
      <c r="H47" s="919">
        <v>251622</v>
      </c>
      <c r="I47" s="901">
        <v>3.5</v>
      </c>
      <c r="J47" s="919">
        <v>3900.5</v>
      </c>
      <c r="K47" s="1174"/>
      <c r="M47" s="902"/>
    </row>
    <row r="48" spans="2:13" ht="13.5" customHeight="1">
      <c r="B48" s="1001"/>
      <c r="C48" s="900">
        <v>3</v>
      </c>
      <c r="D48" s="901">
        <v>104.7</v>
      </c>
      <c r="E48" s="901">
        <v>167.8</v>
      </c>
      <c r="F48" s="901">
        <v>2.5</v>
      </c>
      <c r="G48" s="901">
        <v>1.8</v>
      </c>
      <c r="H48" s="919">
        <v>297809</v>
      </c>
      <c r="I48" s="901">
        <v>3.7</v>
      </c>
      <c r="J48" s="982">
        <v>2936.6</v>
      </c>
      <c r="K48" s="1174"/>
    </row>
    <row r="49" spans="2:36" ht="13.5" customHeight="1">
      <c r="B49" s="1001"/>
      <c r="C49" s="900">
        <v>4</v>
      </c>
      <c r="D49" s="901">
        <v>104.8</v>
      </c>
      <c r="E49" s="901">
        <v>101.4</v>
      </c>
      <c r="F49" s="901">
        <v>2.5</v>
      </c>
      <c r="G49" s="901">
        <v>0.9</v>
      </c>
      <c r="H49" s="919">
        <v>294370</v>
      </c>
      <c r="I49" s="901">
        <v>3.4</v>
      </c>
      <c r="J49" s="982">
        <v>3706.6</v>
      </c>
      <c r="K49" s="1174"/>
    </row>
    <row r="50" spans="2:36" ht="14.25" customHeight="1">
      <c r="B50" s="1001"/>
      <c r="C50" s="900">
        <v>5</v>
      </c>
      <c r="D50" s="901">
        <v>104.6</v>
      </c>
      <c r="E50" s="1296">
        <v>108.6</v>
      </c>
      <c r="F50" s="901">
        <v>2.5</v>
      </c>
      <c r="G50" s="901">
        <v>-1.3</v>
      </c>
      <c r="H50" s="919">
        <v>265595</v>
      </c>
      <c r="I50" s="901">
        <v>3.3</v>
      </c>
      <c r="J50" s="982">
        <v>3782.6</v>
      </c>
      <c r="K50" s="1174"/>
    </row>
    <row r="51" spans="2:36" ht="14.25" customHeight="1">
      <c r="B51" s="899"/>
      <c r="C51" s="900">
        <v>6</v>
      </c>
      <c r="D51" s="928">
        <v>104.3</v>
      </c>
      <c r="E51" s="928">
        <v>124.5</v>
      </c>
      <c r="F51" s="928">
        <v>2.5</v>
      </c>
      <c r="G51" s="927">
        <v>0.3</v>
      </c>
      <c r="H51" s="919">
        <v>251762</v>
      </c>
      <c r="I51" s="901">
        <v>3.3</v>
      </c>
      <c r="J51" s="919">
        <v>3081.1</v>
      </c>
      <c r="K51" s="1174"/>
    </row>
    <row r="52" spans="2:36" ht="14.25" customHeight="1">
      <c r="B52" s="899"/>
      <c r="C52" s="900">
        <v>7</v>
      </c>
      <c r="D52" s="928">
        <v>104.5</v>
      </c>
      <c r="E52" s="928">
        <v>98.1</v>
      </c>
      <c r="F52" s="928">
        <v>2.2999999999999998</v>
      </c>
      <c r="G52" s="927">
        <v>2.9</v>
      </c>
      <c r="H52" s="919">
        <v>362350</v>
      </c>
      <c r="I52" s="901">
        <v>3.1</v>
      </c>
      <c r="J52" s="919">
        <v>2170</v>
      </c>
      <c r="K52" s="1174"/>
    </row>
    <row r="53" spans="2:36" ht="15" customHeight="1">
      <c r="B53" s="899"/>
      <c r="C53" s="900">
        <v>8</v>
      </c>
      <c r="D53" s="928">
        <v>103.8</v>
      </c>
      <c r="E53" s="928">
        <v>126.9</v>
      </c>
      <c r="F53" s="928">
        <v>2.6</v>
      </c>
      <c r="G53" s="927">
        <v>-0.8</v>
      </c>
      <c r="H53" s="919">
        <v>251313</v>
      </c>
      <c r="I53" s="901">
        <v>2.7</v>
      </c>
      <c r="J53" s="919">
        <v>4318.3999999999996</v>
      </c>
      <c r="K53" s="1174"/>
      <c r="AE53"/>
      <c r="AF53"/>
      <c r="AG53"/>
      <c r="AH53"/>
      <c r="AI53"/>
    </row>
    <row r="54" spans="2:36" ht="15" customHeight="1">
      <c r="B54" s="899"/>
      <c r="C54" s="900">
        <v>9</v>
      </c>
      <c r="D54" s="928">
        <v>103.4</v>
      </c>
      <c r="E54" s="928">
        <v>117.4</v>
      </c>
      <c r="F54" s="928">
        <v>2.6</v>
      </c>
      <c r="G54" s="927">
        <v>-2.2999999999999998</v>
      </c>
      <c r="H54" s="919">
        <v>345055</v>
      </c>
      <c r="I54" s="901">
        <v>3.6</v>
      </c>
      <c r="J54" s="919">
        <v>3643.4</v>
      </c>
      <c r="K54" s="1174"/>
      <c r="AE54"/>
      <c r="AF54"/>
      <c r="AG54"/>
      <c r="AH54"/>
      <c r="AI54"/>
    </row>
    <row r="55" spans="2:36" ht="15" hidden="1" customHeight="1">
      <c r="B55" s="899"/>
      <c r="C55" s="900">
        <v>10</v>
      </c>
      <c r="D55" s="928">
        <v>0</v>
      </c>
      <c r="E55" s="928">
        <v>113.5</v>
      </c>
      <c r="F55" s="928">
        <v>2.6</v>
      </c>
      <c r="G55" s="927">
        <v>0.9</v>
      </c>
      <c r="H55" s="919">
        <v>332048</v>
      </c>
      <c r="I55" s="901">
        <v>3.7</v>
      </c>
      <c r="J55" s="919">
        <v>4108.6000000000004</v>
      </c>
      <c r="K55" s="1174"/>
      <c r="AE55"/>
      <c r="AF55"/>
      <c r="AG55"/>
      <c r="AH55"/>
      <c r="AI55"/>
    </row>
    <row r="56" spans="2:36" ht="15" hidden="1" customHeight="1">
      <c r="B56" s="899"/>
      <c r="C56" s="900">
        <v>11</v>
      </c>
      <c r="D56" s="1145">
        <v>0</v>
      </c>
      <c r="E56" s="1145">
        <v>0</v>
      </c>
      <c r="F56" s="1145">
        <v>0</v>
      </c>
      <c r="G56" s="927">
        <v>0</v>
      </c>
      <c r="H56" s="939">
        <v>0</v>
      </c>
      <c r="I56" s="1296">
        <v>3.8</v>
      </c>
      <c r="J56" s="982">
        <v>0</v>
      </c>
      <c r="K56" s="1174"/>
      <c r="AE56"/>
      <c r="AF56"/>
      <c r="AG56"/>
      <c r="AH56"/>
      <c r="AI56"/>
    </row>
    <row r="57" spans="2:36" ht="13.5" hidden="1" customHeight="1">
      <c r="B57" s="899"/>
      <c r="C57" s="900">
        <v>12</v>
      </c>
      <c r="D57" s="982">
        <v>0</v>
      </c>
      <c r="E57" s="982">
        <v>0</v>
      </c>
      <c r="F57" s="982">
        <v>0</v>
      </c>
      <c r="G57" s="1247">
        <v>0</v>
      </c>
      <c r="H57" s="939" t="e">
        <v>#DIV/0!</v>
      </c>
      <c r="I57" s="1296">
        <v>0</v>
      </c>
      <c r="J57" s="982">
        <v>0</v>
      </c>
      <c r="K57" s="1174"/>
      <c r="AE57"/>
      <c r="AF57"/>
      <c r="AG57"/>
      <c r="AH57"/>
      <c r="AI57"/>
    </row>
    <row r="58" spans="2:36" ht="13.5" hidden="1" customHeight="1">
      <c r="B58" s="1085"/>
      <c r="C58" s="1085"/>
      <c r="D58" s="1185"/>
      <c r="E58" s="1087"/>
      <c r="F58" s="1143"/>
      <c r="G58" s="1087"/>
      <c r="H58" s="1088"/>
      <c r="I58" s="1087"/>
      <c r="J58" s="1240"/>
      <c r="K58" s="1174"/>
      <c r="AE58"/>
      <c r="AF58"/>
      <c r="AG58"/>
      <c r="AH58"/>
      <c r="AI58"/>
    </row>
    <row r="59" spans="2:36" ht="6.75" customHeight="1">
      <c r="B59" s="1085"/>
      <c r="C59" s="1085"/>
      <c r="D59" s="1086"/>
      <c r="E59" s="1087"/>
      <c r="F59" s="1087"/>
      <c r="G59" s="1087"/>
      <c r="H59" s="1088"/>
      <c r="I59" s="1087"/>
      <c r="J59" s="1241"/>
      <c r="K59" s="1174"/>
      <c r="AE59"/>
      <c r="AF59"/>
      <c r="AG59"/>
      <c r="AH59"/>
      <c r="AI59"/>
    </row>
    <row r="60" spans="2:36">
      <c r="B60" s="445" t="s">
        <v>63</v>
      </c>
      <c r="C60" s="441" t="s">
        <v>584</v>
      </c>
      <c r="D60" s="254" t="s">
        <v>775</v>
      </c>
      <c r="E60" s="451"/>
      <c r="F60" s="451"/>
      <c r="G60" s="451"/>
      <c r="H60" s="452"/>
      <c r="I60" s="452"/>
      <c r="J60" s="1242"/>
      <c r="K60" s="1174"/>
    </row>
    <row r="61" spans="2:36" ht="13.5" customHeight="1">
      <c r="B61" s="249" t="s">
        <v>64</v>
      </c>
      <c r="C61" s="441" t="s">
        <v>557</v>
      </c>
      <c r="D61" s="1480" t="s">
        <v>777</v>
      </c>
      <c r="E61" s="1480"/>
      <c r="F61" s="1480"/>
      <c r="G61" s="1480"/>
      <c r="H61" s="1480"/>
      <c r="I61" s="1480"/>
      <c r="J61" s="1480"/>
      <c r="K61" s="1251"/>
    </row>
    <row r="62" spans="2:36" ht="12" hidden="1" customHeight="1">
      <c r="B62" s="249"/>
      <c r="C62" s="441" t="s">
        <v>558</v>
      </c>
      <c r="K62" s="1174"/>
    </row>
    <row r="63" spans="2:36" ht="12" hidden="1" customHeight="1">
      <c r="B63" s="249"/>
      <c r="C63" s="441" t="s">
        <v>559</v>
      </c>
      <c r="K63" s="1174"/>
    </row>
    <row r="64" spans="2:36" ht="12" customHeight="1">
      <c r="B64" s="249" t="s">
        <v>546</v>
      </c>
      <c r="C64" s="1181" t="s">
        <v>786</v>
      </c>
      <c r="D64" s="254" t="s">
        <v>785</v>
      </c>
      <c r="H64" s="253"/>
      <c r="I64" s="252"/>
      <c r="K64" s="252"/>
      <c r="L64" s="252"/>
      <c r="AE64"/>
      <c r="AF64"/>
      <c r="AG64"/>
      <c r="AH64"/>
      <c r="AI64"/>
      <c r="AJ64"/>
    </row>
    <row r="65" spans="2:11">
      <c r="B65" s="249"/>
      <c r="C65" s="1286" t="s">
        <v>825</v>
      </c>
      <c r="D65" s="1182" t="s">
        <v>826</v>
      </c>
      <c r="E65" s="256"/>
      <c r="F65" s="256"/>
      <c r="G65" s="256"/>
      <c r="H65" s="256"/>
      <c r="I65" s="257"/>
      <c r="J65" s="1243"/>
      <c r="K65" s="1174"/>
    </row>
    <row r="66" spans="2:11" ht="6.75" customHeight="1">
      <c r="B66" s="249"/>
      <c r="C66" s="1183"/>
      <c r="D66" s="1182"/>
      <c r="E66" s="256"/>
      <c r="F66" s="256"/>
      <c r="G66" s="256"/>
      <c r="H66" s="256"/>
      <c r="I66" s="257"/>
      <c r="J66" s="1243"/>
      <c r="K66" s="1174"/>
    </row>
    <row r="67" spans="2:11">
      <c r="B67" s="249"/>
      <c r="C67" s="262"/>
      <c r="D67" s="1142"/>
      <c r="E67" s="256"/>
      <c r="F67" s="256"/>
      <c r="G67" s="256"/>
      <c r="H67" s="256"/>
      <c r="I67" s="257"/>
      <c r="J67" s="1243"/>
    </row>
    <row r="68" spans="2:11">
      <c r="B68" s="259"/>
      <c r="C68" s="262"/>
      <c r="D68" s="255"/>
      <c r="E68" s="256"/>
      <c r="F68" s="256"/>
      <c r="G68" s="256"/>
      <c r="H68" s="256"/>
      <c r="I68" s="257"/>
      <c r="J68" s="1243"/>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29:B33">
    <cfRule type="expression" dxfId="736" priority="3" stopIfTrue="1">
      <formula>$C34=#REF!</formula>
    </cfRule>
  </conditionalFormatting>
  <conditionalFormatting sqref="B17:B21">
    <cfRule type="expression" dxfId="735" priority="2" stopIfTrue="1">
      <formula>$C22=#REF!</formula>
    </cfRule>
  </conditionalFormatting>
  <conditionalFormatting sqref="B17:B21">
    <cfRule type="expression" dxfId="734"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X48"/>
  <sheetViews>
    <sheetView view="pageBreakPreview" zoomScale="75" zoomScaleNormal="100" zoomScaleSheetLayoutView="75" workbookViewId="0">
      <pane xSplit="20" ySplit="4" topLeftCell="AC10" activePane="bottomRight" state="frozen"/>
      <selection activeCell="P17" sqref="P17"/>
      <selection pane="topRight" activeCell="P17" sqref="P17"/>
      <selection pane="bottomLeft" activeCell="P17" sqref="P17"/>
      <selection pane="bottomRight" activeCell="AC15" sqref="AC15:AW35"/>
    </sheetView>
  </sheetViews>
  <sheetFormatPr defaultColWidth="8" defaultRowHeight="16.2"/>
  <cols>
    <col min="1" max="1" width="5.88671875" style="435" customWidth="1"/>
    <col min="2" max="2" width="7.33203125" style="213" customWidth="1"/>
    <col min="3" max="3" width="7.33203125" style="263" customWidth="1"/>
    <col min="4" max="7" width="7.33203125" style="211" customWidth="1"/>
    <col min="8" max="8" width="5.88671875" style="437" customWidth="1"/>
    <col min="9" max="19" width="8.44140625" style="211" hidden="1" customWidth="1"/>
    <col min="20" max="20" width="6.6640625" style="211" hidden="1" customWidth="1"/>
    <col min="21" max="28" width="8.109375" style="211" hidden="1" customWidth="1"/>
    <col min="29" max="37" width="8.109375" style="211" customWidth="1"/>
    <col min="38" max="44" width="6.88671875" style="211" hidden="1" customWidth="1"/>
    <col min="45" max="45" width="3.21875" hidden="1" customWidth="1"/>
    <col min="46" max="49" width="8.109375" style="211" customWidth="1"/>
    <col min="50" max="50" width="2.109375" style="211" customWidth="1"/>
    <col min="51" max="16384" width="8" style="211"/>
  </cols>
  <sheetData>
    <row r="1" spans="1:50" s="270" customFormat="1" ht="39.9" customHeight="1">
      <c r="A1" s="703" t="s">
        <v>871</v>
      </c>
      <c r="C1" s="296"/>
      <c r="H1" s="737"/>
      <c r="AS1"/>
    </row>
    <row r="2" spans="1:50" ht="15" customHeight="1" thickBot="1">
      <c r="U2" s="1054"/>
      <c r="V2" s="1054"/>
      <c r="W2" s="1054"/>
      <c r="X2" s="1054"/>
      <c r="Y2" s="1054"/>
      <c r="Z2" s="1054"/>
      <c r="AA2" s="1054"/>
      <c r="AB2" s="1054"/>
      <c r="AC2" s="1054"/>
      <c r="AD2" s="1054"/>
      <c r="AE2" s="1054"/>
      <c r="AF2" s="1054"/>
      <c r="AG2" s="1054"/>
      <c r="AH2" s="1054"/>
    </row>
    <row r="3" spans="1:50" s="375" customFormat="1" ht="24.9" customHeight="1">
      <c r="A3" s="613"/>
      <c r="B3" s="1529" t="s">
        <v>219</v>
      </c>
      <c r="C3" s="1510" t="s">
        <v>220</v>
      </c>
      <c r="D3" s="1511"/>
      <c r="E3" s="1511"/>
      <c r="F3" s="1511"/>
      <c r="G3" s="1512"/>
      <c r="H3" s="1508" t="s">
        <v>305</v>
      </c>
      <c r="I3" s="1516" t="s">
        <v>689</v>
      </c>
      <c r="J3" s="1516"/>
      <c r="K3" s="1516"/>
      <c r="L3" s="1516"/>
      <c r="M3" s="1516"/>
      <c r="N3" s="1516"/>
      <c r="O3" s="1516"/>
      <c r="P3" s="1516"/>
      <c r="Q3" s="1516"/>
      <c r="R3" s="1516"/>
      <c r="S3" s="1516"/>
      <c r="T3" s="1516"/>
      <c r="U3" s="1097" t="s">
        <v>722</v>
      </c>
      <c r="V3" s="1096"/>
      <c r="W3" s="1096"/>
      <c r="X3" s="1096"/>
      <c r="Y3" s="1096"/>
      <c r="Z3" s="1096"/>
      <c r="AA3" s="1096"/>
      <c r="AB3" s="1096" t="s">
        <v>722</v>
      </c>
      <c r="AC3" s="1096" t="s">
        <v>722</v>
      </c>
      <c r="AD3" s="1096"/>
      <c r="AE3" s="1096"/>
      <c r="AF3" s="1095"/>
      <c r="AG3" s="1097" t="s">
        <v>822</v>
      </c>
      <c r="AH3" s="1095"/>
      <c r="AI3" s="1096"/>
      <c r="AJ3" s="1096"/>
      <c r="AK3" s="1096"/>
      <c r="AL3" s="1096"/>
      <c r="AM3" s="1096"/>
      <c r="AN3" s="1096"/>
      <c r="AO3" s="1096"/>
      <c r="AP3" s="1096"/>
      <c r="AQ3" s="1304"/>
      <c r="AR3" s="1228"/>
      <c r="AS3"/>
      <c r="AT3" s="1096"/>
      <c r="AU3" s="1096"/>
      <c r="AV3" s="1096"/>
      <c r="AW3" s="1096"/>
      <c r="AX3" s="1090"/>
    </row>
    <row r="4" spans="1:50" s="375" customFormat="1" ht="24.9" customHeight="1">
      <c r="A4" s="882"/>
      <c r="B4" s="1530"/>
      <c r="C4" s="1513"/>
      <c r="D4" s="1514"/>
      <c r="E4" s="1514"/>
      <c r="F4" s="1514"/>
      <c r="G4" s="1515"/>
      <c r="H4" s="1509"/>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8">
        <v>12</v>
      </c>
      <c r="AG4" s="1062" t="s">
        <v>211</v>
      </c>
      <c r="AH4" s="734" t="s">
        <v>213</v>
      </c>
      <c r="AI4" s="735" t="s">
        <v>214</v>
      </c>
      <c r="AJ4" s="735" t="s">
        <v>215</v>
      </c>
      <c r="AK4" s="735" t="s">
        <v>216</v>
      </c>
      <c r="AL4" s="735" t="s">
        <v>217</v>
      </c>
      <c r="AM4" s="735" t="s">
        <v>218</v>
      </c>
      <c r="AN4" s="1051" t="s">
        <v>18</v>
      </c>
      <c r="AO4" s="735" t="s">
        <v>19</v>
      </c>
      <c r="AP4" s="735">
        <v>10</v>
      </c>
      <c r="AQ4" s="735">
        <v>11</v>
      </c>
      <c r="AR4" s="792">
        <v>12</v>
      </c>
      <c r="AS4"/>
      <c r="AT4" s="735">
        <v>6</v>
      </c>
      <c r="AU4" s="735">
        <v>7</v>
      </c>
      <c r="AV4" s="735">
        <v>8</v>
      </c>
      <c r="AW4" s="735">
        <v>9</v>
      </c>
      <c r="AX4" s="1090"/>
    </row>
    <row r="5" spans="1:50" ht="45" customHeight="1">
      <c r="A5" s="1526" t="s">
        <v>221</v>
      </c>
      <c r="B5" s="726" t="s">
        <v>222</v>
      </c>
      <c r="C5" s="727" t="s">
        <v>211</v>
      </c>
      <c r="D5" s="1521" t="s">
        <v>223</v>
      </c>
      <c r="E5" s="1521"/>
      <c r="F5" s="1521"/>
      <c r="G5" s="1522"/>
      <c r="H5" s="1073" t="s">
        <v>225</v>
      </c>
      <c r="I5" s="1072" t="s">
        <v>872</v>
      </c>
      <c r="J5" s="711" t="s">
        <v>872</v>
      </c>
      <c r="K5" s="711" t="s">
        <v>873</v>
      </c>
      <c r="L5" s="712" t="s">
        <v>872</v>
      </c>
      <c r="M5" s="712" t="s">
        <v>872</v>
      </c>
      <c r="N5" s="712" t="s">
        <v>873</v>
      </c>
      <c r="O5" s="712" t="s">
        <v>872</v>
      </c>
      <c r="P5" s="712" t="s">
        <v>872</v>
      </c>
      <c r="Q5" s="712" t="s">
        <v>872</v>
      </c>
      <c r="R5" s="712" t="s">
        <v>872</v>
      </c>
      <c r="S5" s="712" t="s">
        <v>872</v>
      </c>
      <c r="T5" s="800" t="s">
        <v>872</v>
      </c>
      <c r="U5" s="1026" t="s">
        <v>872</v>
      </c>
      <c r="V5" s="971" t="s">
        <v>872</v>
      </c>
      <c r="W5" s="971" t="s">
        <v>873</v>
      </c>
      <c r="X5" s="971" t="s">
        <v>872</v>
      </c>
      <c r="Y5" s="712" t="s">
        <v>872</v>
      </c>
      <c r="Z5" s="1016" t="s">
        <v>873</v>
      </c>
      <c r="AA5" s="971" t="s">
        <v>872</v>
      </c>
      <c r="AB5" s="971" t="s">
        <v>872</v>
      </c>
      <c r="AC5" s="971" t="s">
        <v>872</v>
      </c>
      <c r="AD5" s="712" t="s">
        <v>872</v>
      </c>
      <c r="AE5" s="1016" t="s">
        <v>872</v>
      </c>
      <c r="AF5" s="800" t="s">
        <v>872</v>
      </c>
      <c r="AG5" s="710" t="s">
        <v>872</v>
      </c>
      <c r="AH5" s="712" t="s">
        <v>873</v>
      </c>
      <c r="AI5" s="971" t="s">
        <v>872</v>
      </c>
      <c r="AJ5" s="971" t="s">
        <v>873</v>
      </c>
      <c r="AK5" s="971" t="s">
        <v>873</v>
      </c>
      <c r="AL5" s="971" t="s">
        <v>872</v>
      </c>
      <c r="AM5" s="971" t="s">
        <v>872</v>
      </c>
      <c r="AN5" s="971" t="s">
        <v>872</v>
      </c>
      <c r="AO5" s="971" t="s">
        <v>872</v>
      </c>
      <c r="AP5" s="971" t="s">
        <v>872</v>
      </c>
      <c r="AQ5" s="971" t="s">
        <v>872</v>
      </c>
      <c r="AR5" s="771" t="s">
        <v>872</v>
      </c>
      <c r="AT5" s="971" t="s">
        <v>872</v>
      </c>
      <c r="AU5" s="971" t="s">
        <v>872</v>
      </c>
      <c r="AV5" s="971" t="s">
        <v>872</v>
      </c>
      <c r="AW5" s="971" t="s">
        <v>872</v>
      </c>
      <c r="AX5" s="1091"/>
    </row>
    <row r="6" spans="1:50" ht="45" customHeight="1">
      <c r="A6" s="1527"/>
      <c r="B6" s="1545" t="s">
        <v>571</v>
      </c>
      <c r="C6" s="728" t="s">
        <v>213</v>
      </c>
      <c r="D6" s="1523" t="s">
        <v>572</v>
      </c>
      <c r="E6" s="1524"/>
      <c r="F6" s="1524"/>
      <c r="G6" s="1525"/>
      <c r="H6" s="1071" t="s">
        <v>225</v>
      </c>
      <c r="I6" s="1066" t="s">
        <v>873</v>
      </c>
      <c r="J6" s="705" t="s">
        <v>872</v>
      </c>
      <c r="K6" s="705" t="s">
        <v>872</v>
      </c>
      <c r="L6" s="706" t="s">
        <v>872</v>
      </c>
      <c r="M6" s="706" t="s">
        <v>873</v>
      </c>
      <c r="N6" s="706" t="s">
        <v>872</v>
      </c>
      <c r="O6" s="706" t="s">
        <v>873</v>
      </c>
      <c r="P6" s="706" t="s">
        <v>872</v>
      </c>
      <c r="Q6" s="706" t="s">
        <v>873</v>
      </c>
      <c r="R6" s="706" t="s">
        <v>872</v>
      </c>
      <c r="S6" s="706" t="s">
        <v>872</v>
      </c>
      <c r="T6" s="798" t="s">
        <v>872</v>
      </c>
      <c r="U6" s="1027" t="s">
        <v>873</v>
      </c>
      <c r="V6" s="972" t="s">
        <v>872</v>
      </c>
      <c r="W6" s="972" t="s">
        <v>872</v>
      </c>
      <c r="X6" s="972" t="s">
        <v>872</v>
      </c>
      <c r="Y6" s="706" t="s">
        <v>873</v>
      </c>
      <c r="Z6" s="1017" t="s">
        <v>872</v>
      </c>
      <c r="AA6" s="972" t="s">
        <v>873</v>
      </c>
      <c r="AB6" s="972" t="s">
        <v>872</v>
      </c>
      <c r="AC6" s="972" t="s">
        <v>873</v>
      </c>
      <c r="AD6" s="706" t="s">
        <v>872</v>
      </c>
      <c r="AE6" s="1017" t="s">
        <v>872</v>
      </c>
      <c r="AF6" s="798" t="s">
        <v>872</v>
      </c>
      <c r="AG6" s="704" t="s">
        <v>873</v>
      </c>
      <c r="AH6" s="706" t="s">
        <v>873</v>
      </c>
      <c r="AI6" s="972" t="s">
        <v>872</v>
      </c>
      <c r="AJ6" s="972" t="s">
        <v>873</v>
      </c>
      <c r="AK6" s="972" t="s">
        <v>873</v>
      </c>
      <c r="AL6" s="972" t="s">
        <v>873</v>
      </c>
      <c r="AM6" s="972" t="s">
        <v>873</v>
      </c>
      <c r="AN6" s="972" t="s">
        <v>873</v>
      </c>
      <c r="AO6" s="972" t="s">
        <v>873</v>
      </c>
      <c r="AP6" s="972" t="s">
        <v>872</v>
      </c>
      <c r="AQ6" s="972" t="s">
        <v>872</v>
      </c>
      <c r="AR6" s="780" t="s">
        <v>872</v>
      </c>
      <c r="AT6" s="972" t="s">
        <v>873</v>
      </c>
      <c r="AU6" s="972" t="s">
        <v>873</v>
      </c>
      <c r="AV6" s="972" t="s">
        <v>873</v>
      </c>
      <c r="AW6" s="972" t="s">
        <v>873</v>
      </c>
      <c r="AX6" s="1091"/>
    </row>
    <row r="7" spans="1:50" ht="45" customHeight="1">
      <c r="A7" s="1527"/>
      <c r="B7" s="1546"/>
      <c r="C7" s="729" t="s">
        <v>214</v>
      </c>
      <c r="D7" s="1531" t="s">
        <v>479</v>
      </c>
      <c r="E7" s="1532"/>
      <c r="F7" s="1532"/>
      <c r="G7" s="1533"/>
      <c r="H7" s="1068" t="s">
        <v>225</v>
      </c>
      <c r="I7" s="1065" t="s">
        <v>872</v>
      </c>
      <c r="J7" s="708" t="s">
        <v>872</v>
      </c>
      <c r="K7" s="708" t="s">
        <v>873</v>
      </c>
      <c r="L7" s="709" t="s">
        <v>873</v>
      </c>
      <c r="M7" s="709" t="s">
        <v>873</v>
      </c>
      <c r="N7" s="709" t="s">
        <v>873</v>
      </c>
      <c r="O7" s="709" t="s">
        <v>873</v>
      </c>
      <c r="P7" s="709" t="s">
        <v>872</v>
      </c>
      <c r="Q7" s="709" t="s">
        <v>873</v>
      </c>
      <c r="R7" s="709" t="s">
        <v>873</v>
      </c>
      <c r="S7" s="709" t="s">
        <v>873</v>
      </c>
      <c r="T7" s="799" t="s">
        <v>873</v>
      </c>
      <c r="U7" s="1028" t="s">
        <v>872</v>
      </c>
      <c r="V7" s="973" t="s">
        <v>872</v>
      </c>
      <c r="W7" s="973" t="s">
        <v>873</v>
      </c>
      <c r="X7" s="973" t="s">
        <v>873</v>
      </c>
      <c r="Y7" s="709" t="s">
        <v>873</v>
      </c>
      <c r="Z7" s="1018" t="s">
        <v>873</v>
      </c>
      <c r="AA7" s="973" t="s">
        <v>873</v>
      </c>
      <c r="AB7" s="973" t="s">
        <v>872</v>
      </c>
      <c r="AC7" s="973" t="s">
        <v>873</v>
      </c>
      <c r="AD7" s="709" t="s">
        <v>873</v>
      </c>
      <c r="AE7" s="1018" t="s">
        <v>873</v>
      </c>
      <c r="AF7" s="799" t="s">
        <v>873</v>
      </c>
      <c r="AG7" s="707" t="s">
        <v>873</v>
      </c>
      <c r="AH7" s="709" t="s">
        <v>873</v>
      </c>
      <c r="AI7" s="973" t="s">
        <v>873</v>
      </c>
      <c r="AJ7" s="973" t="s">
        <v>872</v>
      </c>
      <c r="AK7" s="973" t="s">
        <v>872</v>
      </c>
      <c r="AL7" s="973" t="s">
        <v>873</v>
      </c>
      <c r="AM7" s="973" t="s">
        <v>874</v>
      </c>
      <c r="AN7" s="973" t="s">
        <v>873</v>
      </c>
      <c r="AO7" s="973" t="s">
        <v>873</v>
      </c>
      <c r="AP7" s="973" t="s">
        <v>872</v>
      </c>
      <c r="AQ7" s="973" t="s">
        <v>872</v>
      </c>
      <c r="AR7" s="770" t="s">
        <v>872</v>
      </c>
      <c r="AT7" s="973" t="s">
        <v>873</v>
      </c>
      <c r="AU7" s="973" t="s">
        <v>874</v>
      </c>
      <c r="AV7" s="973" t="s">
        <v>873</v>
      </c>
      <c r="AW7" s="973" t="s">
        <v>873</v>
      </c>
      <c r="AX7" s="1091"/>
    </row>
    <row r="8" spans="1:50" ht="45" customHeight="1">
      <c r="A8" s="1527"/>
      <c r="B8" s="730" t="s">
        <v>15</v>
      </c>
      <c r="C8" s="731" t="s">
        <v>215</v>
      </c>
      <c r="D8" s="1536" t="s">
        <v>226</v>
      </c>
      <c r="E8" s="1536"/>
      <c r="F8" s="1536"/>
      <c r="G8" s="1537"/>
      <c r="H8" s="1074" t="s">
        <v>225</v>
      </c>
      <c r="I8" s="1072" t="s">
        <v>872</v>
      </c>
      <c r="J8" s="711" t="s">
        <v>872</v>
      </c>
      <c r="K8" s="711" t="s">
        <v>872</v>
      </c>
      <c r="L8" s="712" t="s">
        <v>872</v>
      </c>
      <c r="M8" s="712" t="s">
        <v>872</v>
      </c>
      <c r="N8" s="712" t="s">
        <v>873</v>
      </c>
      <c r="O8" s="712" t="s">
        <v>873</v>
      </c>
      <c r="P8" s="712" t="s">
        <v>873</v>
      </c>
      <c r="Q8" s="712" t="s">
        <v>873</v>
      </c>
      <c r="R8" s="712" t="s">
        <v>873</v>
      </c>
      <c r="S8" s="712" t="s">
        <v>872</v>
      </c>
      <c r="T8" s="800" t="s">
        <v>872</v>
      </c>
      <c r="U8" s="1026" t="s">
        <v>872</v>
      </c>
      <c r="V8" s="971" t="s">
        <v>872</v>
      </c>
      <c r="W8" s="971" t="s">
        <v>872</v>
      </c>
      <c r="X8" s="971" t="s">
        <v>872</v>
      </c>
      <c r="Y8" s="712" t="s">
        <v>872</v>
      </c>
      <c r="Z8" s="1016" t="s">
        <v>873</v>
      </c>
      <c r="AA8" s="971" t="s">
        <v>873</v>
      </c>
      <c r="AB8" s="971" t="s">
        <v>873</v>
      </c>
      <c r="AC8" s="971" t="s">
        <v>873</v>
      </c>
      <c r="AD8" s="712" t="s">
        <v>873</v>
      </c>
      <c r="AE8" s="1016" t="s">
        <v>872</v>
      </c>
      <c r="AF8" s="800" t="s">
        <v>872</v>
      </c>
      <c r="AG8" s="710" t="s">
        <v>872</v>
      </c>
      <c r="AH8" s="712" t="s">
        <v>872</v>
      </c>
      <c r="AI8" s="971" t="s">
        <v>872</v>
      </c>
      <c r="AJ8" s="971" t="s">
        <v>873</v>
      </c>
      <c r="AK8" s="971" t="s">
        <v>873</v>
      </c>
      <c r="AL8" s="971" t="s">
        <v>873</v>
      </c>
      <c r="AM8" s="971" t="s">
        <v>873</v>
      </c>
      <c r="AN8" s="971" t="s">
        <v>872</v>
      </c>
      <c r="AO8" s="971" t="s">
        <v>872</v>
      </c>
      <c r="AP8" s="971" t="s">
        <v>872</v>
      </c>
      <c r="AQ8" s="971" t="s">
        <v>872</v>
      </c>
      <c r="AR8" s="771" t="s">
        <v>872</v>
      </c>
      <c r="AT8" s="971" t="s">
        <v>873</v>
      </c>
      <c r="AU8" s="971" t="s">
        <v>873</v>
      </c>
      <c r="AV8" s="971" t="s">
        <v>872</v>
      </c>
      <c r="AW8" s="971" t="s">
        <v>872</v>
      </c>
      <c r="AX8" s="1091"/>
    </row>
    <row r="9" spans="1:50" ht="45" customHeight="1">
      <c r="A9" s="1527"/>
      <c r="B9" s="730" t="s">
        <v>227</v>
      </c>
      <c r="C9" s="732" t="s">
        <v>216</v>
      </c>
      <c r="D9" s="1540" t="s">
        <v>228</v>
      </c>
      <c r="E9" s="1541"/>
      <c r="F9" s="1541"/>
      <c r="G9" s="1542"/>
      <c r="H9" s="1075" t="s">
        <v>225</v>
      </c>
      <c r="I9" s="1072" t="s">
        <v>872</v>
      </c>
      <c r="J9" s="711" t="s">
        <v>872</v>
      </c>
      <c r="K9" s="711" t="s">
        <v>873</v>
      </c>
      <c r="L9" s="712" t="s">
        <v>873</v>
      </c>
      <c r="M9" s="712" t="s">
        <v>872</v>
      </c>
      <c r="N9" s="712" t="s">
        <v>872</v>
      </c>
      <c r="O9" s="712" t="s">
        <v>873</v>
      </c>
      <c r="P9" s="712" t="s">
        <v>873</v>
      </c>
      <c r="Q9" s="712" t="s">
        <v>872</v>
      </c>
      <c r="R9" s="712" t="s">
        <v>873</v>
      </c>
      <c r="S9" s="712" t="s">
        <v>873</v>
      </c>
      <c r="T9" s="800" t="s">
        <v>873</v>
      </c>
      <c r="U9" s="1026" t="s">
        <v>872</v>
      </c>
      <c r="V9" s="971" t="s">
        <v>872</v>
      </c>
      <c r="W9" s="971" t="s">
        <v>873</v>
      </c>
      <c r="X9" s="971" t="s">
        <v>873</v>
      </c>
      <c r="Y9" s="712" t="s">
        <v>872</v>
      </c>
      <c r="Z9" s="1016" t="s">
        <v>872</v>
      </c>
      <c r="AA9" s="971" t="s">
        <v>873</v>
      </c>
      <c r="AB9" s="971" t="s">
        <v>873</v>
      </c>
      <c r="AC9" s="971" t="s">
        <v>872</v>
      </c>
      <c r="AD9" s="712" t="s">
        <v>873</v>
      </c>
      <c r="AE9" s="1016" t="s">
        <v>873</v>
      </c>
      <c r="AF9" s="800" t="s">
        <v>873</v>
      </c>
      <c r="AG9" s="710" t="s">
        <v>872</v>
      </c>
      <c r="AH9" s="712" t="s">
        <v>873</v>
      </c>
      <c r="AI9" s="971" t="s">
        <v>873</v>
      </c>
      <c r="AJ9" s="971" t="s">
        <v>873</v>
      </c>
      <c r="AK9" s="971" t="s">
        <v>872</v>
      </c>
      <c r="AL9" s="971" t="s">
        <v>872</v>
      </c>
      <c r="AM9" s="971" t="s">
        <v>872</v>
      </c>
      <c r="AN9" s="971" t="s">
        <v>872</v>
      </c>
      <c r="AO9" s="971" t="s">
        <v>872</v>
      </c>
      <c r="AP9" s="971" t="s">
        <v>872</v>
      </c>
      <c r="AQ9" s="971" t="s">
        <v>872</v>
      </c>
      <c r="AR9" s="771" t="s">
        <v>872</v>
      </c>
      <c r="AT9" s="971" t="s">
        <v>872</v>
      </c>
      <c r="AU9" s="971" t="s">
        <v>872</v>
      </c>
      <c r="AV9" s="971" t="s">
        <v>872</v>
      </c>
      <c r="AW9" s="971" t="s">
        <v>872</v>
      </c>
      <c r="AX9" s="1091"/>
    </row>
    <row r="10" spans="1:50" ht="45" customHeight="1">
      <c r="A10" s="1527"/>
      <c r="B10" s="1534" t="s">
        <v>229</v>
      </c>
      <c r="C10" s="728" t="s">
        <v>217</v>
      </c>
      <c r="D10" s="1543" t="s">
        <v>464</v>
      </c>
      <c r="E10" s="1544"/>
      <c r="F10" s="1544"/>
      <c r="G10" s="1544"/>
      <c r="H10" s="1069" t="s">
        <v>469</v>
      </c>
      <c r="I10" s="1066" t="s">
        <v>873</v>
      </c>
      <c r="J10" s="705" t="s">
        <v>872</v>
      </c>
      <c r="K10" s="705" t="s">
        <v>873</v>
      </c>
      <c r="L10" s="706" t="s">
        <v>873</v>
      </c>
      <c r="M10" s="706" t="s">
        <v>872</v>
      </c>
      <c r="N10" s="706" t="s">
        <v>872</v>
      </c>
      <c r="O10" s="706" t="s">
        <v>874</v>
      </c>
      <c r="P10" s="706" t="s">
        <v>872</v>
      </c>
      <c r="Q10" s="706" t="s">
        <v>872</v>
      </c>
      <c r="R10" s="706" t="s">
        <v>873</v>
      </c>
      <c r="S10" s="706" t="s">
        <v>872</v>
      </c>
      <c r="T10" s="798" t="s">
        <v>873</v>
      </c>
      <c r="U10" s="1027" t="s">
        <v>873</v>
      </c>
      <c r="V10" s="972" t="s">
        <v>872</v>
      </c>
      <c r="W10" s="972" t="s">
        <v>873</v>
      </c>
      <c r="X10" s="972" t="s">
        <v>873</v>
      </c>
      <c r="Y10" s="706" t="s">
        <v>872</v>
      </c>
      <c r="Z10" s="1017" t="s">
        <v>872</v>
      </c>
      <c r="AA10" s="972" t="s">
        <v>874</v>
      </c>
      <c r="AB10" s="972" t="s">
        <v>872</v>
      </c>
      <c r="AC10" s="972" t="s">
        <v>872</v>
      </c>
      <c r="AD10" s="706" t="s">
        <v>873</v>
      </c>
      <c r="AE10" s="1017" t="s">
        <v>872</v>
      </c>
      <c r="AF10" s="798" t="s">
        <v>873</v>
      </c>
      <c r="AG10" s="704" t="s">
        <v>873</v>
      </c>
      <c r="AH10" s="706" t="s">
        <v>872</v>
      </c>
      <c r="AI10" s="972" t="s">
        <v>874</v>
      </c>
      <c r="AJ10" s="972" t="s">
        <v>873</v>
      </c>
      <c r="AK10" s="972" t="s">
        <v>872</v>
      </c>
      <c r="AL10" s="972" t="s">
        <v>872</v>
      </c>
      <c r="AM10" s="972" t="s">
        <v>873</v>
      </c>
      <c r="AN10" s="972" t="s">
        <v>873</v>
      </c>
      <c r="AO10" s="972" t="s">
        <v>873</v>
      </c>
      <c r="AP10" s="972" t="s">
        <v>872</v>
      </c>
      <c r="AQ10" s="972" t="s">
        <v>872</v>
      </c>
      <c r="AR10" s="780" t="s">
        <v>872</v>
      </c>
      <c r="AT10" s="972" t="s">
        <v>872</v>
      </c>
      <c r="AU10" s="972" t="s">
        <v>873</v>
      </c>
      <c r="AV10" s="972" t="s">
        <v>873</v>
      </c>
      <c r="AW10" s="972" t="s">
        <v>873</v>
      </c>
      <c r="AX10" s="1091"/>
    </row>
    <row r="11" spans="1:50" ht="45" customHeight="1">
      <c r="A11" s="1527"/>
      <c r="B11" s="1535"/>
      <c r="C11" s="729" t="s">
        <v>218</v>
      </c>
      <c r="D11" s="733" t="s">
        <v>230</v>
      </c>
      <c r="E11" s="817"/>
      <c r="F11" s="818"/>
      <c r="G11" s="733"/>
      <c r="H11" s="1164" t="s">
        <v>741</v>
      </c>
      <c r="I11" s="1065" t="s">
        <v>872</v>
      </c>
      <c r="J11" s="708" t="s">
        <v>872</v>
      </c>
      <c r="K11" s="708" t="s">
        <v>872</v>
      </c>
      <c r="L11" s="709" t="s">
        <v>872</v>
      </c>
      <c r="M11" s="709" t="s">
        <v>872</v>
      </c>
      <c r="N11" s="709" t="s">
        <v>872</v>
      </c>
      <c r="O11" s="709" t="s">
        <v>872</v>
      </c>
      <c r="P11" s="709" t="s">
        <v>873</v>
      </c>
      <c r="Q11" s="709" t="s">
        <v>873</v>
      </c>
      <c r="R11" s="709" t="s">
        <v>873</v>
      </c>
      <c r="S11" s="709" t="s">
        <v>873</v>
      </c>
      <c r="T11" s="799" t="s">
        <v>873</v>
      </c>
      <c r="U11" s="1028" t="s">
        <v>872</v>
      </c>
      <c r="V11" s="709" t="s">
        <v>872</v>
      </c>
      <c r="W11" s="973" t="s">
        <v>872</v>
      </c>
      <c r="X11" s="973" t="s">
        <v>872</v>
      </c>
      <c r="Y11" s="709" t="s">
        <v>872</v>
      </c>
      <c r="Z11" s="709" t="s">
        <v>872</v>
      </c>
      <c r="AA11" s="973" t="s">
        <v>872</v>
      </c>
      <c r="AB11" s="973" t="s">
        <v>873</v>
      </c>
      <c r="AC11" s="973" t="s">
        <v>873</v>
      </c>
      <c r="AD11" s="709" t="s">
        <v>873</v>
      </c>
      <c r="AE11" s="1018" t="s">
        <v>873</v>
      </c>
      <c r="AF11" s="799" t="s">
        <v>873</v>
      </c>
      <c r="AG11" s="707" t="s">
        <v>873</v>
      </c>
      <c r="AH11" s="709" t="s">
        <v>873</v>
      </c>
      <c r="AI11" s="973" t="s">
        <v>873</v>
      </c>
      <c r="AJ11" s="973" t="s">
        <v>873</v>
      </c>
      <c r="AK11" s="973" t="s">
        <v>873</v>
      </c>
      <c r="AL11" s="973" t="s">
        <v>873</v>
      </c>
      <c r="AM11" s="973" t="s">
        <v>873</v>
      </c>
      <c r="AN11" s="973" t="s">
        <v>872</v>
      </c>
      <c r="AO11" s="973" t="s">
        <v>872</v>
      </c>
      <c r="AP11" s="973" t="s">
        <v>872</v>
      </c>
      <c r="AQ11" s="973" t="s">
        <v>872</v>
      </c>
      <c r="AR11" s="770" t="s">
        <v>872</v>
      </c>
      <c r="AT11" s="973" t="s">
        <v>873</v>
      </c>
      <c r="AU11" s="973" t="s">
        <v>873</v>
      </c>
      <c r="AV11" s="973" t="s">
        <v>872</v>
      </c>
      <c r="AW11" s="973" t="s">
        <v>872</v>
      </c>
      <c r="AX11" s="1091"/>
    </row>
    <row r="12" spans="1:50" ht="33.9" customHeight="1">
      <c r="A12" s="1527"/>
      <c r="B12" s="1519" t="s">
        <v>231</v>
      </c>
      <c r="C12" s="1520"/>
      <c r="D12" s="1520"/>
      <c r="E12" s="1520"/>
      <c r="F12" s="1520"/>
      <c r="G12" s="1520"/>
      <c r="H12" s="1520"/>
      <c r="I12" s="833">
        <v>2</v>
      </c>
      <c r="J12" s="826">
        <v>0</v>
      </c>
      <c r="K12" s="826">
        <v>4</v>
      </c>
      <c r="L12" s="825">
        <v>3</v>
      </c>
      <c r="M12" s="825">
        <v>2</v>
      </c>
      <c r="N12" s="825">
        <v>3</v>
      </c>
      <c r="O12" s="825">
        <v>4.5</v>
      </c>
      <c r="P12" s="825">
        <v>3</v>
      </c>
      <c r="Q12" s="825">
        <v>4</v>
      </c>
      <c r="R12" s="825">
        <v>5</v>
      </c>
      <c r="S12" s="825">
        <v>3</v>
      </c>
      <c r="T12" s="827">
        <v>4</v>
      </c>
      <c r="U12" s="1029">
        <v>2</v>
      </c>
      <c r="V12" s="974">
        <v>0</v>
      </c>
      <c r="W12" s="974">
        <v>4</v>
      </c>
      <c r="X12" s="974">
        <v>3</v>
      </c>
      <c r="Y12" s="825">
        <v>2</v>
      </c>
      <c r="Z12" s="1102">
        <v>3</v>
      </c>
      <c r="AA12" s="974">
        <v>4.5</v>
      </c>
      <c r="AB12" s="974">
        <v>3</v>
      </c>
      <c r="AC12" s="974">
        <v>4</v>
      </c>
      <c r="AD12" s="825">
        <v>5</v>
      </c>
      <c r="AE12" s="1019">
        <v>3</v>
      </c>
      <c r="AF12" s="827">
        <v>4</v>
      </c>
      <c r="AG12" s="833">
        <v>4</v>
      </c>
      <c r="AH12" s="825">
        <v>5</v>
      </c>
      <c r="AI12" s="974">
        <v>3.5</v>
      </c>
      <c r="AJ12" s="974">
        <v>6</v>
      </c>
      <c r="AK12" s="974">
        <v>4</v>
      </c>
      <c r="AL12" s="974">
        <v>4</v>
      </c>
      <c r="AM12" s="974">
        <v>4.5</v>
      </c>
      <c r="AN12" s="974">
        <v>3</v>
      </c>
      <c r="AO12" s="974">
        <v>3</v>
      </c>
      <c r="AP12" s="974">
        <v>0</v>
      </c>
      <c r="AQ12" s="974">
        <v>0</v>
      </c>
      <c r="AR12" s="772">
        <v>0</v>
      </c>
      <c r="AT12" s="974">
        <v>4</v>
      </c>
      <c r="AU12" s="974">
        <v>4.5</v>
      </c>
      <c r="AV12" s="974">
        <v>3</v>
      </c>
      <c r="AW12" s="974">
        <v>3</v>
      </c>
      <c r="AX12" s="1091"/>
    </row>
    <row r="13" spans="1:50" ht="33.9" customHeight="1">
      <c r="A13" s="1527"/>
      <c r="B13" s="1517" t="s">
        <v>232</v>
      </c>
      <c r="C13" s="1518"/>
      <c r="D13" s="1518"/>
      <c r="E13" s="1518"/>
      <c r="F13" s="1518"/>
      <c r="G13" s="1518"/>
      <c r="H13" s="1518"/>
      <c r="I13" s="707">
        <v>7</v>
      </c>
      <c r="J13" s="708">
        <v>7</v>
      </c>
      <c r="K13" s="708">
        <v>7</v>
      </c>
      <c r="L13" s="709">
        <v>7</v>
      </c>
      <c r="M13" s="709">
        <v>7</v>
      </c>
      <c r="N13" s="709">
        <v>7</v>
      </c>
      <c r="O13" s="709">
        <v>7</v>
      </c>
      <c r="P13" s="709">
        <v>7</v>
      </c>
      <c r="Q13" s="709">
        <v>7</v>
      </c>
      <c r="R13" s="709">
        <v>7</v>
      </c>
      <c r="S13" s="709">
        <v>7</v>
      </c>
      <c r="T13" s="799">
        <v>7</v>
      </c>
      <c r="U13" s="1028">
        <v>7</v>
      </c>
      <c r="V13" s="973">
        <v>7</v>
      </c>
      <c r="W13" s="973">
        <v>7</v>
      </c>
      <c r="X13" s="973">
        <v>7</v>
      </c>
      <c r="Y13" s="709">
        <v>7</v>
      </c>
      <c r="Z13" s="709">
        <v>7</v>
      </c>
      <c r="AA13" s="973">
        <v>7</v>
      </c>
      <c r="AB13" s="973">
        <v>7</v>
      </c>
      <c r="AC13" s="973">
        <v>7</v>
      </c>
      <c r="AD13" s="709">
        <v>7</v>
      </c>
      <c r="AE13" s="1018">
        <v>7</v>
      </c>
      <c r="AF13" s="799">
        <v>7</v>
      </c>
      <c r="AG13" s="707">
        <v>7</v>
      </c>
      <c r="AH13" s="709">
        <v>7</v>
      </c>
      <c r="AI13" s="973">
        <v>7</v>
      </c>
      <c r="AJ13" s="973">
        <v>7</v>
      </c>
      <c r="AK13" s="973">
        <v>7</v>
      </c>
      <c r="AL13" s="973">
        <v>7</v>
      </c>
      <c r="AM13" s="973">
        <v>7</v>
      </c>
      <c r="AN13" s="973">
        <v>7</v>
      </c>
      <c r="AO13" s="973">
        <v>7</v>
      </c>
      <c r="AP13" s="973">
        <v>7</v>
      </c>
      <c r="AQ13" s="973">
        <v>7</v>
      </c>
      <c r="AR13" s="770">
        <v>7</v>
      </c>
      <c r="AT13" s="973">
        <v>7</v>
      </c>
      <c r="AU13" s="973">
        <v>7</v>
      </c>
      <c r="AV13" s="973">
        <v>7</v>
      </c>
      <c r="AW13" s="973">
        <v>7</v>
      </c>
      <c r="AX13" s="1091"/>
    </row>
    <row r="14" spans="1:50" s="379" customFormat="1" ht="39" customHeight="1" thickBot="1">
      <c r="A14" s="1528"/>
      <c r="B14" s="1538" t="s">
        <v>233</v>
      </c>
      <c r="C14" s="1539"/>
      <c r="D14" s="1539"/>
      <c r="E14" s="1539"/>
      <c r="F14" s="1539"/>
      <c r="G14" s="1539"/>
      <c r="H14" s="1539"/>
      <c r="I14" s="782">
        <v>28.6</v>
      </c>
      <c r="J14" s="747">
        <v>0</v>
      </c>
      <c r="K14" s="747">
        <v>57.1</v>
      </c>
      <c r="L14" s="747">
        <v>42.9</v>
      </c>
      <c r="M14" s="747">
        <v>28.6</v>
      </c>
      <c r="N14" s="747">
        <v>42.9</v>
      </c>
      <c r="O14" s="747">
        <v>64.3</v>
      </c>
      <c r="P14" s="747">
        <v>42.9</v>
      </c>
      <c r="Q14" s="747">
        <v>57.1</v>
      </c>
      <c r="R14" s="747">
        <v>71.400000000000006</v>
      </c>
      <c r="S14" s="747">
        <v>42.9</v>
      </c>
      <c r="T14" s="747">
        <v>57.1</v>
      </c>
      <c r="U14" s="1030">
        <v>28.6</v>
      </c>
      <c r="V14" s="975">
        <v>0</v>
      </c>
      <c r="W14" s="975">
        <v>57.1</v>
      </c>
      <c r="X14" s="975">
        <v>42.9</v>
      </c>
      <c r="Y14" s="747">
        <v>28.6</v>
      </c>
      <c r="Z14" s="747">
        <v>42.9</v>
      </c>
      <c r="AA14" s="975">
        <v>64.3</v>
      </c>
      <c r="AB14" s="975">
        <v>42.9</v>
      </c>
      <c r="AC14" s="975">
        <v>57.1</v>
      </c>
      <c r="AD14" s="747">
        <v>71.400000000000006</v>
      </c>
      <c r="AE14" s="1020">
        <v>42.9</v>
      </c>
      <c r="AF14" s="801">
        <v>57.1</v>
      </c>
      <c r="AG14" s="782">
        <v>57.1</v>
      </c>
      <c r="AH14" s="747">
        <v>71.400000000000006</v>
      </c>
      <c r="AI14" s="975">
        <v>50</v>
      </c>
      <c r="AJ14" s="975">
        <v>85.7</v>
      </c>
      <c r="AK14" s="975">
        <v>57.1</v>
      </c>
      <c r="AL14" s="975">
        <v>57.1</v>
      </c>
      <c r="AM14" s="975">
        <v>64.3</v>
      </c>
      <c r="AN14" s="975">
        <v>42.9</v>
      </c>
      <c r="AO14" s="975">
        <v>42.9</v>
      </c>
      <c r="AP14" s="975">
        <v>0</v>
      </c>
      <c r="AQ14" s="975">
        <v>0</v>
      </c>
      <c r="AR14" s="773">
        <v>0</v>
      </c>
      <c r="AS14"/>
      <c r="AT14" s="975">
        <v>57.1</v>
      </c>
      <c r="AU14" s="975">
        <v>64.3</v>
      </c>
      <c r="AV14" s="975">
        <v>42.9</v>
      </c>
      <c r="AW14" s="975">
        <v>42.9</v>
      </c>
      <c r="AX14" s="1092"/>
    </row>
    <row r="15" spans="1:50" ht="45" customHeight="1">
      <c r="A15" s="1557" t="s">
        <v>234</v>
      </c>
      <c r="B15" s="1567" t="s">
        <v>235</v>
      </c>
      <c r="C15" s="819" t="s">
        <v>16</v>
      </c>
      <c r="D15" s="1568" t="s">
        <v>236</v>
      </c>
      <c r="E15" s="1568"/>
      <c r="F15" s="1568"/>
      <c r="G15" s="1569"/>
      <c r="H15" s="820" t="s">
        <v>237</v>
      </c>
      <c r="I15" s="713" t="s">
        <v>872</v>
      </c>
      <c r="J15" s="714" t="s">
        <v>872</v>
      </c>
      <c r="K15" s="714" t="s">
        <v>872</v>
      </c>
      <c r="L15" s="715" t="s">
        <v>872</v>
      </c>
      <c r="M15" s="715" t="s">
        <v>872</v>
      </c>
      <c r="N15" s="715" t="s">
        <v>872</v>
      </c>
      <c r="O15" s="715" t="s">
        <v>872</v>
      </c>
      <c r="P15" s="715" t="s">
        <v>872</v>
      </c>
      <c r="Q15" s="715" t="s">
        <v>874</v>
      </c>
      <c r="R15" s="715" t="s">
        <v>872</v>
      </c>
      <c r="S15" s="715" t="s">
        <v>874</v>
      </c>
      <c r="T15" s="822" t="s">
        <v>872</v>
      </c>
      <c r="U15" s="1031" t="s">
        <v>872</v>
      </c>
      <c r="V15" s="976" t="s">
        <v>872</v>
      </c>
      <c r="W15" s="976" t="s">
        <v>872</v>
      </c>
      <c r="X15" s="976" t="s">
        <v>872</v>
      </c>
      <c r="Y15" s="715" t="s">
        <v>872</v>
      </c>
      <c r="Z15" s="715" t="s">
        <v>872</v>
      </c>
      <c r="AA15" s="976" t="s">
        <v>872</v>
      </c>
      <c r="AB15" s="1052" t="s">
        <v>872</v>
      </c>
      <c r="AC15" s="976" t="s">
        <v>874</v>
      </c>
      <c r="AD15" s="715" t="s">
        <v>872</v>
      </c>
      <c r="AE15" s="1021" t="s">
        <v>874</v>
      </c>
      <c r="AF15" s="822" t="s">
        <v>872</v>
      </c>
      <c r="AG15" s="713" t="s">
        <v>872</v>
      </c>
      <c r="AH15" s="715" t="s">
        <v>872</v>
      </c>
      <c r="AI15" s="976" t="s">
        <v>873</v>
      </c>
      <c r="AJ15" s="976" t="s">
        <v>873</v>
      </c>
      <c r="AK15" s="976" t="s">
        <v>873</v>
      </c>
      <c r="AL15" s="976" t="s">
        <v>873</v>
      </c>
      <c r="AM15" s="976" t="s">
        <v>872</v>
      </c>
      <c r="AN15" s="976" t="s">
        <v>872</v>
      </c>
      <c r="AO15" s="976" t="s">
        <v>872</v>
      </c>
      <c r="AP15" s="976" t="s">
        <v>872</v>
      </c>
      <c r="AQ15" s="976" t="s">
        <v>872</v>
      </c>
      <c r="AR15" s="794" t="s">
        <v>872</v>
      </c>
      <c r="AT15" s="976" t="s">
        <v>873</v>
      </c>
      <c r="AU15" s="976" t="s">
        <v>872</v>
      </c>
      <c r="AV15" s="976" t="s">
        <v>872</v>
      </c>
      <c r="AW15" s="976" t="s">
        <v>872</v>
      </c>
      <c r="AX15" s="1091"/>
    </row>
    <row r="16" spans="1:50" ht="45" customHeight="1">
      <c r="A16" s="1527"/>
      <c r="B16" s="1567"/>
      <c r="C16" s="746" t="s">
        <v>568</v>
      </c>
      <c r="D16" s="1505" t="s">
        <v>463</v>
      </c>
      <c r="E16" s="1506"/>
      <c r="F16" s="1506"/>
      <c r="G16" s="1507"/>
      <c r="H16" s="739" t="s">
        <v>241</v>
      </c>
      <c r="I16" s="716" t="s">
        <v>872</v>
      </c>
      <c r="J16" s="717" t="s">
        <v>872</v>
      </c>
      <c r="K16" s="717" t="s">
        <v>873</v>
      </c>
      <c r="L16" s="718" t="s">
        <v>872</v>
      </c>
      <c r="M16" s="718" t="s">
        <v>873</v>
      </c>
      <c r="N16" s="718" t="s">
        <v>873</v>
      </c>
      <c r="O16" s="718" t="s">
        <v>873</v>
      </c>
      <c r="P16" s="718" t="s">
        <v>873</v>
      </c>
      <c r="Q16" s="718" t="s">
        <v>873</v>
      </c>
      <c r="R16" s="718" t="s">
        <v>873</v>
      </c>
      <c r="S16" s="718" t="s">
        <v>873</v>
      </c>
      <c r="T16" s="823" t="s">
        <v>873</v>
      </c>
      <c r="U16" s="1032" t="s">
        <v>872</v>
      </c>
      <c r="V16" s="977" t="s">
        <v>872</v>
      </c>
      <c r="W16" s="977" t="s">
        <v>873</v>
      </c>
      <c r="X16" s="977" t="s">
        <v>872</v>
      </c>
      <c r="Y16" s="718" t="s">
        <v>873</v>
      </c>
      <c r="Z16" s="718" t="s">
        <v>873</v>
      </c>
      <c r="AA16" s="977" t="s">
        <v>873</v>
      </c>
      <c r="AB16" s="977" t="s">
        <v>873</v>
      </c>
      <c r="AC16" s="977" t="s">
        <v>873</v>
      </c>
      <c r="AD16" s="718" t="s">
        <v>873</v>
      </c>
      <c r="AE16" s="1022" t="s">
        <v>873</v>
      </c>
      <c r="AF16" s="823" t="s">
        <v>873</v>
      </c>
      <c r="AG16" s="716" t="s">
        <v>873</v>
      </c>
      <c r="AH16" s="718" t="s">
        <v>873</v>
      </c>
      <c r="AI16" s="977" t="s">
        <v>873</v>
      </c>
      <c r="AJ16" s="977" t="s">
        <v>872</v>
      </c>
      <c r="AK16" s="977" t="s">
        <v>873</v>
      </c>
      <c r="AL16" s="977" t="s">
        <v>872</v>
      </c>
      <c r="AM16" s="977" t="s">
        <v>872</v>
      </c>
      <c r="AN16" s="977" t="s">
        <v>872</v>
      </c>
      <c r="AO16" s="977" t="s">
        <v>872</v>
      </c>
      <c r="AP16" s="977" t="s">
        <v>872</v>
      </c>
      <c r="AQ16" s="977" t="s">
        <v>872</v>
      </c>
      <c r="AR16" s="795" t="s">
        <v>872</v>
      </c>
      <c r="AT16" s="977" t="s">
        <v>872</v>
      </c>
      <c r="AU16" s="977" t="s">
        <v>872</v>
      </c>
      <c r="AV16" s="977" t="s">
        <v>872</v>
      </c>
      <c r="AW16" s="977" t="s">
        <v>872</v>
      </c>
      <c r="AX16" s="1091"/>
    </row>
    <row r="17" spans="1:50" ht="45" customHeight="1">
      <c r="A17" s="1527"/>
      <c r="B17" s="1548"/>
      <c r="C17" s="743" t="s">
        <v>563</v>
      </c>
      <c r="D17" s="1553" t="s">
        <v>238</v>
      </c>
      <c r="E17" s="1531"/>
      <c r="F17" s="1531"/>
      <c r="G17" s="1554"/>
      <c r="H17" s="729" t="s">
        <v>225</v>
      </c>
      <c r="I17" s="707" t="s">
        <v>872</v>
      </c>
      <c r="J17" s="708" t="s">
        <v>872</v>
      </c>
      <c r="K17" s="708" t="s">
        <v>872</v>
      </c>
      <c r="L17" s="708" t="s">
        <v>872</v>
      </c>
      <c r="M17" s="709" t="s">
        <v>872</v>
      </c>
      <c r="N17" s="709" t="s">
        <v>872</v>
      </c>
      <c r="O17" s="766" t="s">
        <v>872</v>
      </c>
      <c r="P17" s="708" t="s">
        <v>872</v>
      </c>
      <c r="Q17" s="708" t="s">
        <v>872</v>
      </c>
      <c r="R17" s="709" t="s">
        <v>873</v>
      </c>
      <c r="S17" s="709" t="s">
        <v>872</v>
      </c>
      <c r="T17" s="799" t="s">
        <v>872</v>
      </c>
      <c r="U17" s="1028" t="s">
        <v>872</v>
      </c>
      <c r="V17" s="973" t="s">
        <v>872</v>
      </c>
      <c r="W17" s="973" t="s">
        <v>872</v>
      </c>
      <c r="X17" s="973" t="s">
        <v>872</v>
      </c>
      <c r="Y17" s="709" t="s">
        <v>872</v>
      </c>
      <c r="Z17" s="709" t="s">
        <v>872</v>
      </c>
      <c r="AA17" s="973" t="s">
        <v>872</v>
      </c>
      <c r="AB17" s="973" t="s">
        <v>872</v>
      </c>
      <c r="AC17" s="973" t="s">
        <v>872</v>
      </c>
      <c r="AD17" s="709" t="s">
        <v>873</v>
      </c>
      <c r="AE17" s="1018" t="s">
        <v>872</v>
      </c>
      <c r="AF17" s="799" t="s">
        <v>872</v>
      </c>
      <c r="AG17" s="707" t="s">
        <v>873</v>
      </c>
      <c r="AH17" s="709" t="s">
        <v>873</v>
      </c>
      <c r="AI17" s="973" t="s">
        <v>873</v>
      </c>
      <c r="AJ17" s="973" t="s">
        <v>873</v>
      </c>
      <c r="AK17" s="973" t="s">
        <v>873</v>
      </c>
      <c r="AL17" s="973" t="s">
        <v>873</v>
      </c>
      <c r="AM17" s="973" t="s">
        <v>872</v>
      </c>
      <c r="AN17" s="973" t="s">
        <v>872</v>
      </c>
      <c r="AO17" s="973" t="s">
        <v>872</v>
      </c>
      <c r="AP17" s="973" t="s">
        <v>872</v>
      </c>
      <c r="AQ17" s="973" t="s">
        <v>872</v>
      </c>
      <c r="AR17" s="770" t="s">
        <v>872</v>
      </c>
      <c r="AT17" s="973" t="s">
        <v>873</v>
      </c>
      <c r="AU17" s="973" t="s">
        <v>872</v>
      </c>
      <c r="AV17" s="973" t="s">
        <v>872</v>
      </c>
      <c r="AW17" s="973" t="s">
        <v>872</v>
      </c>
      <c r="AX17" s="1091"/>
    </row>
    <row r="18" spans="1:50" ht="45" customHeight="1">
      <c r="A18" s="1527"/>
      <c r="B18" s="1572" t="s">
        <v>224</v>
      </c>
      <c r="C18" s="832" t="s">
        <v>564</v>
      </c>
      <c r="D18" s="1523" t="s">
        <v>506</v>
      </c>
      <c r="E18" s="1524"/>
      <c r="F18" s="1524"/>
      <c r="G18" s="1525"/>
      <c r="H18" s="728" t="s">
        <v>225</v>
      </c>
      <c r="I18" s="704" t="s">
        <v>873</v>
      </c>
      <c r="J18" s="705" t="s">
        <v>873</v>
      </c>
      <c r="K18" s="705" t="s">
        <v>873</v>
      </c>
      <c r="L18" s="706" t="s">
        <v>873</v>
      </c>
      <c r="M18" s="706" t="s">
        <v>872</v>
      </c>
      <c r="N18" s="706" t="s">
        <v>873</v>
      </c>
      <c r="O18" s="706" t="s">
        <v>872</v>
      </c>
      <c r="P18" s="706" t="s">
        <v>872</v>
      </c>
      <c r="Q18" s="706" t="s">
        <v>872</v>
      </c>
      <c r="R18" s="706" t="s">
        <v>873</v>
      </c>
      <c r="S18" s="706" t="s">
        <v>873</v>
      </c>
      <c r="T18" s="798" t="s">
        <v>873</v>
      </c>
      <c r="U18" s="1027" t="s">
        <v>873</v>
      </c>
      <c r="V18" s="972" t="s">
        <v>873</v>
      </c>
      <c r="W18" s="972" t="s">
        <v>873</v>
      </c>
      <c r="X18" s="972" t="s">
        <v>873</v>
      </c>
      <c r="Y18" s="706" t="s">
        <v>872</v>
      </c>
      <c r="Z18" s="706" t="s">
        <v>873</v>
      </c>
      <c r="AA18" s="972" t="s">
        <v>872</v>
      </c>
      <c r="AB18" s="972" t="s">
        <v>872</v>
      </c>
      <c r="AC18" s="972" t="s">
        <v>872</v>
      </c>
      <c r="AD18" s="706" t="s">
        <v>873</v>
      </c>
      <c r="AE18" s="1017" t="s">
        <v>873</v>
      </c>
      <c r="AF18" s="798" t="s">
        <v>873</v>
      </c>
      <c r="AG18" s="704" t="s">
        <v>873</v>
      </c>
      <c r="AH18" s="706" t="s">
        <v>872</v>
      </c>
      <c r="AI18" s="972" t="s">
        <v>873</v>
      </c>
      <c r="AJ18" s="972" t="s">
        <v>872</v>
      </c>
      <c r="AK18" s="972" t="s">
        <v>872</v>
      </c>
      <c r="AL18" s="972" t="s">
        <v>872</v>
      </c>
      <c r="AM18" s="972" t="s">
        <v>872</v>
      </c>
      <c r="AN18" s="972" t="s">
        <v>872</v>
      </c>
      <c r="AO18" s="972" t="s">
        <v>873</v>
      </c>
      <c r="AP18" s="972" t="s">
        <v>872</v>
      </c>
      <c r="AQ18" s="972" t="s">
        <v>872</v>
      </c>
      <c r="AR18" s="780" t="s">
        <v>872</v>
      </c>
      <c r="AT18" s="972" t="s">
        <v>872</v>
      </c>
      <c r="AU18" s="972" t="s">
        <v>872</v>
      </c>
      <c r="AV18" s="972" t="s">
        <v>872</v>
      </c>
      <c r="AW18" s="972" t="s">
        <v>873</v>
      </c>
      <c r="AX18" s="1091"/>
    </row>
    <row r="19" spans="1:50" ht="45" customHeight="1">
      <c r="A19" s="1527"/>
      <c r="B19" s="1567"/>
      <c r="C19" s="746" t="s">
        <v>569</v>
      </c>
      <c r="D19" s="1506" t="s">
        <v>512</v>
      </c>
      <c r="E19" s="1549"/>
      <c r="F19" s="1549"/>
      <c r="G19" s="1550"/>
      <c r="H19" s="880" t="s">
        <v>225</v>
      </c>
      <c r="I19" s="716" t="s">
        <v>872</v>
      </c>
      <c r="J19" s="717" t="s">
        <v>873</v>
      </c>
      <c r="K19" s="717" t="s">
        <v>873</v>
      </c>
      <c r="L19" s="718" t="s">
        <v>873</v>
      </c>
      <c r="M19" s="718" t="s">
        <v>873</v>
      </c>
      <c r="N19" s="718" t="s">
        <v>873</v>
      </c>
      <c r="O19" s="718" t="s">
        <v>873</v>
      </c>
      <c r="P19" s="718" t="s">
        <v>872</v>
      </c>
      <c r="Q19" s="718" t="s">
        <v>872</v>
      </c>
      <c r="R19" s="718" t="s">
        <v>873</v>
      </c>
      <c r="S19" s="718" t="s">
        <v>873</v>
      </c>
      <c r="T19" s="823" t="s">
        <v>873</v>
      </c>
      <c r="U19" s="1032" t="s">
        <v>872</v>
      </c>
      <c r="V19" s="977" t="s">
        <v>873</v>
      </c>
      <c r="W19" s="977" t="s">
        <v>873</v>
      </c>
      <c r="X19" s="977" t="s">
        <v>873</v>
      </c>
      <c r="Y19" s="718" t="s">
        <v>873</v>
      </c>
      <c r="Z19" s="718" t="s">
        <v>873</v>
      </c>
      <c r="AA19" s="977" t="s">
        <v>873</v>
      </c>
      <c r="AB19" s="977" t="s">
        <v>872</v>
      </c>
      <c r="AC19" s="977" t="s">
        <v>872</v>
      </c>
      <c r="AD19" s="718" t="s">
        <v>873</v>
      </c>
      <c r="AE19" s="1022" t="s">
        <v>873</v>
      </c>
      <c r="AF19" s="823" t="s">
        <v>873</v>
      </c>
      <c r="AG19" s="716" t="s">
        <v>873</v>
      </c>
      <c r="AH19" s="718" t="s">
        <v>873</v>
      </c>
      <c r="AI19" s="977" t="s">
        <v>873</v>
      </c>
      <c r="AJ19" s="977" t="s">
        <v>872</v>
      </c>
      <c r="AK19" s="977" t="s">
        <v>873</v>
      </c>
      <c r="AL19" s="977" t="s">
        <v>872</v>
      </c>
      <c r="AM19" s="977" t="s">
        <v>872</v>
      </c>
      <c r="AN19" s="977" t="s">
        <v>872</v>
      </c>
      <c r="AO19" s="977" t="s">
        <v>873</v>
      </c>
      <c r="AP19" s="977" t="s">
        <v>872</v>
      </c>
      <c r="AQ19" s="977" t="s">
        <v>872</v>
      </c>
      <c r="AR19" s="795" t="s">
        <v>872</v>
      </c>
      <c r="AT19" s="977" t="s">
        <v>872</v>
      </c>
      <c r="AU19" s="977" t="s">
        <v>872</v>
      </c>
      <c r="AV19" s="977" t="s">
        <v>872</v>
      </c>
      <c r="AW19" s="977" t="s">
        <v>873</v>
      </c>
      <c r="AX19" s="1091"/>
    </row>
    <row r="20" spans="1:50" ht="45" customHeight="1">
      <c r="A20" s="1527"/>
      <c r="B20" s="1573"/>
      <c r="C20" s="746" t="s">
        <v>570</v>
      </c>
      <c r="D20" s="1506" t="s">
        <v>6</v>
      </c>
      <c r="E20" s="1549"/>
      <c r="F20" s="1549"/>
      <c r="G20" s="1550"/>
      <c r="H20" s="880" t="s">
        <v>225</v>
      </c>
      <c r="I20" s="716" t="s">
        <v>872</v>
      </c>
      <c r="J20" s="717" t="s">
        <v>873</v>
      </c>
      <c r="K20" s="717" t="s">
        <v>873</v>
      </c>
      <c r="L20" s="718" t="s">
        <v>873</v>
      </c>
      <c r="M20" s="718" t="s">
        <v>873</v>
      </c>
      <c r="N20" s="718" t="s">
        <v>873</v>
      </c>
      <c r="O20" s="718" t="s">
        <v>873</v>
      </c>
      <c r="P20" s="718" t="s">
        <v>872</v>
      </c>
      <c r="Q20" s="718" t="s">
        <v>873</v>
      </c>
      <c r="R20" s="718" t="s">
        <v>873</v>
      </c>
      <c r="S20" s="718" t="s">
        <v>873</v>
      </c>
      <c r="T20" s="823" t="s">
        <v>873</v>
      </c>
      <c r="U20" s="1032" t="s">
        <v>872</v>
      </c>
      <c r="V20" s="977" t="s">
        <v>873</v>
      </c>
      <c r="W20" s="977" t="s">
        <v>873</v>
      </c>
      <c r="X20" s="977" t="s">
        <v>873</v>
      </c>
      <c r="Y20" s="718" t="s">
        <v>873</v>
      </c>
      <c r="Z20" s="718" t="s">
        <v>873</v>
      </c>
      <c r="AA20" s="977" t="s">
        <v>873</v>
      </c>
      <c r="AB20" s="977" t="s">
        <v>872</v>
      </c>
      <c r="AC20" s="977" t="s">
        <v>873</v>
      </c>
      <c r="AD20" s="709" t="s">
        <v>873</v>
      </c>
      <c r="AE20" s="1022" t="s">
        <v>873</v>
      </c>
      <c r="AF20" s="823" t="s">
        <v>873</v>
      </c>
      <c r="AG20" s="716" t="s">
        <v>873</v>
      </c>
      <c r="AH20" s="718" t="s">
        <v>873</v>
      </c>
      <c r="AI20" s="977" t="s">
        <v>872</v>
      </c>
      <c r="AJ20" s="977" t="s">
        <v>872</v>
      </c>
      <c r="AK20" s="977" t="s">
        <v>872</v>
      </c>
      <c r="AL20" s="977" t="s">
        <v>872</v>
      </c>
      <c r="AM20" s="977" t="s">
        <v>872</v>
      </c>
      <c r="AN20" s="977" t="s">
        <v>873</v>
      </c>
      <c r="AO20" s="977" t="s">
        <v>873</v>
      </c>
      <c r="AP20" s="973" t="s">
        <v>872</v>
      </c>
      <c r="AQ20" s="977" t="s">
        <v>872</v>
      </c>
      <c r="AR20" s="795" t="s">
        <v>872</v>
      </c>
      <c r="AT20" s="977" t="s">
        <v>872</v>
      </c>
      <c r="AU20" s="977" t="s">
        <v>872</v>
      </c>
      <c r="AV20" s="977" t="s">
        <v>873</v>
      </c>
      <c r="AW20" s="977" t="s">
        <v>873</v>
      </c>
      <c r="AX20" s="1091"/>
    </row>
    <row r="21" spans="1:50" ht="45" customHeight="1">
      <c r="A21" s="1527"/>
      <c r="B21" s="745" t="s">
        <v>240</v>
      </c>
      <c r="C21" s="744" t="s">
        <v>82</v>
      </c>
      <c r="D21" s="1541" t="s">
        <v>515</v>
      </c>
      <c r="E21" s="1570"/>
      <c r="F21" s="1570"/>
      <c r="G21" s="1571"/>
      <c r="H21" s="750" t="s">
        <v>241</v>
      </c>
      <c r="I21" s="710" t="s">
        <v>872</v>
      </c>
      <c r="J21" s="711" t="s">
        <v>873</v>
      </c>
      <c r="K21" s="711" t="s">
        <v>873</v>
      </c>
      <c r="L21" s="711" t="s">
        <v>873</v>
      </c>
      <c r="M21" s="712" t="s">
        <v>873</v>
      </c>
      <c r="N21" s="712" t="s">
        <v>873</v>
      </c>
      <c r="O21" s="765" t="s">
        <v>873</v>
      </c>
      <c r="P21" s="712" t="s">
        <v>873</v>
      </c>
      <c r="Q21" s="712" t="s">
        <v>872</v>
      </c>
      <c r="R21" s="712" t="s">
        <v>873</v>
      </c>
      <c r="S21" s="712" t="s">
        <v>873</v>
      </c>
      <c r="T21" s="800" t="s">
        <v>873</v>
      </c>
      <c r="U21" s="1026" t="s">
        <v>872</v>
      </c>
      <c r="V21" s="971" t="s">
        <v>873</v>
      </c>
      <c r="W21" s="971" t="s">
        <v>873</v>
      </c>
      <c r="X21" s="971" t="s">
        <v>873</v>
      </c>
      <c r="Y21" s="712" t="s">
        <v>873</v>
      </c>
      <c r="Z21" s="712" t="s">
        <v>873</v>
      </c>
      <c r="AA21" s="971" t="s">
        <v>873</v>
      </c>
      <c r="AB21" s="971" t="s">
        <v>873</v>
      </c>
      <c r="AC21" s="971" t="s">
        <v>872</v>
      </c>
      <c r="AD21" s="712" t="s">
        <v>873</v>
      </c>
      <c r="AE21" s="1016" t="s">
        <v>873</v>
      </c>
      <c r="AF21" s="800" t="s">
        <v>873</v>
      </c>
      <c r="AG21" s="710" t="s">
        <v>873</v>
      </c>
      <c r="AH21" s="712" t="s">
        <v>873</v>
      </c>
      <c r="AI21" s="971" t="s">
        <v>872</v>
      </c>
      <c r="AJ21" s="971" t="s">
        <v>872</v>
      </c>
      <c r="AK21" s="971" t="s">
        <v>872</v>
      </c>
      <c r="AL21" s="971" t="s">
        <v>872</v>
      </c>
      <c r="AM21" s="971" t="s">
        <v>872</v>
      </c>
      <c r="AN21" s="971" t="s">
        <v>872</v>
      </c>
      <c r="AO21" s="971" t="s">
        <v>873</v>
      </c>
      <c r="AP21" s="971" t="s">
        <v>872</v>
      </c>
      <c r="AQ21" s="971" t="s">
        <v>872</v>
      </c>
      <c r="AR21" s="771" t="s">
        <v>872</v>
      </c>
      <c r="AT21" s="971" t="s">
        <v>872</v>
      </c>
      <c r="AU21" s="971" t="s">
        <v>872</v>
      </c>
      <c r="AV21" s="971" t="s">
        <v>872</v>
      </c>
      <c r="AW21" s="971" t="s">
        <v>873</v>
      </c>
      <c r="AX21" s="1091"/>
    </row>
    <row r="22" spans="1:50" ht="45" customHeight="1">
      <c r="A22" s="1527"/>
      <c r="B22" s="742" t="s">
        <v>507</v>
      </c>
      <c r="C22" s="744" t="s">
        <v>647</v>
      </c>
      <c r="D22" s="1540" t="s">
        <v>482</v>
      </c>
      <c r="E22" s="1541"/>
      <c r="F22" s="1541"/>
      <c r="G22" s="1542"/>
      <c r="H22" s="732" t="s">
        <v>225</v>
      </c>
      <c r="I22" s="710" t="s">
        <v>872</v>
      </c>
      <c r="J22" s="711" t="s">
        <v>873</v>
      </c>
      <c r="K22" s="711" t="s">
        <v>872</v>
      </c>
      <c r="L22" s="712" t="s">
        <v>873</v>
      </c>
      <c r="M22" s="712" t="s">
        <v>873</v>
      </c>
      <c r="N22" s="712" t="s">
        <v>873</v>
      </c>
      <c r="O22" s="712" t="s">
        <v>872</v>
      </c>
      <c r="P22" s="712" t="s">
        <v>872</v>
      </c>
      <c r="Q22" s="712" t="s">
        <v>873</v>
      </c>
      <c r="R22" s="712" t="s">
        <v>872</v>
      </c>
      <c r="S22" s="712" t="s">
        <v>872</v>
      </c>
      <c r="T22" s="800" t="s">
        <v>873</v>
      </c>
      <c r="U22" s="1026" t="s">
        <v>872</v>
      </c>
      <c r="V22" s="971" t="s">
        <v>873</v>
      </c>
      <c r="W22" s="971" t="s">
        <v>872</v>
      </c>
      <c r="X22" s="971" t="s">
        <v>873</v>
      </c>
      <c r="Y22" s="712" t="s">
        <v>873</v>
      </c>
      <c r="Z22" s="1103" t="s">
        <v>873</v>
      </c>
      <c r="AA22" s="971" t="s">
        <v>872</v>
      </c>
      <c r="AB22" s="971" t="s">
        <v>872</v>
      </c>
      <c r="AC22" s="971" t="s">
        <v>873</v>
      </c>
      <c r="AD22" s="712" t="s">
        <v>872</v>
      </c>
      <c r="AE22" s="1016" t="s">
        <v>872</v>
      </c>
      <c r="AF22" s="800" t="s">
        <v>873</v>
      </c>
      <c r="AG22" s="710" t="s">
        <v>873</v>
      </c>
      <c r="AH22" s="712" t="s">
        <v>872</v>
      </c>
      <c r="AI22" s="971" t="s">
        <v>873</v>
      </c>
      <c r="AJ22" s="971" t="s">
        <v>872</v>
      </c>
      <c r="AK22" s="971" t="s">
        <v>872</v>
      </c>
      <c r="AL22" s="971" t="s">
        <v>872</v>
      </c>
      <c r="AM22" s="971" t="s">
        <v>872</v>
      </c>
      <c r="AN22" s="971" t="s">
        <v>872</v>
      </c>
      <c r="AO22" s="971" t="s">
        <v>872</v>
      </c>
      <c r="AP22" s="971" t="s">
        <v>872</v>
      </c>
      <c r="AQ22" s="971" t="s">
        <v>872</v>
      </c>
      <c r="AR22" s="771" t="s">
        <v>872</v>
      </c>
      <c r="AT22" s="971" t="s">
        <v>872</v>
      </c>
      <c r="AU22" s="971" t="s">
        <v>872</v>
      </c>
      <c r="AV22" s="971" t="s">
        <v>872</v>
      </c>
      <c r="AW22" s="971" t="s">
        <v>872</v>
      </c>
      <c r="AX22" s="1091"/>
    </row>
    <row r="23" spans="1:50" ht="33.9" customHeight="1">
      <c r="A23" s="1527"/>
      <c r="B23" s="1558" t="s">
        <v>231</v>
      </c>
      <c r="C23" s="1559"/>
      <c r="D23" s="1559"/>
      <c r="E23" s="1559"/>
      <c r="F23" s="1559"/>
      <c r="G23" s="1559"/>
      <c r="H23" s="1559"/>
      <c r="I23" s="1067">
        <v>1</v>
      </c>
      <c r="J23" s="826">
        <v>5</v>
      </c>
      <c r="K23" s="826">
        <v>5</v>
      </c>
      <c r="L23" s="825">
        <v>5</v>
      </c>
      <c r="M23" s="825">
        <v>5</v>
      </c>
      <c r="N23" s="825">
        <v>6</v>
      </c>
      <c r="O23" s="825">
        <v>4</v>
      </c>
      <c r="P23" s="825">
        <v>2</v>
      </c>
      <c r="Q23" s="825">
        <v>3.5</v>
      </c>
      <c r="R23" s="825">
        <v>6</v>
      </c>
      <c r="S23" s="825">
        <v>5.5</v>
      </c>
      <c r="T23" s="827">
        <v>6</v>
      </c>
      <c r="U23" s="1029">
        <v>1</v>
      </c>
      <c r="V23" s="974">
        <v>5</v>
      </c>
      <c r="W23" s="974">
        <v>5</v>
      </c>
      <c r="X23" s="974">
        <v>5</v>
      </c>
      <c r="Y23" s="825">
        <v>5</v>
      </c>
      <c r="Z23" s="1019">
        <v>6</v>
      </c>
      <c r="AA23" s="974">
        <v>4</v>
      </c>
      <c r="AB23" s="974">
        <v>2</v>
      </c>
      <c r="AC23" s="974">
        <v>3.5</v>
      </c>
      <c r="AD23" s="825">
        <v>6</v>
      </c>
      <c r="AE23" s="1019">
        <v>5.5</v>
      </c>
      <c r="AF23" s="827">
        <v>6</v>
      </c>
      <c r="AG23" s="833">
        <v>7</v>
      </c>
      <c r="AH23" s="825">
        <v>5</v>
      </c>
      <c r="AI23" s="974">
        <v>6</v>
      </c>
      <c r="AJ23" s="974">
        <v>2</v>
      </c>
      <c r="AK23" s="974">
        <v>4</v>
      </c>
      <c r="AL23" s="974">
        <v>2</v>
      </c>
      <c r="AM23" s="974">
        <v>0</v>
      </c>
      <c r="AN23" s="974">
        <v>1</v>
      </c>
      <c r="AO23" s="974">
        <v>4</v>
      </c>
      <c r="AP23" s="974">
        <v>0</v>
      </c>
      <c r="AQ23" s="974">
        <v>0</v>
      </c>
      <c r="AR23" s="772">
        <v>0</v>
      </c>
      <c r="AT23" s="974">
        <v>2</v>
      </c>
      <c r="AU23" s="974">
        <v>0</v>
      </c>
      <c r="AV23" s="974">
        <v>1</v>
      </c>
      <c r="AW23" s="974">
        <v>4</v>
      </c>
      <c r="AX23" s="1091"/>
    </row>
    <row r="24" spans="1:50" ht="33.9" customHeight="1">
      <c r="A24" s="1565"/>
      <c r="B24" s="1560" t="s">
        <v>232</v>
      </c>
      <c r="C24" s="1561"/>
      <c r="D24" s="1561"/>
      <c r="E24" s="1561"/>
      <c r="F24" s="1561"/>
      <c r="G24" s="1561"/>
      <c r="H24" s="1561"/>
      <c r="I24" s="1065">
        <v>8</v>
      </c>
      <c r="J24" s="708">
        <v>8</v>
      </c>
      <c r="K24" s="821">
        <v>8</v>
      </c>
      <c r="L24" s="709">
        <v>8</v>
      </c>
      <c r="M24" s="709">
        <v>8</v>
      </c>
      <c r="N24" s="709">
        <v>8</v>
      </c>
      <c r="O24" s="709">
        <v>8</v>
      </c>
      <c r="P24" s="709">
        <v>8</v>
      </c>
      <c r="Q24" s="709">
        <v>8</v>
      </c>
      <c r="R24" s="709">
        <v>8</v>
      </c>
      <c r="S24" s="709">
        <v>8</v>
      </c>
      <c r="T24" s="799">
        <v>8</v>
      </c>
      <c r="U24" s="1028">
        <v>8</v>
      </c>
      <c r="V24" s="709">
        <v>8</v>
      </c>
      <c r="W24" s="973">
        <v>8</v>
      </c>
      <c r="X24" s="973">
        <v>8</v>
      </c>
      <c r="Y24" s="709">
        <v>8</v>
      </c>
      <c r="Z24" s="1018">
        <v>8</v>
      </c>
      <c r="AA24" s="973">
        <v>8</v>
      </c>
      <c r="AB24" s="973">
        <v>8</v>
      </c>
      <c r="AC24" s="973">
        <v>8</v>
      </c>
      <c r="AD24" s="709">
        <v>8</v>
      </c>
      <c r="AE24" s="1018">
        <v>8</v>
      </c>
      <c r="AF24" s="799">
        <v>8</v>
      </c>
      <c r="AG24" s="707">
        <v>8</v>
      </c>
      <c r="AH24" s="709">
        <v>8</v>
      </c>
      <c r="AI24" s="973">
        <v>8</v>
      </c>
      <c r="AJ24" s="973">
        <v>8</v>
      </c>
      <c r="AK24" s="973">
        <v>8</v>
      </c>
      <c r="AL24" s="973">
        <v>8</v>
      </c>
      <c r="AM24" s="973">
        <v>8</v>
      </c>
      <c r="AN24" s="973">
        <v>8</v>
      </c>
      <c r="AO24" s="973">
        <v>8</v>
      </c>
      <c r="AP24" s="973">
        <v>8</v>
      </c>
      <c r="AQ24" s="973">
        <v>8</v>
      </c>
      <c r="AR24" s="770">
        <v>8</v>
      </c>
      <c r="AT24" s="973">
        <v>8</v>
      </c>
      <c r="AU24" s="973">
        <v>8</v>
      </c>
      <c r="AV24" s="973">
        <v>8</v>
      </c>
      <c r="AW24" s="973">
        <v>8</v>
      </c>
      <c r="AX24" s="1091"/>
    </row>
    <row r="25" spans="1:50" s="379" customFormat="1" ht="39" customHeight="1" thickBot="1">
      <c r="A25" s="1566"/>
      <c r="B25" s="1538" t="s">
        <v>242</v>
      </c>
      <c r="C25" s="1539"/>
      <c r="D25" s="1539"/>
      <c r="E25" s="1539"/>
      <c r="F25" s="1539"/>
      <c r="G25" s="1539"/>
      <c r="H25" s="1539"/>
      <c r="I25" s="981">
        <v>12.5</v>
      </c>
      <c r="J25" s="952">
        <v>62.5</v>
      </c>
      <c r="K25" s="952">
        <v>62.5</v>
      </c>
      <c r="L25" s="748">
        <v>62.5</v>
      </c>
      <c r="M25" s="748">
        <v>62.5</v>
      </c>
      <c r="N25" s="748">
        <v>75</v>
      </c>
      <c r="O25" s="748">
        <v>50</v>
      </c>
      <c r="P25" s="748">
        <v>25</v>
      </c>
      <c r="Q25" s="748">
        <v>43.8</v>
      </c>
      <c r="R25" s="748">
        <v>75</v>
      </c>
      <c r="S25" s="748">
        <v>68.8</v>
      </c>
      <c r="T25" s="824">
        <v>75</v>
      </c>
      <c r="U25" s="1033">
        <v>12.5</v>
      </c>
      <c r="V25" s="1012">
        <v>62.5</v>
      </c>
      <c r="W25" s="985">
        <v>62.5</v>
      </c>
      <c r="X25" s="1012">
        <v>62.5</v>
      </c>
      <c r="Y25" s="747">
        <v>62.5</v>
      </c>
      <c r="Z25" s="952">
        <v>75</v>
      </c>
      <c r="AA25" s="985">
        <v>50</v>
      </c>
      <c r="AB25" s="985">
        <v>25</v>
      </c>
      <c r="AC25" s="985">
        <v>43.8</v>
      </c>
      <c r="AD25" s="952">
        <v>75</v>
      </c>
      <c r="AE25" s="1047">
        <v>68.8</v>
      </c>
      <c r="AF25" s="1099">
        <v>75</v>
      </c>
      <c r="AG25" s="1063">
        <v>87.5</v>
      </c>
      <c r="AH25" s="952">
        <v>62.5</v>
      </c>
      <c r="AI25" s="985">
        <v>75</v>
      </c>
      <c r="AJ25" s="1012">
        <v>25</v>
      </c>
      <c r="AK25" s="1012">
        <v>50</v>
      </c>
      <c r="AL25" s="985">
        <v>25</v>
      </c>
      <c r="AM25" s="985">
        <v>0</v>
      </c>
      <c r="AN25" s="985">
        <v>12.5</v>
      </c>
      <c r="AO25" s="985">
        <v>50</v>
      </c>
      <c r="AP25" s="985">
        <v>0</v>
      </c>
      <c r="AQ25" s="985">
        <v>0</v>
      </c>
      <c r="AR25" s="786">
        <v>0</v>
      </c>
      <c r="AS25"/>
      <c r="AT25" s="1012">
        <v>25</v>
      </c>
      <c r="AU25" s="1012">
        <v>0</v>
      </c>
      <c r="AV25" s="1012">
        <v>12.5</v>
      </c>
      <c r="AW25" s="1012">
        <v>50</v>
      </c>
      <c r="AX25" s="1092"/>
    </row>
    <row r="26" spans="1:50" ht="45" customHeight="1">
      <c r="A26" s="1557" t="s">
        <v>243</v>
      </c>
      <c r="B26" s="1547" t="s">
        <v>222</v>
      </c>
      <c r="C26" s="741" t="s">
        <v>16</v>
      </c>
      <c r="D26" s="1562" t="s">
        <v>244</v>
      </c>
      <c r="E26" s="1563"/>
      <c r="F26" s="1563"/>
      <c r="G26" s="1564"/>
      <c r="H26" s="738" t="s">
        <v>225</v>
      </c>
      <c r="I26" s="802" t="s">
        <v>873</v>
      </c>
      <c r="J26" s="828" t="s">
        <v>873</v>
      </c>
      <c r="K26" s="828" t="s">
        <v>872</v>
      </c>
      <c r="L26" s="828" t="s">
        <v>872</v>
      </c>
      <c r="M26" s="829" t="s">
        <v>872</v>
      </c>
      <c r="N26" s="829" t="s">
        <v>873</v>
      </c>
      <c r="O26" s="829" t="s">
        <v>873</v>
      </c>
      <c r="P26" s="829" t="s">
        <v>873</v>
      </c>
      <c r="Q26" s="829" t="s">
        <v>873</v>
      </c>
      <c r="R26" s="829" t="s">
        <v>873</v>
      </c>
      <c r="S26" s="829" t="s">
        <v>873</v>
      </c>
      <c r="T26" s="830" t="s">
        <v>873</v>
      </c>
      <c r="U26" s="1034" t="s">
        <v>873</v>
      </c>
      <c r="V26" s="978" t="s">
        <v>873</v>
      </c>
      <c r="W26" s="978" t="s">
        <v>872</v>
      </c>
      <c r="X26" s="978" t="s">
        <v>872</v>
      </c>
      <c r="Y26" s="829" t="s">
        <v>872</v>
      </c>
      <c r="Z26" s="829" t="s">
        <v>873</v>
      </c>
      <c r="AA26" s="978" t="s">
        <v>873</v>
      </c>
      <c r="AB26" s="978" t="s">
        <v>873</v>
      </c>
      <c r="AC26" s="976" t="s">
        <v>873</v>
      </c>
      <c r="AD26" s="829" t="s">
        <v>873</v>
      </c>
      <c r="AE26" s="1023" t="s">
        <v>873</v>
      </c>
      <c r="AF26" s="830" t="s">
        <v>873</v>
      </c>
      <c r="AG26" s="802" t="s">
        <v>873</v>
      </c>
      <c r="AH26" s="829" t="s">
        <v>873</v>
      </c>
      <c r="AI26" s="978" t="s">
        <v>872</v>
      </c>
      <c r="AJ26" s="978" t="s">
        <v>872</v>
      </c>
      <c r="AK26" s="978" t="s">
        <v>872</v>
      </c>
      <c r="AL26" s="978" t="s">
        <v>872</v>
      </c>
      <c r="AM26" s="978" t="s">
        <v>872</v>
      </c>
      <c r="AN26" s="978" t="s">
        <v>872</v>
      </c>
      <c r="AO26" s="976" t="s">
        <v>872</v>
      </c>
      <c r="AP26" s="978" t="s">
        <v>872</v>
      </c>
      <c r="AQ26" s="978" t="s">
        <v>872</v>
      </c>
      <c r="AR26" s="955" t="s">
        <v>872</v>
      </c>
      <c r="AT26" s="978" t="s">
        <v>872</v>
      </c>
      <c r="AU26" s="978" t="s">
        <v>872</v>
      </c>
      <c r="AV26" s="978" t="s">
        <v>872</v>
      </c>
      <c r="AW26" s="978" t="s">
        <v>872</v>
      </c>
      <c r="AX26" s="1091"/>
    </row>
    <row r="27" spans="1:50" ht="45" customHeight="1">
      <c r="A27" s="1527"/>
      <c r="B27" s="1548"/>
      <c r="C27" s="743" t="s">
        <v>17</v>
      </c>
      <c r="D27" s="1553" t="s">
        <v>630</v>
      </c>
      <c r="E27" s="1531"/>
      <c r="F27" s="1531"/>
      <c r="G27" s="1554"/>
      <c r="H27" s="956" t="s">
        <v>241</v>
      </c>
      <c r="I27" s="707" t="s">
        <v>873</v>
      </c>
      <c r="J27" s="708" t="s">
        <v>872</v>
      </c>
      <c r="K27" s="708" t="s">
        <v>872</v>
      </c>
      <c r="L27" s="709" t="s">
        <v>872</v>
      </c>
      <c r="M27" s="709" t="s">
        <v>872</v>
      </c>
      <c r="N27" s="709" t="s">
        <v>872</v>
      </c>
      <c r="O27" s="709" t="s">
        <v>872</v>
      </c>
      <c r="P27" s="709" t="s">
        <v>873</v>
      </c>
      <c r="Q27" s="709" t="s">
        <v>873</v>
      </c>
      <c r="R27" s="709" t="s">
        <v>873</v>
      </c>
      <c r="S27" s="709" t="s">
        <v>873</v>
      </c>
      <c r="T27" s="799" t="s">
        <v>873</v>
      </c>
      <c r="U27" s="1028" t="s">
        <v>873</v>
      </c>
      <c r="V27" s="973" t="s">
        <v>872</v>
      </c>
      <c r="W27" s="973" t="s">
        <v>872</v>
      </c>
      <c r="X27" s="973" t="s">
        <v>872</v>
      </c>
      <c r="Y27" s="709" t="s">
        <v>872</v>
      </c>
      <c r="Z27" s="709" t="s">
        <v>872</v>
      </c>
      <c r="AA27" s="973" t="s">
        <v>872</v>
      </c>
      <c r="AB27" s="973" t="s">
        <v>873</v>
      </c>
      <c r="AC27" s="973" t="s">
        <v>873</v>
      </c>
      <c r="AD27" s="709" t="s">
        <v>873</v>
      </c>
      <c r="AE27" s="1018" t="s">
        <v>873</v>
      </c>
      <c r="AF27" s="799" t="s">
        <v>873</v>
      </c>
      <c r="AG27" s="707" t="s">
        <v>872</v>
      </c>
      <c r="AH27" s="709" t="s">
        <v>873</v>
      </c>
      <c r="AI27" s="973" t="s">
        <v>872</v>
      </c>
      <c r="AJ27" s="973" t="s">
        <v>872</v>
      </c>
      <c r="AK27" s="973" t="s">
        <v>873</v>
      </c>
      <c r="AL27" s="973" t="s">
        <v>873</v>
      </c>
      <c r="AM27" s="973" t="s">
        <v>873</v>
      </c>
      <c r="AN27" s="973" t="s">
        <v>872</v>
      </c>
      <c r="AO27" s="973" t="s">
        <v>872</v>
      </c>
      <c r="AP27" s="973" t="s">
        <v>872</v>
      </c>
      <c r="AQ27" s="973" t="s">
        <v>872</v>
      </c>
      <c r="AR27" s="770" t="s">
        <v>872</v>
      </c>
      <c r="AT27" s="973" t="s">
        <v>873</v>
      </c>
      <c r="AU27" s="973" t="s">
        <v>873</v>
      </c>
      <c r="AV27" s="973" t="s">
        <v>872</v>
      </c>
      <c r="AW27" s="973" t="s">
        <v>872</v>
      </c>
      <c r="AX27" s="1091"/>
    </row>
    <row r="28" spans="1:50" ht="45" customHeight="1">
      <c r="A28" s="1527"/>
      <c r="B28" s="954" t="s">
        <v>224</v>
      </c>
      <c r="C28" s="832" t="s">
        <v>78</v>
      </c>
      <c r="D28" s="1523" t="s">
        <v>245</v>
      </c>
      <c r="E28" s="1524"/>
      <c r="F28" s="1524"/>
      <c r="G28" s="1525"/>
      <c r="H28" s="728" t="s">
        <v>225</v>
      </c>
      <c r="I28" s="704" t="s">
        <v>872</v>
      </c>
      <c r="J28" s="705" t="s">
        <v>873</v>
      </c>
      <c r="K28" s="705" t="s">
        <v>873</v>
      </c>
      <c r="L28" s="706" t="s">
        <v>873</v>
      </c>
      <c r="M28" s="706" t="s">
        <v>872</v>
      </c>
      <c r="N28" s="706" t="s">
        <v>873</v>
      </c>
      <c r="O28" s="706" t="s">
        <v>872</v>
      </c>
      <c r="P28" s="706" t="s">
        <v>872</v>
      </c>
      <c r="Q28" s="706" t="s">
        <v>872</v>
      </c>
      <c r="R28" s="706" t="s">
        <v>873</v>
      </c>
      <c r="S28" s="706" t="s">
        <v>873</v>
      </c>
      <c r="T28" s="798" t="s">
        <v>873</v>
      </c>
      <c r="U28" s="1027" t="s">
        <v>872</v>
      </c>
      <c r="V28" s="972" t="s">
        <v>873</v>
      </c>
      <c r="W28" s="979" t="s">
        <v>873</v>
      </c>
      <c r="X28" s="979" t="s">
        <v>873</v>
      </c>
      <c r="Y28" s="1049" t="s">
        <v>872</v>
      </c>
      <c r="Z28" s="1049" t="s">
        <v>873</v>
      </c>
      <c r="AA28" s="979" t="s">
        <v>872</v>
      </c>
      <c r="AB28" s="971" t="s">
        <v>872</v>
      </c>
      <c r="AC28" s="979" t="s">
        <v>872</v>
      </c>
      <c r="AD28" s="1049" t="s">
        <v>873</v>
      </c>
      <c r="AE28" s="793" t="s">
        <v>873</v>
      </c>
      <c r="AF28" s="1100" t="s">
        <v>873</v>
      </c>
      <c r="AG28" s="704" t="s">
        <v>873</v>
      </c>
      <c r="AH28" s="1049" t="s">
        <v>873</v>
      </c>
      <c r="AI28" s="979" t="s">
        <v>873</v>
      </c>
      <c r="AJ28" s="979" t="s">
        <v>872</v>
      </c>
      <c r="AK28" s="979" t="s">
        <v>872</v>
      </c>
      <c r="AL28" s="979" t="s">
        <v>872</v>
      </c>
      <c r="AM28" s="979" t="s">
        <v>872</v>
      </c>
      <c r="AN28" s="971" t="s">
        <v>872</v>
      </c>
      <c r="AO28" s="979" t="s">
        <v>873</v>
      </c>
      <c r="AP28" s="979" t="s">
        <v>872</v>
      </c>
      <c r="AQ28" s="979" t="s">
        <v>872</v>
      </c>
      <c r="AR28" s="774" t="s">
        <v>872</v>
      </c>
      <c r="AT28" s="979" t="s">
        <v>872</v>
      </c>
      <c r="AU28" s="979" t="s">
        <v>872</v>
      </c>
      <c r="AV28" s="979" t="s">
        <v>872</v>
      </c>
      <c r="AW28" s="979" t="s">
        <v>873</v>
      </c>
      <c r="AX28" s="1091"/>
    </row>
    <row r="29" spans="1:50" ht="45" customHeight="1">
      <c r="A29" s="1527"/>
      <c r="B29" s="1551" t="s">
        <v>239</v>
      </c>
      <c r="C29" s="832" t="s">
        <v>564</v>
      </c>
      <c r="D29" s="1523" t="s">
        <v>640</v>
      </c>
      <c r="E29" s="1524"/>
      <c r="F29" s="1524"/>
      <c r="G29" s="1525"/>
      <c r="H29" s="728" t="s">
        <v>471</v>
      </c>
      <c r="I29" s="704" t="s">
        <v>872</v>
      </c>
      <c r="J29" s="705" t="s">
        <v>872</v>
      </c>
      <c r="K29" s="705" t="s">
        <v>873</v>
      </c>
      <c r="L29" s="706" t="s">
        <v>872</v>
      </c>
      <c r="M29" s="706" t="s">
        <v>872</v>
      </c>
      <c r="N29" s="706" t="s">
        <v>873</v>
      </c>
      <c r="O29" s="706" t="s">
        <v>872</v>
      </c>
      <c r="P29" s="706" t="s">
        <v>872</v>
      </c>
      <c r="Q29" s="706" t="s">
        <v>873</v>
      </c>
      <c r="R29" s="706" t="s">
        <v>872</v>
      </c>
      <c r="S29" s="706" t="s">
        <v>872</v>
      </c>
      <c r="T29" s="798" t="s">
        <v>873</v>
      </c>
      <c r="U29" s="1027" t="s">
        <v>872</v>
      </c>
      <c r="V29" s="972" t="s">
        <v>872</v>
      </c>
      <c r="W29" s="972" t="s">
        <v>873</v>
      </c>
      <c r="X29" s="972" t="s">
        <v>872</v>
      </c>
      <c r="Y29" s="706" t="s">
        <v>872</v>
      </c>
      <c r="Z29" s="706" t="s">
        <v>873</v>
      </c>
      <c r="AA29" s="972" t="s">
        <v>872</v>
      </c>
      <c r="AB29" s="972" t="s">
        <v>872</v>
      </c>
      <c r="AC29" s="972" t="s">
        <v>873</v>
      </c>
      <c r="AD29" s="706" t="s">
        <v>872</v>
      </c>
      <c r="AE29" s="1017" t="s">
        <v>872</v>
      </c>
      <c r="AF29" s="798" t="s">
        <v>873</v>
      </c>
      <c r="AG29" s="704" t="s">
        <v>872</v>
      </c>
      <c r="AH29" s="706" t="s">
        <v>873</v>
      </c>
      <c r="AI29" s="972" t="s">
        <v>873</v>
      </c>
      <c r="AJ29" s="972" t="s">
        <v>872</v>
      </c>
      <c r="AK29" s="972" t="s">
        <v>872</v>
      </c>
      <c r="AL29" s="972" t="s">
        <v>872</v>
      </c>
      <c r="AM29" s="972" t="s">
        <v>873</v>
      </c>
      <c r="AN29" s="972" t="s">
        <v>872</v>
      </c>
      <c r="AO29" s="972" t="s">
        <v>872</v>
      </c>
      <c r="AP29" s="972" t="s">
        <v>872</v>
      </c>
      <c r="AQ29" s="972" t="s">
        <v>872</v>
      </c>
      <c r="AR29" s="780" t="s">
        <v>872</v>
      </c>
      <c r="AT29" s="972" t="s">
        <v>872</v>
      </c>
      <c r="AU29" s="972" t="s">
        <v>873</v>
      </c>
      <c r="AV29" s="972" t="s">
        <v>872</v>
      </c>
      <c r="AW29" s="972" t="s">
        <v>872</v>
      </c>
      <c r="AX29" s="1091"/>
    </row>
    <row r="30" spans="1:50" ht="45" customHeight="1">
      <c r="A30" s="1527"/>
      <c r="B30" s="1552"/>
      <c r="C30" s="743" t="s">
        <v>565</v>
      </c>
      <c r="D30" s="1553" t="s">
        <v>505</v>
      </c>
      <c r="E30" s="1532"/>
      <c r="F30" s="1532"/>
      <c r="G30" s="1533"/>
      <c r="H30" s="729" t="s">
        <v>225</v>
      </c>
      <c r="I30" s="707" t="s">
        <v>872</v>
      </c>
      <c r="J30" s="708" t="s">
        <v>872</v>
      </c>
      <c r="K30" s="708" t="s">
        <v>872</v>
      </c>
      <c r="L30" s="709" t="s">
        <v>872</v>
      </c>
      <c r="M30" s="709" t="s">
        <v>872</v>
      </c>
      <c r="N30" s="709" t="s">
        <v>873</v>
      </c>
      <c r="O30" s="709" t="s">
        <v>872</v>
      </c>
      <c r="P30" s="709" t="s">
        <v>873</v>
      </c>
      <c r="Q30" s="709" t="s">
        <v>873</v>
      </c>
      <c r="R30" s="709" t="s">
        <v>873</v>
      </c>
      <c r="S30" s="709" t="s">
        <v>873</v>
      </c>
      <c r="T30" s="799" t="s">
        <v>873</v>
      </c>
      <c r="U30" s="1028" t="s">
        <v>872</v>
      </c>
      <c r="V30" s="973" t="s">
        <v>872</v>
      </c>
      <c r="W30" s="973" t="s">
        <v>872</v>
      </c>
      <c r="X30" s="973" t="s">
        <v>872</v>
      </c>
      <c r="Y30" s="709" t="s">
        <v>872</v>
      </c>
      <c r="Z30" s="709" t="s">
        <v>873</v>
      </c>
      <c r="AA30" s="973" t="s">
        <v>872</v>
      </c>
      <c r="AB30" s="973" t="s">
        <v>873</v>
      </c>
      <c r="AC30" s="973" t="s">
        <v>873</v>
      </c>
      <c r="AD30" s="709" t="s">
        <v>873</v>
      </c>
      <c r="AE30" s="1018" t="s">
        <v>873</v>
      </c>
      <c r="AF30" s="799" t="s">
        <v>873</v>
      </c>
      <c r="AG30" s="707" t="s">
        <v>872</v>
      </c>
      <c r="AH30" s="709" t="s">
        <v>872</v>
      </c>
      <c r="AI30" s="973" t="s">
        <v>872</v>
      </c>
      <c r="AJ30" s="973" t="s">
        <v>872</v>
      </c>
      <c r="AK30" s="973" t="s">
        <v>872</v>
      </c>
      <c r="AL30" s="973" t="s">
        <v>872</v>
      </c>
      <c r="AM30" s="973" t="s">
        <v>873</v>
      </c>
      <c r="AN30" s="973" t="s">
        <v>872</v>
      </c>
      <c r="AO30" s="973" t="s">
        <v>873</v>
      </c>
      <c r="AP30" s="973" t="s">
        <v>872</v>
      </c>
      <c r="AQ30" s="973" t="s">
        <v>872</v>
      </c>
      <c r="AR30" s="770" t="s">
        <v>872</v>
      </c>
      <c r="AT30" s="973" t="s">
        <v>872</v>
      </c>
      <c r="AU30" s="973" t="s">
        <v>873</v>
      </c>
      <c r="AV30" s="973" t="s">
        <v>872</v>
      </c>
      <c r="AW30" s="973" t="s">
        <v>873</v>
      </c>
      <c r="AX30" s="1091"/>
    </row>
    <row r="31" spans="1:50" ht="45" customHeight="1">
      <c r="A31" s="1527"/>
      <c r="B31" s="726" t="s">
        <v>246</v>
      </c>
      <c r="C31" s="744" t="s">
        <v>566</v>
      </c>
      <c r="D31" s="1540" t="s">
        <v>247</v>
      </c>
      <c r="E31" s="1541"/>
      <c r="F31" s="1541"/>
      <c r="G31" s="1542"/>
      <c r="H31" s="732" t="s">
        <v>471</v>
      </c>
      <c r="I31" s="710" t="s">
        <v>872</v>
      </c>
      <c r="J31" s="711" t="s">
        <v>872</v>
      </c>
      <c r="K31" s="711" t="s">
        <v>872</v>
      </c>
      <c r="L31" s="712" t="s">
        <v>872</v>
      </c>
      <c r="M31" s="712" t="s">
        <v>873</v>
      </c>
      <c r="N31" s="712" t="s">
        <v>873</v>
      </c>
      <c r="O31" s="712" t="s">
        <v>872</v>
      </c>
      <c r="P31" s="712" t="s">
        <v>872</v>
      </c>
      <c r="Q31" s="712" t="s">
        <v>872</v>
      </c>
      <c r="R31" s="712" t="s">
        <v>872</v>
      </c>
      <c r="S31" s="712" t="s">
        <v>872</v>
      </c>
      <c r="T31" s="800" t="s">
        <v>873</v>
      </c>
      <c r="U31" s="1026" t="s">
        <v>872</v>
      </c>
      <c r="V31" s="971" t="s">
        <v>872</v>
      </c>
      <c r="W31" s="971" t="s">
        <v>872</v>
      </c>
      <c r="X31" s="971" t="s">
        <v>872</v>
      </c>
      <c r="Y31" s="712" t="s">
        <v>873</v>
      </c>
      <c r="Z31" s="712" t="s">
        <v>873</v>
      </c>
      <c r="AA31" s="971" t="s">
        <v>872</v>
      </c>
      <c r="AB31" s="971" t="s">
        <v>872</v>
      </c>
      <c r="AC31" s="971" t="s">
        <v>872</v>
      </c>
      <c r="AD31" s="712" t="s">
        <v>872</v>
      </c>
      <c r="AE31" s="1016" t="s">
        <v>872</v>
      </c>
      <c r="AF31" s="800" t="s">
        <v>873</v>
      </c>
      <c r="AG31" s="710" t="s">
        <v>873</v>
      </c>
      <c r="AH31" s="712" t="s">
        <v>873</v>
      </c>
      <c r="AI31" s="971" t="s">
        <v>873</v>
      </c>
      <c r="AJ31" s="971" t="s">
        <v>873</v>
      </c>
      <c r="AK31" s="971" t="s">
        <v>872</v>
      </c>
      <c r="AL31" s="971" t="s">
        <v>872</v>
      </c>
      <c r="AM31" s="971" t="s">
        <v>872</v>
      </c>
      <c r="AN31" s="971" t="s">
        <v>872</v>
      </c>
      <c r="AO31" s="971" t="s">
        <v>873</v>
      </c>
      <c r="AP31" s="971" t="s">
        <v>872</v>
      </c>
      <c r="AQ31" s="971" t="s">
        <v>872</v>
      </c>
      <c r="AR31" s="771" t="s">
        <v>872</v>
      </c>
      <c r="AT31" s="971" t="s">
        <v>872</v>
      </c>
      <c r="AU31" s="971" t="s">
        <v>872</v>
      </c>
      <c r="AV31" s="971" t="s">
        <v>872</v>
      </c>
      <c r="AW31" s="971" t="s">
        <v>873</v>
      </c>
      <c r="AX31" s="1091"/>
    </row>
    <row r="32" spans="1:50" ht="45" customHeight="1">
      <c r="A32" s="1527"/>
      <c r="B32" s="881" t="s">
        <v>240</v>
      </c>
      <c r="C32" s="744" t="s">
        <v>567</v>
      </c>
      <c r="D32" s="1540" t="s">
        <v>409</v>
      </c>
      <c r="E32" s="1574"/>
      <c r="F32" s="1574"/>
      <c r="G32" s="1575"/>
      <c r="H32" s="732" t="s">
        <v>225</v>
      </c>
      <c r="I32" s="710" t="s">
        <v>872</v>
      </c>
      <c r="J32" s="711" t="s">
        <v>873</v>
      </c>
      <c r="K32" s="711" t="s">
        <v>872</v>
      </c>
      <c r="L32" s="712" t="s">
        <v>873</v>
      </c>
      <c r="M32" s="712" t="s">
        <v>873</v>
      </c>
      <c r="N32" s="712" t="s">
        <v>873</v>
      </c>
      <c r="O32" s="712" t="s">
        <v>873</v>
      </c>
      <c r="P32" s="712" t="s">
        <v>873</v>
      </c>
      <c r="Q32" s="712" t="s">
        <v>872</v>
      </c>
      <c r="R32" s="712" t="s">
        <v>872</v>
      </c>
      <c r="S32" s="712" t="s">
        <v>873</v>
      </c>
      <c r="T32" s="800" t="s">
        <v>872</v>
      </c>
      <c r="U32" s="1026" t="s">
        <v>872</v>
      </c>
      <c r="V32" s="971" t="s">
        <v>873</v>
      </c>
      <c r="W32" s="971" t="s">
        <v>872</v>
      </c>
      <c r="X32" s="971" t="s">
        <v>873</v>
      </c>
      <c r="Y32" s="712" t="s">
        <v>873</v>
      </c>
      <c r="Z32" s="712" t="s">
        <v>873</v>
      </c>
      <c r="AA32" s="971" t="s">
        <v>873</v>
      </c>
      <c r="AB32" s="971" t="s">
        <v>873</v>
      </c>
      <c r="AC32" s="971" t="s">
        <v>872</v>
      </c>
      <c r="AD32" s="712" t="s">
        <v>872</v>
      </c>
      <c r="AE32" s="1016" t="s">
        <v>873</v>
      </c>
      <c r="AF32" s="800" t="s">
        <v>872</v>
      </c>
      <c r="AG32" s="710" t="s">
        <v>872</v>
      </c>
      <c r="AH32" s="712" t="s">
        <v>873</v>
      </c>
      <c r="AI32" s="971" t="s">
        <v>872</v>
      </c>
      <c r="AJ32" s="971" t="s">
        <v>873</v>
      </c>
      <c r="AK32" s="971" t="s">
        <v>873</v>
      </c>
      <c r="AL32" s="971" t="s">
        <v>872</v>
      </c>
      <c r="AM32" s="971" t="s">
        <v>872</v>
      </c>
      <c r="AN32" s="971" t="s">
        <v>873</v>
      </c>
      <c r="AO32" s="971" t="s">
        <v>872</v>
      </c>
      <c r="AP32" s="971" t="s">
        <v>872</v>
      </c>
      <c r="AQ32" s="971" t="s">
        <v>872</v>
      </c>
      <c r="AR32" s="771" t="s">
        <v>872</v>
      </c>
      <c r="AT32" s="971" t="s">
        <v>872</v>
      </c>
      <c r="AU32" s="971" t="s">
        <v>872</v>
      </c>
      <c r="AV32" s="971" t="s">
        <v>873</v>
      </c>
      <c r="AW32" s="971" t="s">
        <v>872</v>
      </c>
      <c r="AX32" s="1091"/>
    </row>
    <row r="33" spans="1:50" ht="33.9" customHeight="1">
      <c r="A33" s="1527"/>
      <c r="B33" s="1519" t="s">
        <v>231</v>
      </c>
      <c r="C33" s="1520"/>
      <c r="D33" s="1520"/>
      <c r="E33" s="1520"/>
      <c r="F33" s="1520"/>
      <c r="G33" s="1520"/>
      <c r="H33" s="1520"/>
      <c r="I33" s="833">
        <v>2</v>
      </c>
      <c r="J33" s="826">
        <v>3</v>
      </c>
      <c r="K33" s="826">
        <v>2</v>
      </c>
      <c r="L33" s="825">
        <v>2</v>
      </c>
      <c r="M33" s="825">
        <v>2</v>
      </c>
      <c r="N33" s="825">
        <v>6</v>
      </c>
      <c r="O33" s="825">
        <v>2</v>
      </c>
      <c r="P33" s="825">
        <v>4</v>
      </c>
      <c r="Q33" s="825">
        <v>4</v>
      </c>
      <c r="R33" s="825">
        <v>4</v>
      </c>
      <c r="S33" s="825">
        <v>5</v>
      </c>
      <c r="T33" s="827">
        <v>6</v>
      </c>
      <c r="U33" s="1029">
        <v>2</v>
      </c>
      <c r="V33" s="974">
        <v>3</v>
      </c>
      <c r="W33" s="974">
        <v>2</v>
      </c>
      <c r="X33" s="974">
        <v>2</v>
      </c>
      <c r="Y33" s="825">
        <v>2</v>
      </c>
      <c r="Z33" s="825">
        <v>6</v>
      </c>
      <c r="AA33" s="974">
        <v>2</v>
      </c>
      <c r="AB33" s="974">
        <v>4</v>
      </c>
      <c r="AC33" s="974">
        <v>4</v>
      </c>
      <c r="AD33" s="825">
        <v>4</v>
      </c>
      <c r="AE33" s="1019">
        <v>5</v>
      </c>
      <c r="AF33" s="827">
        <v>6</v>
      </c>
      <c r="AG33" s="833">
        <v>3</v>
      </c>
      <c r="AH33" s="825">
        <v>6</v>
      </c>
      <c r="AI33" s="974">
        <v>3</v>
      </c>
      <c r="AJ33" s="974">
        <v>2</v>
      </c>
      <c r="AK33" s="974">
        <v>2</v>
      </c>
      <c r="AL33" s="974">
        <v>1</v>
      </c>
      <c r="AM33" s="974">
        <v>3</v>
      </c>
      <c r="AN33" s="974">
        <v>1</v>
      </c>
      <c r="AO33" s="974">
        <v>3</v>
      </c>
      <c r="AP33" s="974">
        <v>0</v>
      </c>
      <c r="AQ33" s="974">
        <v>0</v>
      </c>
      <c r="AR33" s="772">
        <v>0</v>
      </c>
      <c r="AT33" s="974">
        <v>1</v>
      </c>
      <c r="AU33" s="974">
        <v>3</v>
      </c>
      <c r="AV33" s="974">
        <v>1</v>
      </c>
      <c r="AW33" s="974">
        <v>3</v>
      </c>
      <c r="AX33" s="1091"/>
    </row>
    <row r="34" spans="1:50" ht="33.9" customHeight="1">
      <c r="A34" s="1527"/>
      <c r="B34" s="1517" t="s">
        <v>232</v>
      </c>
      <c r="C34" s="1518"/>
      <c r="D34" s="1518"/>
      <c r="E34" s="1518"/>
      <c r="F34" s="1518"/>
      <c r="G34" s="1518"/>
      <c r="H34" s="1518"/>
      <c r="I34" s="719">
        <v>7</v>
      </c>
      <c r="J34" s="720">
        <v>7</v>
      </c>
      <c r="K34" s="720">
        <v>7</v>
      </c>
      <c r="L34" s="721">
        <v>7</v>
      </c>
      <c r="M34" s="721">
        <v>7</v>
      </c>
      <c r="N34" s="721">
        <v>7</v>
      </c>
      <c r="O34" s="721">
        <v>7</v>
      </c>
      <c r="P34" s="721">
        <v>7</v>
      </c>
      <c r="Q34" s="721">
        <v>7</v>
      </c>
      <c r="R34" s="721">
        <v>7</v>
      </c>
      <c r="S34" s="721">
        <v>7</v>
      </c>
      <c r="T34" s="831">
        <v>7</v>
      </c>
      <c r="U34" s="1035">
        <v>7</v>
      </c>
      <c r="V34" s="980">
        <v>7</v>
      </c>
      <c r="W34" s="980">
        <v>7</v>
      </c>
      <c r="X34" s="980">
        <v>7</v>
      </c>
      <c r="Y34" s="721">
        <v>7</v>
      </c>
      <c r="Z34" s="721">
        <v>7</v>
      </c>
      <c r="AA34" s="980">
        <v>7</v>
      </c>
      <c r="AB34" s="980">
        <v>7</v>
      </c>
      <c r="AC34" s="980">
        <v>7</v>
      </c>
      <c r="AD34" s="721">
        <v>7</v>
      </c>
      <c r="AE34" s="1024">
        <v>7</v>
      </c>
      <c r="AF34" s="831">
        <v>7</v>
      </c>
      <c r="AG34" s="719">
        <v>7</v>
      </c>
      <c r="AH34" s="721">
        <v>7</v>
      </c>
      <c r="AI34" s="980">
        <v>7</v>
      </c>
      <c r="AJ34" s="980">
        <v>7</v>
      </c>
      <c r="AK34" s="980">
        <v>7</v>
      </c>
      <c r="AL34" s="980">
        <v>7</v>
      </c>
      <c r="AM34" s="980">
        <v>7</v>
      </c>
      <c r="AN34" s="980">
        <v>7</v>
      </c>
      <c r="AO34" s="980">
        <v>7</v>
      </c>
      <c r="AP34" s="980">
        <v>7</v>
      </c>
      <c r="AQ34" s="980">
        <v>7</v>
      </c>
      <c r="AR34" s="1050">
        <v>7</v>
      </c>
      <c r="AT34" s="980">
        <v>7</v>
      </c>
      <c r="AU34" s="980">
        <v>7</v>
      </c>
      <c r="AV34" s="980">
        <v>7</v>
      </c>
      <c r="AW34" s="980">
        <v>7</v>
      </c>
      <c r="AX34" s="1091"/>
    </row>
    <row r="35" spans="1:50" s="379" customFormat="1" ht="39" customHeight="1" thickBot="1">
      <c r="A35" s="1528"/>
      <c r="B35" s="1538" t="s">
        <v>248</v>
      </c>
      <c r="C35" s="1539"/>
      <c r="D35" s="1539"/>
      <c r="E35" s="1539"/>
      <c r="F35" s="1539"/>
      <c r="G35" s="1539"/>
      <c r="H35" s="1539"/>
      <c r="I35" s="782">
        <v>28.6</v>
      </c>
      <c r="J35" s="747">
        <v>42.9</v>
      </c>
      <c r="K35" s="747">
        <v>28.6</v>
      </c>
      <c r="L35" s="747">
        <v>28.6</v>
      </c>
      <c r="M35" s="747">
        <v>28.6</v>
      </c>
      <c r="N35" s="747">
        <v>85.7</v>
      </c>
      <c r="O35" s="747">
        <v>28.6</v>
      </c>
      <c r="P35" s="747">
        <v>57.1</v>
      </c>
      <c r="Q35" s="747">
        <v>57.1</v>
      </c>
      <c r="R35" s="747">
        <v>57.1</v>
      </c>
      <c r="S35" s="747">
        <v>71.400000000000006</v>
      </c>
      <c r="T35" s="801">
        <v>85.7</v>
      </c>
      <c r="U35" s="1030">
        <v>28.6</v>
      </c>
      <c r="V35" s="975">
        <v>42.9</v>
      </c>
      <c r="W35" s="975">
        <v>28.6</v>
      </c>
      <c r="X35" s="975">
        <v>28.6</v>
      </c>
      <c r="Y35" s="747">
        <v>28.6</v>
      </c>
      <c r="Z35" s="1055">
        <v>85.7</v>
      </c>
      <c r="AA35" s="986">
        <v>28.6</v>
      </c>
      <c r="AB35" s="986">
        <v>57.1</v>
      </c>
      <c r="AC35" s="975">
        <v>57.1</v>
      </c>
      <c r="AD35" s="1055">
        <v>57.1</v>
      </c>
      <c r="AE35" s="1048">
        <v>71.400000000000006</v>
      </c>
      <c r="AF35" s="1101">
        <v>85.7</v>
      </c>
      <c r="AG35" s="782">
        <v>42.9</v>
      </c>
      <c r="AH35" s="1055">
        <v>85.7</v>
      </c>
      <c r="AI35" s="975">
        <v>42.9</v>
      </c>
      <c r="AJ35" s="975">
        <v>28.6</v>
      </c>
      <c r="AK35" s="975">
        <v>28.6</v>
      </c>
      <c r="AL35" s="986">
        <v>14.3</v>
      </c>
      <c r="AM35" s="986">
        <v>42.9</v>
      </c>
      <c r="AN35" s="986">
        <v>14.3</v>
      </c>
      <c r="AO35" s="975">
        <v>42.9</v>
      </c>
      <c r="AP35" s="986">
        <v>0</v>
      </c>
      <c r="AQ35" s="986">
        <v>0</v>
      </c>
      <c r="AR35" s="787">
        <v>0</v>
      </c>
      <c r="AS35"/>
      <c r="AT35" s="975">
        <v>14.3</v>
      </c>
      <c r="AU35" s="975">
        <v>42.9</v>
      </c>
      <c r="AV35" s="975">
        <v>14.3</v>
      </c>
      <c r="AW35" s="975">
        <v>42.9</v>
      </c>
      <c r="AX35" s="1092"/>
    </row>
    <row r="36" spans="1:50"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S36"/>
    </row>
    <row r="37" spans="1:50" s="436" customFormat="1" ht="20.100000000000001" customHeight="1">
      <c r="A37" s="722" t="s">
        <v>381</v>
      </c>
      <c r="B37" s="722" t="s">
        <v>562</v>
      </c>
      <c r="C37" s="1556" t="s">
        <v>470</v>
      </c>
      <c r="D37" s="1556"/>
      <c r="E37" s="1556"/>
      <c r="F37" s="1556"/>
      <c r="G37" s="1556"/>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S37"/>
    </row>
    <row r="38" spans="1:50" s="436" customFormat="1" ht="20.100000000000001" customHeight="1">
      <c r="A38" s="722"/>
      <c r="B38" s="722"/>
      <c r="C38" s="1556" t="s">
        <v>74</v>
      </c>
      <c r="D38" s="1556"/>
      <c r="E38" s="1556"/>
      <c r="F38" s="1556"/>
      <c r="G38" s="1556"/>
      <c r="H38" s="1556"/>
      <c r="I38" s="624"/>
      <c r="J38" s="624"/>
      <c r="K38" s="624"/>
      <c r="L38" s="624"/>
      <c r="M38" s="624"/>
      <c r="N38" s="624"/>
      <c r="O38" s="624"/>
      <c r="P38" s="624"/>
      <c r="Q38" s="624"/>
      <c r="R38" s="624"/>
      <c r="S38" s="624"/>
      <c r="T38" s="624"/>
      <c r="U38" s="623"/>
      <c r="V38" s="623"/>
      <c r="W38" s="623"/>
      <c r="X38" s="623"/>
      <c r="Y38" s="623"/>
      <c r="Z38" s="623"/>
      <c r="AA38" s="623"/>
      <c r="AB38" s="623"/>
      <c r="AC38" s="623"/>
      <c r="AD38" s="623"/>
      <c r="AS38"/>
    </row>
    <row r="39" spans="1:50" s="436" customFormat="1" ht="20.100000000000001" customHeight="1">
      <c r="A39" s="723"/>
      <c r="B39" s="724"/>
      <c r="C39" s="1556" t="s">
        <v>75</v>
      </c>
      <c r="D39" s="1556"/>
      <c r="E39" s="1556"/>
      <c r="F39" s="1556"/>
      <c r="G39" s="1556"/>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S39"/>
    </row>
    <row r="40" spans="1:50"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S40"/>
      <c r="AT40" s="723"/>
      <c r="AU40" s="723"/>
      <c r="AV40" s="723"/>
      <c r="AW40" s="723"/>
    </row>
    <row r="41" spans="1:50"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S41"/>
    </row>
    <row r="42" spans="1:50" s="436" customFormat="1" ht="20.100000000000001" customHeight="1">
      <c r="A42" s="723"/>
      <c r="B42" s="724"/>
      <c r="C42" s="1555" t="s">
        <v>597</v>
      </c>
      <c r="D42" s="1555"/>
      <c r="E42" s="1555"/>
      <c r="F42" s="1555"/>
      <c r="G42" s="1555"/>
      <c r="H42" s="1555"/>
      <c r="I42" s="1555"/>
      <c r="J42" s="1555"/>
      <c r="K42" s="1555"/>
      <c r="L42" s="1555"/>
      <c r="M42" s="1555"/>
      <c r="N42" s="1555"/>
      <c r="O42" s="1555"/>
      <c r="P42" s="1555"/>
      <c r="Q42" s="1555"/>
      <c r="R42" s="1555"/>
      <c r="S42" s="1555"/>
      <c r="T42" s="1555"/>
      <c r="U42" s="1555"/>
      <c r="V42" s="1555"/>
      <c r="W42" s="1555"/>
      <c r="X42" s="1555"/>
      <c r="Y42" s="1555"/>
      <c r="Z42" s="1555"/>
      <c r="AA42" s="1555"/>
      <c r="AB42" s="1555"/>
      <c r="AC42" s="1555"/>
      <c r="AD42" s="1555"/>
      <c r="AE42" s="1555"/>
      <c r="AF42" s="1555"/>
      <c r="AG42" s="1555"/>
      <c r="AS42"/>
    </row>
    <row r="43" spans="1:50"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S43"/>
    </row>
    <row r="44" spans="1:50"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S44"/>
    </row>
    <row r="45" spans="1:50"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S45"/>
    </row>
    <row r="46" spans="1:50"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S46"/>
    </row>
    <row r="47" spans="1:50"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S47"/>
    </row>
    <row r="48" spans="1:50" s="436" customFormat="1" ht="20.100000000000001" hidden="1" customHeight="1">
      <c r="A48" s="435"/>
      <c r="H48" s="437"/>
      <c r="AS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I3:T3"/>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zoomScale="90" zoomScaleNormal="100" zoomScaleSheetLayoutView="90" workbookViewId="0">
      <selection activeCell="T13" sqref="T13"/>
    </sheetView>
  </sheetViews>
  <sheetFormatPr defaultColWidth="8" defaultRowHeight="13.2"/>
  <cols>
    <col min="1" max="1" width="8" style="211"/>
    <col min="2" max="14" width="8.109375" style="211" customWidth="1"/>
    <col min="15" max="15" width="8" style="211"/>
    <col min="16" max="16" width="5.4414062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38" activePane="bottomRight" state="frozen"/>
      <selection activeCell="P17" sqref="P17"/>
      <selection pane="topRight" activeCell="P17" sqref="P17"/>
      <selection pane="bottomLeft" activeCell="P17" sqref="P17"/>
      <selection pane="bottomRight" activeCell="C44" sqref="C44:N58"/>
    </sheetView>
  </sheetViews>
  <sheetFormatPr defaultColWidth="8" defaultRowHeight="13.2"/>
  <cols>
    <col min="1" max="2" width="3.33203125" style="270" customWidth="1"/>
    <col min="3" max="14" width="9.6640625" style="271" customWidth="1"/>
    <col min="15" max="15" width="2.109375" customWidth="1"/>
    <col min="45" max="16384" width="8" style="219"/>
  </cols>
  <sheetData>
    <row r="1" spans="1:14" s="270" customFormat="1" ht="24.9" customHeight="1">
      <c r="A1" s="570" t="s">
        <v>202</v>
      </c>
      <c r="B1" s="268"/>
      <c r="C1" s="269"/>
      <c r="D1" s="269"/>
      <c r="E1" s="269"/>
      <c r="F1" s="269"/>
      <c r="G1" s="269"/>
      <c r="H1" s="269"/>
      <c r="I1" s="269"/>
      <c r="J1" s="269"/>
      <c r="K1" s="269"/>
      <c r="L1" s="269"/>
      <c r="M1" s="269"/>
      <c r="N1" s="269"/>
    </row>
    <row r="3" spans="1:14" s="270" customFormat="1" ht="16.2">
      <c r="A3" s="1589" t="s">
        <v>551</v>
      </c>
      <c r="B3" s="1589"/>
      <c r="C3" s="1589"/>
      <c r="D3" s="1589"/>
      <c r="E3" s="269"/>
      <c r="F3" s="269"/>
      <c r="G3" s="269"/>
      <c r="H3" s="269"/>
      <c r="I3" s="269"/>
      <c r="J3" s="269"/>
      <c r="K3" s="269"/>
      <c r="L3" s="269"/>
      <c r="M3" s="269"/>
      <c r="N3" s="269"/>
    </row>
    <row r="4" spans="1:14" s="270" customFormat="1" ht="20.100000000000001" customHeight="1">
      <c r="A4" s="619"/>
      <c r="B4" s="620" t="s">
        <v>189</v>
      </c>
      <c r="C4" s="1590" t="s">
        <v>259</v>
      </c>
      <c r="D4" s="1583" t="s">
        <v>260</v>
      </c>
      <c r="E4" s="1583" t="s">
        <v>261</v>
      </c>
      <c r="F4" s="1583" t="s">
        <v>283</v>
      </c>
      <c r="G4" s="1583" t="s">
        <v>296</v>
      </c>
      <c r="H4" s="1583" t="s">
        <v>297</v>
      </c>
      <c r="I4" s="1583" t="s">
        <v>298</v>
      </c>
      <c r="J4" s="1583" t="s">
        <v>299</v>
      </c>
      <c r="K4" s="1583" t="s">
        <v>300</v>
      </c>
      <c r="L4" s="1583" t="s">
        <v>301</v>
      </c>
      <c r="M4" s="1583" t="s">
        <v>137</v>
      </c>
      <c r="N4" s="1594" t="s">
        <v>138</v>
      </c>
    </row>
    <row r="5" spans="1:14" s="270" customFormat="1" ht="20.100000000000001" customHeight="1">
      <c r="A5" s="621" t="s">
        <v>190</v>
      </c>
      <c r="B5" s="622"/>
      <c r="C5" s="1591"/>
      <c r="D5" s="1584"/>
      <c r="E5" s="1584"/>
      <c r="F5" s="1584"/>
      <c r="G5" s="1584"/>
      <c r="H5" s="1584"/>
      <c r="I5" s="1584"/>
      <c r="J5" s="1584"/>
      <c r="K5" s="1584"/>
      <c r="L5" s="1584"/>
      <c r="M5" s="1584"/>
      <c r="N5" s="1595"/>
    </row>
    <row r="6" spans="1:14" ht="20.100000000000001" customHeight="1">
      <c r="A6" s="1581" t="s">
        <v>677</v>
      </c>
      <c r="B6" s="1582"/>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81" t="s">
        <v>678</v>
      </c>
      <c r="B7" s="1582"/>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81" t="s">
        <v>679</v>
      </c>
      <c r="B8" s="1582"/>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81" t="s">
        <v>680</v>
      </c>
      <c r="B9" s="1582"/>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81" t="s">
        <v>681</v>
      </c>
      <c r="B10" s="1582"/>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81" t="s">
        <v>682</v>
      </c>
      <c r="B11" s="1582"/>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81" t="s">
        <v>683</v>
      </c>
      <c r="B12" s="1582"/>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81" t="s">
        <v>684</v>
      </c>
      <c r="B13" s="1582"/>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81" t="s">
        <v>686</v>
      </c>
      <c r="B14" s="1582"/>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92" t="s">
        <v>685</v>
      </c>
      <c r="B15" s="1593"/>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81" t="s">
        <v>693</v>
      </c>
      <c r="B16" s="1582"/>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85" t="s">
        <v>696</v>
      </c>
      <c r="B17" s="1586"/>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85" t="s">
        <v>707</v>
      </c>
      <c r="B18" s="1586"/>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821</v>
      </c>
      <c r="B20" s="1081"/>
      <c r="C20" s="1064">
        <v>57.142857142857146</v>
      </c>
      <c r="D20" s="969">
        <v>71.428571428571431</v>
      </c>
      <c r="E20" s="969">
        <v>50</v>
      </c>
      <c r="F20" s="969">
        <v>85.714285714285708</v>
      </c>
      <c r="G20" s="969">
        <v>57.142857142857146</v>
      </c>
      <c r="H20" s="969">
        <v>57.142857142857146</v>
      </c>
      <c r="I20" s="969">
        <v>64.285714285714292</v>
      </c>
      <c r="J20" s="969">
        <v>42.857142857142854</v>
      </c>
      <c r="K20" s="969">
        <v>42.857142857142854</v>
      </c>
      <c r="L20" s="969"/>
      <c r="M20" s="969"/>
      <c r="N20" s="1082"/>
    </row>
    <row r="21" spans="1:16" s="270" customFormat="1">
      <c r="C21" s="1094"/>
      <c r="D21" s="1094"/>
      <c r="E21" s="1094"/>
      <c r="F21" s="1094"/>
      <c r="G21" s="1094"/>
      <c r="H21" s="1094"/>
      <c r="I21" s="1094"/>
      <c r="J21" s="1094"/>
      <c r="K21" s="1094"/>
      <c r="L21" s="1094"/>
      <c r="M21" s="1094"/>
      <c r="N21" s="1094"/>
      <c r="P21"/>
    </row>
    <row r="22" spans="1:16" s="270" customFormat="1" ht="16.2">
      <c r="A22" s="1580" t="s">
        <v>552</v>
      </c>
      <c r="B22" s="1580"/>
      <c r="C22" s="1580"/>
      <c r="D22" s="1580"/>
      <c r="E22" s="269"/>
      <c r="F22" s="269"/>
      <c r="G22" s="269"/>
      <c r="H22" s="269"/>
      <c r="I22" s="269"/>
      <c r="J22" s="269"/>
      <c r="K22" s="269"/>
      <c r="L22" s="269"/>
      <c r="M22" s="269"/>
      <c r="N22" s="269"/>
      <c r="P22"/>
    </row>
    <row r="23" spans="1:16" s="270" customFormat="1" ht="20.100000000000001" customHeight="1">
      <c r="A23" s="619"/>
      <c r="B23" s="620" t="s">
        <v>189</v>
      </c>
      <c r="C23" s="1587" t="s">
        <v>259</v>
      </c>
      <c r="D23" s="1578" t="s">
        <v>260</v>
      </c>
      <c r="E23" s="1578" t="s">
        <v>261</v>
      </c>
      <c r="F23" s="1578" t="s">
        <v>283</v>
      </c>
      <c r="G23" s="1578" t="s">
        <v>296</v>
      </c>
      <c r="H23" s="1578" t="s">
        <v>297</v>
      </c>
      <c r="I23" s="1578" t="s">
        <v>298</v>
      </c>
      <c r="J23" s="1578" t="s">
        <v>299</v>
      </c>
      <c r="K23" s="1578" t="s">
        <v>300</v>
      </c>
      <c r="L23" s="1578" t="s">
        <v>301</v>
      </c>
      <c r="M23" s="1578" t="s">
        <v>137</v>
      </c>
      <c r="N23" s="1596" t="s">
        <v>138</v>
      </c>
      <c r="P23"/>
    </row>
    <row r="24" spans="1:16" ht="20.100000000000001" customHeight="1">
      <c r="A24" s="621" t="s">
        <v>190</v>
      </c>
      <c r="B24" s="622"/>
      <c r="C24" s="1588"/>
      <c r="D24" s="1579"/>
      <c r="E24" s="1579"/>
      <c r="F24" s="1579"/>
      <c r="G24" s="1579"/>
      <c r="H24" s="1579"/>
      <c r="I24" s="1579"/>
      <c r="J24" s="1579"/>
      <c r="K24" s="1579"/>
      <c r="L24" s="1579"/>
      <c r="M24" s="1579"/>
      <c r="N24" s="1597"/>
    </row>
    <row r="25" spans="1:16" ht="20.100000000000001" customHeight="1">
      <c r="A25" s="1263" t="s">
        <v>677</v>
      </c>
      <c r="B25" s="1264"/>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63" t="s">
        <v>678</v>
      </c>
      <c r="B26" s="1264"/>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63" t="s">
        <v>679</v>
      </c>
      <c r="B27" s="1264"/>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63" t="s">
        <v>680</v>
      </c>
      <c r="B28" s="1264"/>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63" t="s">
        <v>681</v>
      </c>
      <c r="B29" s="1264"/>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63" t="s">
        <v>682</v>
      </c>
      <c r="B30" s="1264"/>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63" t="s">
        <v>683</v>
      </c>
      <c r="B31" s="1264"/>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63" t="s">
        <v>684</v>
      </c>
      <c r="B32" s="1264"/>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63" t="s">
        <v>686</v>
      </c>
      <c r="B33" s="1264"/>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5" t="s">
        <v>685</v>
      </c>
      <c r="B34" s="1266"/>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63" t="s">
        <v>693</v>
      </c>
      <c r="B35" s="1264"/>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821</v>
      </c>
      <c r="B39" s="1081"/>
      <c r="C39" s="1064">
        <v>87.5</v>
      </c>
      <c r="D39" s="969">
        <v>62.5</v>
      </c>
      <c r="E39" s="969">
        <v>75</v>
      </c>
      <c r="F39" s="969">
        <v>25</v>
      </c>
      <c r="G39" s="969">
        <v>50</v>
      </c>
      <c r="H39" s="969">
        <v>25</v>
      </c>
      <c r="I39" s="969">
        <v>0</v>
      </c>
      <c r="J39" s="969">
        <v>12.5</v>
      </c>
      <c r="K39" s="969">
        <v>50</v>
      </c>
      <c r="L39" s="969"/>
      <c r="M39" s="969"/>
      <c r="N39" s="1082"/>
      <c r="P39" s="1078"/>
    </row>
    <row r="40" spans="1:16" s="270" customFormat="1">
      <c r="C40" s="1094"/>
      <c r="D40" s="1094"/>
      <c r="E40" s="1094"/>
      <c r="K40" s="1094"/>
      <c r="L40" s="1094"/>
      <c r="M40" s="1094"/>
      <c r="N40" s="1094"/>
    </row>
    <row r="41" spans="1:16" s="270" customFormat="1" ht="16.2">
      <c r="A41" s="1580" t="s">
        <v>553</v>
      </c>
      <c r="B41" s="1580"/>
      <c r="C41" s="1580"/>
      <c r="D41" s="1580"/>
      <c r="E41" s="269"/>
      <c r="F41" s="269"/>
      <c r="G41" s="269"/>
      <c r="H41" s="269"/>
      <c r="I41" s="269"/>
      <c r="J41" s="269"/>
      <c r="K41" s="269"/>
      <c r="L41" s="269"/>
      <c r="M41" s="269"/>
      <c r="N41" s="269"/>
    </row>
    <row r="42" spans="1:16" s="270" customFormat="1" ht="20.100000000000001" customHeight="1">
      <c r="A42" s="619"/>
      <c r="B42" s="620" t="s">
        <v>189</v>
      </c>
      <c r="C42" s="1576" t="s">
        <v>259</v>
      </c>
      <c r="D42" s="1583" t="s">
        <v>260</v>
      </c>
      <c r="E42" s="1583" t="s">
        <v>261</v>
      </c>
      <c r="F42" s="1583" t="s">
        <v>283</v>
      </c>
      <c r="G42" s="1583" t="s">
        <v>296</v>
      </c>
      <c r="H42" s="1583" t="s">
        <v>297</v>
      </c>
      <c r="I42" s="1583" t="s">
        <v>298</v>
      </c>
      <c r="J42" s="1583" t="s">
        <v>299</v>
      </c>
      <c r="K42" s="1583" t="s">
        <v>300</v>
      </c>
      <c r="L42" s="1583" t="s">
        <v>301</v>
      </c>
      <c r="M42" s="1583" t="s">
        <v>137</v>
      </c>
      <c r="N42" s="1594" t="s">
        <v>138</v>
      </c>
    </row>
    <row r="43" spans="1:16" ht="20.100000000000001" customHeight="1">
      <c r="A43" s="621" t="s">
        <v>190</v>
      </c>
      <c r="B43" s="622"/>
      <c r="C43" s="1577"/>
      <c r="D43" s="1584"/>
      <c r="E43" s="1584"/>
      <c r="F43" s="1584"/>
      <c r="G43" s="1584"/>
      <c r="H43" s="1584"/>
      <c r="I43" s="1584"/>
      <c r="J43" s="1584"/>
      <c r="K43" s="1584"/>
      <c r="L43" s="1584"/>
      <c r="M43" s="1584"/>
      <c r="N43" s="1595"/>
    </row>
    <row r="44" spans="1:16" ht="20.100000000000001" customHeight="1">
      <c r="A44" s="1263" t="s">
        <v>677</v>
      </c>
      <c r="B44" s="1264"/>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63" t="s">
        <v>678</v>
      </c>
      <c r="B45" s="1264"/>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63" t="s">
        <v>679</v>
      </c>
      <c r="B46" s="1264"/>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63" t="s">
        <v>680</v>
      </c>
      <c r="B47" s="1264"/>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63" t="s">
        <v>681</v>
      </c>
      <c r="B48" s="1264"/>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63" t="s">
        <v>682</v>
      </c>
      <c r="B49" s="1264"/>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63" t="s">
        <v>683</v>
      </c>
      <c r="B50" s="1264"/>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63" t="s">
        <v>684</v>
      </c>
      <c r="B51" s="1264"/>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63" t="s">
        <v>686</v>
      </c>
      <c r="B52" s="1264"/>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65" t="s">
        <v>685</v>
      </c>
      <c r="B53" s="1266"/>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63" t="s">
        <v>693</v>
      </c>
      <c r="B54" s="1264"/>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821</v>
      </c>
      <c r="B58" s="1081"/>
      <c r="C58" s="1064">
        <v>42.857142857142854</v>
      </c>
      <c r="D58" s="969">
        <v>85.714285714285708</v>
      </c>
      <c r="E58" s="969">
        <v>42.857142857142854</v>
      </c>
      <c r="F58" s="969">
        <v>28.571428571428573</v>
      </c>
      <c r="G58" s="969">
        <v>28.571428571428573</v>
      </c>
      <c r="H58" s="969">
        <v>14.285714285714286</v>
      </c>
      <c r="I58" s="969">
        <v>42.857142857142854</v>
      </c>
      <c r="J58" s="969">
        <v>14.285714285714286</v>
      </c>
      <c r="K58" s="969">
        <v>42.857142857142854</v>
      </c>
      <c r="L58" s="969"/>
      <c r="M58" s="969"/>
      <c r="N58" s="1082"/>
    </row>
    <row r="59" spans="1:44" ht="5.25" customHeight="1">
      <c r="B59" s="623"/>
      <c r="C59" s="1094"/>
      <c r="D59" s="1094"/>
      <c r="E59" s="1094"/>
      <c r="F59" s="219"/>
      <c r="G59" s="219"/>
      <c r="H59" s="219"/>
      <c r="I59" s="219"/>
      <c r="J59" s="219"/>
      <c r="K59" s="1094"/>
      <c r="L59" s="1094"/>
      <c r="M59" s="1094"/>
      <c r="N59" s="1094"/>
    </row>
    <row r="60" spans="1:44" s="1256" customFormat="1">
      <c r="A60" s="1252"/>
      <c r="B60" s="1253" t="s">
        <v>381</v>
      </c>
      <c r="C60" s="1254" t="s">
        <v>554</v>
      </c>
      <c r="D60" s="1254"/>
      <c r="E60" s="1255"/>
      <c r="F60" s="1255"/>
      <c r="G60" s="1255"/>
      <c r="H60" s="1255"/>
      <c r="I60" s="1255"/>
      <c r="J60" s="1255"/>
      <c r="K60" s="1255"/>
      <c r="L60" s="1255"/>
      <c r="M60" s="1255"/>
      <c r="N60" s="1255"/>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E4:E5"/>
    <mergeCell ref="F4:F5"/>
    <mergeCell ref="E42:E43"/>
    <mergeCell ref="F42:F43"/>
    <mergeCell ref="K42:K43"/>
    <mergeCell ref="G4:G5"/>
    <mergeCell ref="H4:H5"/>
    <mergeCell ref="I4:I5"/>
    <mergeCell ref="H42:H43"/>
    <mergeCell ref="H23:H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C42:C43"/>
    <mergeCell ref="G23:G24"/>
    <mergeCell ref="A41:D41"/>
    <mergeCell ref="A14:B14"/>
    <mergeCell ref="G42:G43"/>
    <mergeCell ref="A16:B16"/>
    <mergeCell ref="A18:B18"/>
    <mergeCell ref="E23:E24"/>
    <mergeCell ref="D42:D43"/>
    <mergeCell ref="C23:C24"/>
  </mergeCells>
  <phoneticPr fontId="3"/>
  <pageMargins left="0.78740157480314965" right="0.39370078740157483" top="0.59055118110236227" bottom="0.59055118110236227" header="0.39370078740157483" footer="0.39370078740157483"/>
  <pageSetup paperSize="9" scale="69"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tabSelected="1" view="pageBreakPreview" zoomScale="80" zoomScaleNormal="100" zoomScaleSheetLayoutView="80" workbookViewId="0">
      <selection activeCell="V15" sqref="V15"/>
    </sheetView>
  </sheetViews>
  <sheetFormatPr defaultColWidth="8" defaultRowHeight="13.2"/>
  <cols>
    <col min="1" max="1" width="8" style="211" customWidth="1"/>
    <col min="2" max="2" width="6.44140625" style="211" customWidth="1"/>
    <col min="3" max="14" width="8.10937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5"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zoomScale="80" zoomScaleNormal="100" zoomScaleSheetLayoutView="80" workbookViewId="0">
      <selection activeCell="P20" sqref="P20"/>
    </sheetView>
  </sheetViews>
  <sheetFormatPr defaultColWidth="9" defaultRowHeight="13.2"/>
  <cols>
    <col min="1" max="9" width="9" style="1154"/>
    <col min="10" max="10" width="20.21875" style="1154" customWidth="1"/>
    <col min="11" max="16384" width="9" style="1154"/>
  </cols>
  <sheetData>
    <row r="1" spans="1:11">
      <c r="A1" s="278"/>
      <c r="B1" s="278"/>
      <c r="C1" s="278"/>
      <c r="D1" s="278"/>
      <c r="E1" s="278"/>
      <c r="F1" s="278"/>
      <c r="G1" s="278"/>
      <c r="H1" s="278"/>
      <c r="I1" s="278"/>
      <c r="J1" s="278"/>
      <c r="K1" s="278"/>
    </row>
    <row r="2" spans="1:11" ht="16.2">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5"/>
      <c r="C5" s="1155"/>
      <c r="D5" s="1155"/>
      <c r="E5" s="1155"/>
      <c r="F5" s="1155"/>
      <c r="G5" s="1155"/>
      <c r="H5" s="1155"/>
      <c r="I5" s="1155"/>
      <c r="J5" s="1155"/>
      <c r="K5" s="278"/>
    </row>
    <row r="6" spans="1:11">
      <c r="A6" s="1155" t="s">
        <v>460</v>
      </c>
      <c r="B6" s="1155"/>
      <c r="C6" s="1155"/>
      <c r="D6" s="1155"/>
      <c r="E6" s="1155"/>
      <c r="F6" s="1155"/>
      <c r="G6" s="1155"/>
      <c r="H6" s="1155"/>
      <c r="I6" s="1155"/>
      <c r="J6" s="1155"/>
      <c r="K6" s="278"/>
    </row>
    <row r="7" spans="1:11">
      <c r="A7" s="1155" t="s">
        <v>61</v>
      </c>
      <c r="B7" s="1155"/>
      <c r="C7" s="1155"/>
      <c r="D7" s="1155"/>
      <c r="E7" s="1155"/>
      <c r="F7" s="1155"/>
      <c r="G7" s="1155"/>
      <c r="H7" s="1155"/>
      <c r="I7" s="1155"/>
      <c r="J7" s="1155"/>
      <c r="K7" s="278"/>
    </row>
    <row r="8" spans="1:11">
      <c r="A8" s="1155" t="s">
        <v>404</v>
      </c>
      <c r="B8" s="1155"/>
      <c r="C8" s="1155"/>
      <c r="D8" s="1155"/>
      <c r="E8" s="1155"/>
      <c r="F8" s="1155"/>
      <c r="G8" s="1155"/>
      <c r="H8" s="1155"/>
      <c r="I8" s="1155"/>
      <c r="J8" s="1155"/>
      <c r="K8" s="278"/>
    </row>
    <row r="9" spans="1:11">
      <c r="A9" s="1155" t="s">
        <v>405</v>
      </c>
      <c r="B9" s="1155"/>
      <c r="C9" s="1155"/>
      <c r="D9" s="1155"/>
      <c r="E9" s="1155"/>
      <c r="F9" s="1155"/>
      <c r="G9" s="1155"/>
      <c r="H9" s="1155"/>
      <c r="I9" s="1155"/>
      <c r="J9" s="1155"/>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598" t="s">
        <v>20</v>
      </c>
      <c r="B12" s="1598"/>
      <c r="C12" s="276"/>
      <c r="D12" s="276"/>
      <c r="E12" s="276"/>
      <c r="F12" s="276"/>
      <c r="G12" s="276"/>
      <c r="H12" s="276"/>
      <c r="I12" s="276"/>
      <c r="J12" s="276"/>
      <c r="K12" s="274"/>
    </row>
    <row r="13" spans="1:11">
      <c r="A13" s="1155" t="s">
        <v>24</v>
      </c>
      <c r="B13" s="276"/>
      <c r="C13" s="276"/>
      <c r="D13" s="276"/>
      <c r="E13" s="276"/>
      <c r="F13" s="276"/>
      <c r="G13" s="276"/>
      <c r="H13" s="276"/>
      <c r="I13" s="276"/>
      <c r="J13" s="1156"/>
      <c r="K13" s="278"/>
    </row>
    <row r="14" spans="1:11">
      <c r="A14" s="1155" t="s">
        <v>25</v>
      </c>
      <c r="B14" s="276"/>
      <c r="C14" s="276"/>
      <c r="D14" s="276"/>
      <c r="E14" s="276"/>
      <c r="F14" s="276"/>
      <c r="G14" s="276"/>
      <c r="H14" s="276"/>
      <c r="I14" s="276"/>
      <c r="J14" s="1156"/>
      <c r="K14" s="278"/>
    </row>
    <row r="15" spans="1:11">
      <c r="A15" s="1155"/>
      <c r="B15" s="276"/>
      <c r="C15" s="276"/>
      <c r="D15" s="276"/>
      <c r="E15" s="276"/>
      <c r="F15" s="276"/>
      <c r="G15" s="276"/>
      <c r="H15" s="276"/>
      <c r="I15" s="276"/>
      <c r="J15" s="1156"/>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50" t="s">
        <v>783</v>
      </c>
      <c r="B18" s="276"/>
      <c r="C18" s="276"/>
      <c r="D18" s="276"/>
      <c r="E18" s="276"/>
      <c r="F18" s="276"/>
      <c r="G18" s="276"/>
      <c r="H18" s="276"/>
      <c r="I18" s="276"/>
      <c r="J18" s="276"/>
      <c r="K18" s="273"/>
    </row>
    <row r="19" spans="1:11">
      <c r="A19" s="1150" t="s">
        <v>767</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60960</xdr:rowOff>
              </from>
              <to>
                <xdr:col>7</xdr:col>
                <xdr:colOff>30480</xdr:colOff>
                <xdr:row>43</xdr:row>
                <xdr:rowOff>45720</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zoomScale="80" zoomScaleNormal="100" zoomScaleSheetLayoutView="80" workbookViewId="0">
      <selection activeCell="S28" sqref="S28"/>
    </sheetView>
  </sheetViews>
  <sheetFormatPr defaultColWidth="8" defaultRowHeight="14.25" customHeight="1"/>
  <cols>
    <col min="1" max="10" width="8.88671875" style="211" customWidth="1"/>
    <col min="11" max="16384" width="8" style="211"/>
  </cols>
  <sheetData>
    <row r="1" spans="3:26" ht="15.75" customHeight="1"/>
    <row r="2" spans="3:26" ht="15.75" customHeight="1">
      <c r="E2" s="1605" t="s">
        <v>103</v>
      </c>
      <c r="F2" s="1605"/>
    </row>
    <row r="3" spans="3:26" ht="15.75" customHeight="1">
      <c r="E3" s="1605" t="s">
        <v>416</v>
      </c>
      <c r="F3" s="1605"/>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07" t="s">
        <v>302</v>
      </c>
      <c r="D22" s="1607"/>
      <c r="E22" s="1607"/>
      <c r="F22" s="1606" t="s">
        <v>93</v>
      </c>
      <c r="G22" s="1606"/>
      <c r="H22" s="1606"/>
    </row>
    <row r="23" spans="1:22" ht="15.75" customHeight="1">
      <c r="C23" s="1607" t="s">
        <v>403</v>
      </c>
      <c r="D23" s="1607"/>
      <c r="E23" s="1607"/>
      <c r="F23" s="1606" t="s">
        <v>402</v>
      </c>
      <c r="G23" s="1606"/>
      <c r="H23" s="1606"/>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599" t="s">
        <v>704</v>
      </c>
      <c r="B26" s="1599"/>
      <c r="C26" s="1599"/>
      <c r="D26" s="1599"/>
      <c r="E26" s="1599"/>
      <c r="F26" s="1599"/>
      <c r="G26" s="1599"/>
      <c r="H26" s="1599"/>
      <c r="I26" s="1599"/>
      <c r="J26" s="1599"/>
    </row>
    <row r="27" spans="1:22" ht="15.75" customHeight="1">
      <c r="A27" s="1599"/>
      <c r="B27" s="1599"/>
      <c r="C27" s="1599"/>
      <c r="D27" s="1599"/>
      <c r="E27" s="1599"/>
      <c r="F27" s="1599"/>
      <c r="G27" s="1599"/>
      <c r="H27" s="1599"/>
      <c r="I27" s="1599"/>
      <c r="J27" s="1599"/>
    </row>
    <row r="28" spans="1:22" ht="15.75" customHeight="1">
      <c r="A28" s="1599"/>
      <c r="B28" s="1599"/>
      <c r="C28" s="1599"/>
      <c r="D28" s="1599"/>
      <c r="E28" s="1599"/>
      <c r="F28" s="1599"/>
      <c r="G28" s="1599"/>
      <c r="H28" s="1599"/>
      <c r="I28" s="1599"/>
      <c r="J28" s="1599"/>
    </row>
    <row r="29" spans="1:22" ht="15.75" customHeight="1">
      <c r="A29" s="1599"/>
      <c r="B29" s="1599"/>
      <c r="C29" s="1599"/>
      <c r="D29" s="1599"/>
      <c r="E29" s="1599"/>
      <c r="F29" s="1599"/>
      <c r="G29" s="1599"/>
      <c r="H29" s="1599"/>
      <c r="I29" s="1599"/>
      <c r="J29" s="1599"/>
    </row>
    <row r="30" spans="1:22" ht="15.75" customHeight="1">
      <c r="A30" s="1599"/>
      <c r="B30" s="1599"/>
      <c r="C30" s="1599"/>
      <c r="D30" s="1599"/>
      <c r="E30" s="1599"/>
      <c r="F30" s="1599"/>
      <c r="G30" s="1599"/>
      <c r="H30" s="1599"/>
      <c r="I30" s="1599"/>
      <c r="J30" s="1599"/>
    </row>
    <row r="31" spans="1:22" ht="15.75" customHeight="1">
      <c r="A31" s="630"/>
      <c r="B31" s="276"/>
      <c r="C31" s="276"/>
      <c r="D31" s="276"/>
      <c r="E31" s="276"/>
      <c r="F31" s="276"/>
      <c r="G31" s="276"/>
      <c r="H31" s="276"/>
      <c r="I31" s="276"/>
      <c r="J31" s="223"/>
    </row>
    <row r="32" spans="1:22" s="213" customFormat="1" ht="15.75" customHeight="1" thickBot="1">
      <c r="B32" s="1604" t="s">
        <v>407</v>
      </c>
      <c r="C32" s="1604"/>
      <c r="D32" s="1604"/>
      <c r="E32" s="1604"/>
      <c r="F32" s="1604"/>
      <c r="G32" s="1604"/>
      <c r="H32" s="1604"/>
    </row>
    <row r="33" spans="2:8" s="219" customFormat="1" ht="15.75" customHeight="1">
      <c r="B33" s="282" t="s">
        <v>108</v>
      </c>
      <c r="C33" s="1600" t="s">
        <v>109</v>
      </c>
      <c r="D33" s="1601"/>
      <c r="E33" s="1602"/>
      <c r="F33" s="1600" t="s">
        <v>110</v>
      </c>
      <c r="G33" s="1601"/>
      <c r="H33" s="1603"/>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90" t="s">
        <v>788</v>
      </c>
      <c r="H50" s="1189" t="s">
        <v>702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zoomScale="80" zoomScaleNormal="100" zoomScaleSheetLayoutView="80" workbookViewId="0">
      <selection activeCell="P15" sqref="P15"/>
    </sheetView>
  </sheetViews>
  <sheetFormatPr defaultColWidth="8.88671875" defaultRowHeight="13.2"/>
  <cols>
    <col min="1" max="1" width="4.6640625" style="1153" customWidth="1"/>
    <col min="2" max="2" width="6.21875" style="1153" customWidth="1"/>
    <col min="3" max="3" width="9.6640625" style="1153" customWidth="1"/>
    <col min="4" max="7" width="12.6640625" style="1153" customWidth="1"/>
    <col min="8" max="8" width="15.44140625" style="1153" customWidth="1"/>
    <col min="9" max="9" width="4.6640625" style="1153" customWidth="1"/>
    <col min="10" max="10" width="3.6640625" style="1153" customWidth="1"/>
    <col min="11" max="11" width="8.88671875" style="1153"/>
    <col min="12" max="19" width="11.77734375" style="1153" customWidth="1"/>
    <col min="20" max="16384" width="8.88671875" style="1153"/>
  </cols>
  <sheetData>
    <row r="1" spans="1:8" s="1151" customFormat="1" ht="18" customHeight="1">
      <c r="A1" s="1633" t="s">
        <v>57</v>
      </c>
      <c r="B1" s="1633"/>
      <c r="C1" s="1633"/>
      <c r="D1" s="1633"/>
      <c r="E1" s="1633"/>
      <c r="F1" s="1633"/>
      <c r="G1" s="1633"/>
    </row>
    <row r="2" spans="1:8" s="1151" customFormat="1" ht="18" customHeight="1"/>
    <row r="3" spans="1:8" s="1151" customFormat="1" ht="18" customHeight="1">
      <c r="A3" s="1623" t="s">
        <v>789</v>
      </c>
      <c r="B3" s="1623"/>
      <c r="C3" s="1623"/>
      <c r="D3" s="1623"/>
      <c r="E3" s="1623"/>
      <c r="F3" s="1623"/>
      <c r="G3" s="1623"/>
      <c r="H3" s="1623"/>
    </row>
    <row r="4" spans="1:8" s="1151" customFormat="1" ht="18" customHeight="1">
      <c r="A4" s="1623"/>
      <c r="B4" s="1623"/>
      <c r="C4" s="1623"/>
      <c r="D4" s="1623"/>
      <c r="E4" s="1623"/>
      <c r="F4" s="1623"/>
      <c r="G4" s="1623"/>
      <c r="H4" s="1623"/>
    </row>
    <row r="5" spans="1:8" s="1151" customFormat="1" ht="18" customHeight="1">
      <c r="A5" s="1623"/>
      <c r="B5" s="1623"/>
      <c r="C5" s="1623"/>
      <c r="D5" s="1623"/>
      <c r="E5" s="1623"/>
      <c r="F5" s="1623"/>
      <c r="G5" s="1623"/>
      <c r="H5" s="1623"/>
    </row>
    <row r="6" spans="1:8" s="1151" customFormat="1" ht="18" customHeight="1">
      <c r="A6" s="1623"/>
      <c r="B6" s="1623"/>
      <c r="C6" s="1623"/>
      <c r="D6" s="1623"/>
      <c r="E6" s="1623"/>
      <c r="F6" s="1623"/>
      <c r="G6" s="1623"/>
      <c r="H6" s="1623"/>
    </row>
    <row r="7" spans="1:8" s="1151" customFormat="1"/>
    <row r="8" spans="1:8" s="1151" customFormat="1" ht="18.899999999999999" customHeight="1" thickBot="1">
      <c r="A8" s="1151" t="s">
        <v>203</v>
      </c>
    </row>
    <row r="9" spans="1:8" s="1151" customFormat="1" ht="20.100000000000001" customHeight="1" thickBot="1">
      <c r="A9" s="1634" t="s">
        <v>204</v>
      </c>
      <c r="B9" s="1635"/>
      <c r="C9" s="1635"/>
      <c r="D9" s="1635" t="s">
        <v>205</v>
      </c>
      <c r="E9" s="1635"/>
      <c r="F9" s="1635" t="s">
        <v>206</v>
      </c>
      <c r="G9" s="1635"/>
      <c r="H9" s="1636"/>
    </row>
    <row r="10" spans="1:8" s="1151" customFormat="1" ht="60" customHeight="1">
      <c r="A10" s="1628" t="s">
        <v>207</v>
      </c>
      <c r="B10" s="1629"/>
      <c r="C10" s="1629"/>
      <c r="D10" s="1630" t="s">
        <v>321</v>
      </c>
      <c r="E10" s="1630"/>
      <c r="F10" s="1631" t="s">
        <v>790</v>
      </c>
      <c r="G10" s="1631"/>
      <c r="H10" s="1632"/>
    </row>
    <row r="11" spans="1:8" s="1151" customFormat="1" ht="60" customHeight="1">
      <c r="A11" s="1624" t="s">
        <v>317</v>
      </c>
      <c r="B11" s="1615"/>
      <c r="C11" s="1615"/>
      <c r="D11" s="1615" t="s">
        <v>624</v>
      </c>
      <c r="E11" s="1615"/>
      <c r="F11" s="1616" t="s">
        <v>791</v>
      </c>
      <c r="G11" s="1616"/>
      <c r="H11" s="1617"/>
    </row>
    <row r="12" spans="1:8" s="1151" customFormat="1" ht="60" customHeight="1">
      <c r="A12" s="1625" t="s">
        <v>792</v>
      </c>
      <c r="B12" s="1626"/>
      <c r="C12" s="1188" t="s">
        <v>622</v>
      </c>
      <c r="D12" s="1615" t="s">
        <v>793</v>
      </c>
      <c r="E12" s="1615"/>
      <c r="F12" s="1616" t="s">
        <v>794</v>
      </c>
      <c r="G12" s="1616"/>
      <c r="H12" s="1617"/>
    </row>
    <row r="13" spans="1:8" s="1151" customFormat="1" ht="60" customHeight="1">
      <c r="A13" s="1627"/>
      <c r="B13" s="1626"/>
      <c r="C13" s="1188" t="s">
        <v>623</v>
      </c>
      <c r="D13" s="1615" t="s">
        <v>795</v>
      </c>
      <c r="E13" s="1615"/>
      <c r="F13" s="1616" t="s">
        <v>796</v>
      </c>
      <c r="G13" s="1616"/>
      <c r="H13" s="1617"/>
    </row>
    <row r="14" spans="1:8" s="1151" customFormat="1" ht="60" customHeight="1">
      <c r="A14" s="1613" t="s">
        <v>318</v>
      </c>
      <c r="B14" s="1614"/>
      <c r="C14" s="1614"/>
      <c r="D14" s="1615" t="s">
        <v>319</v>
      </c>
      <c r="E14" s="1615"/>
      <c r="F14" s="1616" t="s">
        <v>797</v>
      </c>
      <c r="G14" s="1616"/>
      <c r="H14" s="1617"/>
    </row>
    <row r="15" spans="1:8" s="1151" customFormat="1" ht="60" customHeight="1" thickBot="1">
      <c r="A15" s="1618" t="s">
        <v>320</v>
      </c>
      <c r="B15" s="1619"/>
      <c r="C15" s="1619"/>
      <c r="D15" s="1619" t="s">
        <v>625</v>
      </c>
      <c r="E15" s="1619"/>
      <c r="F15" s="1620" t="s">
        <v>798</v>
      </c>
      <c r="G15" s="1620"/>
      <c r="H15" s="1621"/>
    </row>
    <row r="16" spans="1:8" s="1151" customFormat="1" ht="22.5" customHeight="1" thickBot="1">
      <c r="A16" s="1152" t="s">
        <v>626</v>
      </c>
      <c r="B16" s="1152"/>
      <c r="C16" s="1152"/>
      <c r="D16" s="1152"/>
      <c r="E16" s="1152"/>
      <c r="F16" s="1152"/>
      <c r="G16" s="1152"/>
      <c r="H16" s="1152"/>
    </row>
    <row r="17" spans="1:20" s="1151" customFormat="1" ht="6.75" customHeight="1">
      <c r="B17" s="1199"/>
      <c r="C17" s="1199"/>
      <c r="D17" s="1199"/>
      <c r="E17" s="1199"/>
      <c r="F17" s="1199"/>
      <c r="G17" s="1199"/>
      <c r="H17" s="1199"/>
    </row>
    <row r="18" spans="1:20" s="1151" customFormat="1" ht="18" customHeight="1">
      <c r="A18" s="1200" t="s">
        <v>810</v>
      </c>
      <c r="B18" s="1622" t="s">
        <v>832</v>
      </c>
      <c r="C18" s="1622"/>
      <c r="D18" s="1622"/>
      <c r="E18" s="1622"/>
      <c r="F18" s="1622"/>
      <c r="G18" s="1622"/>
      <c r="H18" s="1622"/>
      <c r="I18" s="1622"/>
      <c r="K18"/>
      <c r="L18"/>
      <c r="M18"/>
      <c r="N18"/>
      <c r="O18"/>
      <c r="P18"/>
      <c r="Q18"/>
      <c r="R18"/>
      <c r="S18"/>
      <c r="T18"/>
    </row>
    <row r="19" spans="1:20" s="1151" customFormat="1" ht="18" customHeight="1">
      <c r="B19" s="1622"/>
      <c r="C19" s="1622"/>
      <c r="D19" s="1622"/>
      <c r="E19" s="1622"/>
      <c r="F19" s="1622"/>
      <c r="G19" s="1622"/>
      <c r="H19" s="1622"/>
      <c r="I19" s="1622"/>
      <c r="K19"/>
      <c r="L19"/>
      <c r="M19"/>
      <c r="N19"/>
      <c r="O19"/>
      <c r="P19"/>
      <c r="Q19"/>
      <c r="R19"/>
      <c r="S19"/>
      <c r="T19"/>
    </row>
    <row r="20" spans="1:20" s="1151" customFormat="1" ht="18" customHeight="1">
      <c r="B20" s="1622"/>
      <c r="C20" s="1622"/>
      <c r="D20" s="1622"/>
      <c r="E20" s="1622"/>
      <c r="F20" s="1622"/>
      <c r="G20" s="1622"/>
      <c r="H20" s="1622"/>
      <c r="I20" s="1622"/>
      <c r="K20"/>
      <c r="L20"/>
      <c r="M20"/>
      <c r="N20"/>
      <c r="O20"/>
      <c r="P20"/>
      <c r="Q20"/>
      <c r="R20"/>
      <c r="S20"/>
      <c r="T20"/>
    </row>
    <row r="21" spans="1:20" s="1151" customFormat="1" ht="18" customHeight="1">
      <c r="B21" s="1622"/>
      <c r="C21" s="1622"/>
      <c r="D21" s="1622"/>
      <c r="E21" s="1622"/>
      <c r="F21" s="1622"/>
      <c r="G21" s="1622"/>
      <c r="H21" s="1622"/>
      <c r="I21" s="1622"/>
      <c r="K21"/>
      <c r="L21"/>
      <c r="M21"/>
      <c r="N21"/>
      <c r="O21"/>
      <c r="P21"/>
      <c r="Q21"/>
      <c r="R21"/>
      <c r="S21"/>
      <c r="T21"/>
    </row>
    <row r="22" spans="1:20" s="1151" customFormat="1" ht="18" customHeight="1">
      <c r="B22" s="1622"/>
      <c r="C22" s="1622"/>
      <c r="D22" s="1622"/>
      <c r="E22" s="1622"/>
      <c r="F22" s="1622"/>
      <c r="G22" s="1622"/>
      <c r="H22" s="1622"/>
      <c r="I22" s="1622"/>
      <c r="K22"/>
      <c r="L22"/>
      <c r="M22"/>
      <c r="N22"/>
      <c r="O22"/>
      <c r="P22"/>
      <c r="Q22"/>
      <c r="R22"/>
      <c r="S22"/>
      <c r="T22"/>
    </row>
    <row r="23" spans="1:20" s="1151" customFormat="1" ht="18" customHeight="1">
      <c r="B23" s="1622"/>
      <c r="C23" s="1622"/>
      <c r="D23" s="1622"/>
      <c r="E23" s="1622"/>
      <c r="F23" s="1622"/>
      <c r="G23" s="1622"/>
      <c r="H23" s="1622"/>
      <c r="I23" s="1622"/>
      <c r="K23"/>
      <c r="L23"/>
      <c r="M23"/>
      <c r="N23"/>
      <c r="O23"/>
      <c r="P23"/>
      <c r="Q23"/>
      <c r="R23"/>
      <c r="S23"/>
      <c r="T23"/>
    </row>
    <row r="24" spans="1:20" s="1151" customFormat="1" ht="18" customHeight="1">
      <c r="B24" s="1622"/>
      <c r="C24" s="1622"/>
      <c r="D24" s="1622"/>
      <c r="E24" s="1622"/>
      <c r="F24" s="1622"/>
      <c r="G24" s="1622"/>
      <c r="H24" s="1622"/>
      <c r="I24" s="1622"/>
      <c r="K24"/>
      <c r="L24"/>
      <c r="M24"/>
      <c r="N24"/>
      <c r="O24"/>
      <c r="P24"/>
      <c r="Q24"/>
      <c r="R24"/>
      <c r="S24"/>
      <c r="T24"/>
    </row>
    <row r="25" spans="1:20" s="1151" customFormat="1" ht="18" customHeight="1">
      <c r="A25" s="1201" t="s">
        <v>811</v>
      </c>
      <c r="B25" s="1622" t="s">
        <v>815</v>
      </c>
      <c r="C25" s="1622"/>
      <c r="D25" s="1622"/>
      <c r="E25" s="1622"/>
      <c r="F25" s="1622"/>
      <c r="G25" s="1622"/>
      <c r="H25" s="1622"/>
      <c r="I25" s="1622"/>
      <c r="K25"/>
      <c r="L25"/>
      <c r="M25"/>
      <c r="N25"/>
      <c r="O25"/>
      <c r="P25"/>
      <c r="Q25"/>
      <c r="R25"/>
      <c r="S25"/>
      <c r="T25"/>
    </row>
    <row r="26" spans="1:20" s="1151" customFormat="1" ht="18" customHeight="1">
      <c r="B26" s="1622"/>
      <c r="C26" s="1622"/>
      <c r="D26" s="1622"/>
      <c r="E26" s="1622"/>
      <c r="F26" s="1622"/>
      <c r="G26" s="1622"/>
      <c r="H26" s="1622"/>
      <c r="I26" s="1622"/>
      <c r="K26"/>
      <c r="L26"/>
      <c r="M26"/>
      <c r="N26"/>
      <c r="O26"/>
      <c r="P26"/>
      <c r="Q26"/>
      <c r="R26"/>
      <c r="S26"/>
      <c r="T26"/>
    </row>
    <row r="27" spans="1:20" s="1151" customFormat="1" ht="7.5" customHeight="1">
      <c r="B27" s="1622"/>
      <c r="C27" s="1622"/>
      <c r="D27" s="1622"/>
      <c r="E27" s="1622"/>
      <c r="F27" s="1622"/>
      <c r="G27" s="1622"/>
      <c r="H27" s="1622"/>
      <c r="I27" s="1622"/>
      <c r="K27"/>
      <c r="L27"/>
      <c r="M27"/>
      <c r="N27"/>
      <c r="O27"/>
      <c r="P27"/>
      <c r="Q27"/>
      <c r="R27"/>
      <c r="S27"/>
      <c r="T27"/>
    </row>
    <row r="28" spans="1:20" s="1151" customFormat="1" ht="18" customHeight="1">
      <c r="A28" s="1151" t="s">
        <v>807</v>
      </c>
      <c r="B28" s="1151" t="s">
        <v>812</v>
      </c>
      <c r="C28" s="1198"/>
      <c r="D28" s="1198"/>
      <c r="E28" s="1198"/>
      <c r="F28" s="1198"/>
      <c r="G28" s="1198"/>
      <c r="H28" s="1198"/>
      <c r="I28" s="1198"/>
      <c r="K28"/>
      <c r="L28"/>
      <c r="M28"/>
      <c r="N28"/>
      <c r="O28"/>
      <c r="P28"/>
      <c r="Q28"/>
      <c r="R28"/>
      <c r="S28"/>
      <c r="T28"/>
    </row>
    <row r="29" spans="1:20" s="1151" customFormat="1" ht="18" customHeight="1">
      <c r="A29" s="1151" t="s">
        <v>808</v>
      </c>
      <c r="B29" s="1151" t="s">
        <v>813</v>
      </c>
      <c r="C29" s="1198"/>
      <c r="D29" s="1198"/>
      <c r="E29" s="1198"/>
      <c r="F29" s="1198"/>
      <c r="G29" s="1198"/>
      <c r="H29" s="1198"/>
      <c r="I29" s="1198"/>
      <c r="K29"/>
      <c r="L29"/>
      <c r="M29"/>
      <c r="N29"/>
      <c r="O29"/>
      <c r="P29"/>
      <c r="Q29"/>
      <c r="R29"/>
      <c r="S29"/>
      <c r="T29"/>
    </row>
    <row r="30" spans="1:20" s="1151" customFormat="1" ht="18" customHeight="1">
      <c r="A30" s="1151" t="s">
        <v>809</v>
      </c>
      <c r="B30" s="1623" t="s">
        <v>814</v>
      </c>
      <c r="C30" s="1623"/>
      <c r="D30" s="1623"/>
      <c r="E30" s="1623"/>
      <c r="F30" s="1623"/>
      <c r="G30" s="1623"/>
      <c r="H30" s="1623"/>
      <c r="I30" s="1623"/>
      <c r="J30" s="1623"/>
      <c r="K30"/>
      <c r="L30"/>
      <c r="M30"/>
      <c r="N30"/>
      <c r="O30"/>
      <c r="P30"/>
      <c r="Q30"/>
      <c r="R30"/>
      <c r="S30"/>
      <c r="T30"/>
    </row>
    <row r="31" spans="1:20" s="1151" customFormat="1" ht="18" customHeight="1">
      <c r="B31" s="1623"/>
      <c r="C31" s="1623"/>
      <c r="D31" s="1623"/>
      <c r="E31" s="1623"/>
      <c r="F31" s="1623"/>
      <c r="G31" s="1623"/>
      <c r="H31" s="1623"/>
      <c r="I31" s="1623"/>
      <c r="J31" s="1623"/>
      <c r="K31"/>
      <c r="L31"/>
      <c r="M31"/>
      <c r="N31"/>
      <c r="O31"/>
      <c r="P31"/>
      <c r="Q31"/>
      <c r="R31"/>
      <c r="S31"/>
      <c r="T31"/>
    </row>
    <row r="32" spans="1:20" s="1151" customFormat="1">
      <c r="C32" s="1198"/>
      <c r="D32" s="1198"/>
      <c r="E32" s="1198"/>
      <c r="F32" s="1198"/>
      <c r="G32" s="1198"/>
      <c r="H32" s="1198"/>
      <c r="I32" s="1198"/>
      <c r="K32"/>
      <c r="L32"/>
      <c r="M32"/>
      <c r="N32"/>
      <c r="O32"/>
      <c r="P32"/>
      <c r="Q32"/>
      <c r="R32"/>
      <c r="S32"/>
      <c r="T32"/>
    </row>
    <row r="33" spans="3:20" s="1151" customFormat="1">
      <c r="D33" s="1608" t="s">
        <v>673</v>
      </c>
      <c r="E33" s="1608"/>
      <c r="F33" s="1608"/>
      <c r="K33"/>
      <c r="L33"/>
      <c r="M33"/>
      <c r="N33"/>
      <c r="O33"/>
      <c r="P33"/>
      <c r="Q33"/>
      <c r="R33"/>
      <c r="S33"/>
      <c r="T33"/>
    </row>
    <row r="34" spans="3:20" s="1151" customFormat="1" ht="18" customHeight="1">
      <c r="D34" s="1609" t="s">
        <v>142</v>
      </c>
      <c r="E34" s="1610"/>
      <c r="F34" s="1187">
        <v>3.49</v>
      </c>
      <c r="K34"/>
      <c r="L34"/>
      <c r="M34"/>
      <c r="N34"/>
      <c r="O34"/>
      <c r="P34"/>
      <c r="Q34"/>
      <c r="R34"/>
      <c r="S34"/>
      <c r="T34"/>
    </row>
    <row r="35" spans="3:20" s="1151" customFormat="1" ht="18" customHeight="1">
      <c r="D35" s="1609" t="s">
        <v>143</v>
      </c>
      <c r="E35" s="1610"/>
      <c r="F35" s="1187">
        <v>2.56</v>
      </c>
      <c r="K35"/>
      <c r="L35"/>
      <c r="M35"/>
      <c r="N35"/>
      <c r="O35"/>
      <c r="P35"/>
      <c r="Q35"/>
      <c r="R35"/>
      <c r="S35"/>
      <c r="T35"/>
    </row>
    <row r="36" spans="3:20" s="1151" customFormat="1" ht="18" customHeight="1">
      <c r="D36" s="1611" t="s">
        <v>827</v>
      </c>
      <c r="E36" s="1612"/>
      <c r="F36" s="1612"/>
      <c r="K36"/>
      <c r="L36"/>
      <c r="M36"/>
      <c r="N36"/>
      <c r="O36"/>
      <c r="P36"/>
      <c r="Q36"/>
      <c r="R36"/>
      <c r="S36"/>
      <c r="T36"/>
    </row>
    <row r="37" spans="3:20" s="1151" customFormat="1">
      <c r="C37" s="1186"/>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53" t="s">
        <v>602</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0"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view="pageBreakPreview" zoomScale="120" zoomScaleNormal="100" zoomScaleSheetLayoutView="120" workbookViewId="0">
      <selection activeCell="B9" sqref="B9"/>
    </sheetView>
  </sheetViews>
  <sheetFormatPr defaultColWidth="8" defaultRowHeight="13.2"/>
  <cols>
    <col min="1" max="1" width="2.6640625" style="5" customWidth="1"/>
    <col min="2" max="3" width="3.6640625" style="5" customWidth="1"/>
    <col min="4" max="4" width="5.33203125" style="5" customWidth="1"/>
    <col min="5" max="5" width="4.88671875" style="5" customWidth="1"/>
    <col min="6" max="6" width="8.6640625" style="5" customWidth="1"/>
    <col min="7" max="7" width="5.33203125" style="5" customWidth="1"/>
    <col min="8" max="8" width="4.88671875" style="5" customWidth="1"/>
    <col min="9" max="9" width="8.6640625" style="5" customWidth="1"/>
    <col min="10" max="10" width="5.33203125" style="5" customWidth="1"/>
    <col min="11" max="11" width="4.88671875" style="5" customWidth="1"/>
    <col min="12" max="12" width="8.6640625" style="5" customWidth="1"/>
    <col min="13" max="13" width="5.109375" style="5" customWidth="1"/>
    <col min="14" max="15" width="8" style="5"/>
    <col min="16" max="16" width="9" style="5" bestFit="1" customWidth="1"/>
    <col min="17" max="17" width="48" style="5" bestFit="1" customWidth="1"/>
    <col min="18" max="18" width="9" style="5" bestFit="1" customWidth="1"/>
    <col min="19" max="19" width="1.44140625" style="5" customWidth="1"/>
    <col min="20" max="20" width="12.21875" style="5" bestFit="1" customWidth="1"/>
    <col min="21" max="16384" width="8" style="5"/>
  </cols>
  <sheetData>
    <row r="1" spans="1:27" ht="24.9" customHeight="1">
      <c r="A1" s="1336" t="s">
        <v>196</v>
      </c>
      <c r="B1" s="1336"/>
      <c r="C1" s="1336"/>
      <c r="D1" s="1336"/>
      <c r="E1" s="1336"/>
      <c r="F1" s="1336"/>
      <c r="G1" s="1336"/>
      <c r="H1" s="1336"/>
      <c r="I1" s="1336"/>
      <c r="J1" s="1336"/>
      <c r="K1" s="1336"/>
      <c r="L1" s="1336"/>
      <c r="M1" s="1336"/>
    </row>
    <row r="2" spans="1:27" ht="24.9" customHeight="1">
      <c r="A2" s="1337"/>
      <c r="B2" s="1337"/>
      <c r="C2" s="1337"/>
      <c r="D2" s="1337"/>
      <c r="E2" s="1337"/>
      <c r="F2" s="1337"/>
      <c r="G2" s="1337"/>
      <c r="H2" s="1337"/>
      <c r="I2" s="1337"/>
      <c r="J2" s="1337"/>
      <c r="K2" s="1337"/>
      <c r="L2" s="1337"/>
      <c r="M2" s="1337"/>
    </row>
    <row r="3" spans="1:27" ht="24.9" customHeight="1" thickBot="1">
      <c r="A3" s="1338" t="s">
        <v>844</v>
      </c>
      <c r="B3" s="1338"/>
      <c r="C3" s="1338"/>
      <c r="D3" s="1338"/>
      <c r="E3" s="1338"/>
      <c r="F3" s="1338"/>
      <c r="G3" s="1338"/>
      <c r="H3" s="1338"/>
      <c r="I3" s="1338"/>
      <c r="J3" s="1338"/>
      <c r="K3" s="1338"/>
      <c r="L3" s="1338"/>
      <c r="M3" s="1338"/>
      <c r="P3" s="1107" t="s">
        <v>721</v>
      </c>
      <c r="Q3" s="1107"/>
    </row>
    <row r="4" spans="1:27" ht="15" customHeight="1">
      <c r="A4" s="200"/>
      <c r="B4" s="200"/>
      <c r="C4" s="200"/>
      <c r="D4" s="200"/>
      <c r="E4" s="200"/>
      <c r="F4" s="200"/>
      <c r="G4" s="200"/>
      <c r="H4" s="200"/>
      <c r="I4" s="200"/>
      <c r="J4" s="200"/>
      <c r="K4" s="200"/>
      <c r="L4" s="200"/>
      <c r="M4" s="200"/>
      <c r="P4" s="1107" t="s">
        <v>720</v>
      </c>
      <c r="Q4" s="1107"/>
    </row>
    <row r="5" spans="1:27" ht="15" customHeight="1">
      <c r="B5" s="200"/>
      <c r="C5" s="200"/>
      <c r="D5" s="200"/>
      <c r="E5" s="200"/>
      <c r="F5" s="200"/>
      <c r="G5" s="200"/>
      <c r="H5" s="200"/>
      <c r="I5" s="200"/>
      <c r="J5" s="200"/>
      <c r="K5" s="200"/>
      <c r="L5" s="200"/>
      <c r="P5" s="1107" t="s">
        <v>719</v>
      </c>
      <c r="Q5" s="1107"/>
    </row>
    <row r="6" spans="1:27" ht="15" customHeight="1">
      <c r="P6" s="1107" t="s">
        <v>718</v>
      </c>
      <c r="Q6" s="1107"/>
    </row>
    <row r="7" spans="1:27" ht="20.100000000000001" customHeight="1">
      <c r="A7" s="378" t="s">
        <v>325</v>
      </c>
      <c r="B7" s="378" t="s">
        <v>845</v>
      </c>
      <c r="C7" s="378"/>
      <c r="D7" s="378"/>
      <c r="E7" s="378"/>
      <c r="F7" s="378"/>
      <c r="G7" s="378"/>
      <c r="H7" s="378"/>
      <c r="I7" s="378"/>
      <c r="J7" s="378"/>
      <c r="K7" s="378"/>
      <c r="L7" s="210"/>
      <c r="M7" s="211"/>
      <c r="P7" s="1107" t="s">
        <v>717</v>
      </c>
      <c r="Q7" s="1107"/>
    </row>
    <row r="8" spans="1:27" ht="20.100000000000001" customHeight="1">
      <c r="A8" s="379"/>
      <c r="B8" s="575" t="s">
        <v>846</v>
      </c>
      <c r="D8" s="380"/>
      <c r="E8" s="380"/>
      <c r="F8" s="380"/>
      <c r="G8" s="380"/>
      <c r="H8" s="380"/>
      <c r="I8" s="380"/>
      <c r="J8" s="380"/>
      <c r="K8" s="380"/>
      <c r="L8" s="212"/>
      <c r="M8" s="212"/>
      <c r="P8" s="1107"/>
      <c r="Q8" s="1107"/>
    </row>
    <row r="9" spans="1:27" s="6" customFormat="1" ht="20.100000000000001" customHeight="1">
      <c r="A9" s="381" t="s">
        <v>325</v>
      </c>
      <c r="B9" s="1104" t="s">
        <v>833</v>
      </c>
      <c r="C9" s="380"/>
      <c r="D9" s="380"/>
      <c r="E9" s="380"/>
      <c r="F9" s="380"/>
      <c r="G9" s="380"/>
      <c r="H9" s="380"/>
      <c r="I9" s="1104"/>
      <c r="J9" s="380"/>
      <c r="K9" s="380"/>
      <c r="L9" s="212"/>
      <c r="M9" s="214"/>
      <c r="P9" s="1111" t="s">
        <v>622</v>
      </c>
      <c r="Q9" s="1107" t="s">
        <v>847</v>
      </c>
      <c r="S9" s="1107"/>
      <c r="T9" s="1111"/>
      <c r="U9" s="1107"/>
      <c r="X9" s="1108"/>
      <c r="Z9" s="1106"/>
      <c r="AA9" s="1106"/>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9" t="s">
        <v>768</v>
      </c>
      <c r="M11" s="211"/>
      <c r="Q11" s="1110"/>
      <c r="R11" s="1110"/>
      <c r="S11" s="1110"/>
      <c r="T11" s="1110"/>
      <c r="U11" s="1109"/>
    </row>
    <row r="12" spans="1:27" ht="15" customHeight="1">
      <c r="A12" s="211"/>
      <c r="B12" s="1344"/>
      <c r="C12" s="1345"/>
      <c r="D12" s="1341" t="s">
        <v>848</v>
      </c>
      <c r="E12" s="1342"/>
      <c r="F12" s="1343"/>
      <c r="G12" s="1340" t="s">
        <v>284</v>
      </c>
      <c r="H12" s="1340"/>
      <c r="I12" s="1340"/>
      <c r="J12" s="1339" t="s">
        <v>285</v>
      </c>
      <c r="K12" s="1340"/>
      <c r="L12" s="1340"/>
      <c r="M12" s="211"/>
    </row>
    <row r="13" spans="1:27" ht="15" customHeight="1">
      <c r="A13" s="211"/>
      <c r="B13" s="1346"/>
      <c r="C13" s="1347"/>
      <c r="D13" s="1352"/>
      <c r="E13" s="753" t="s">
        <v>322</v>
      </c>
      <c r="F13" s="1359" t="s">
        <v>290</v>
      </c>
      <c r="G13" s="1354"/>
      <c r="H13" s="753" t="s">
        <v>323</v>
      </c>
      <c r="I13" s="1358" t="s">
        <v>290</v>
      </c>
      <c r="J13" s="1354"/>
      <c r="K13" s="753" t="s">
        <v>323</v>
      </c>
      <c r="L13" s="1350" t="s">
        <v>290</v>
      </c>
      <c r="M13" s="211"/>
    </row>
    <row r="14" spans="1:27" s="6" customFormat="1" ht="15" customHeight="1">
      <c r="A14" s="213"/>
      <c r="B14" s="1348"/>
      <c r="C14" s="1349"/>
      <c r="D14" s="1353"/>
      <c r="E14" s="217" t="s">
        <v>326</v>
      </c>
      <c r="F14" s="1360"/>
      <c r="G14" s="1355"/>
      <c r="H14" s="217" t="s">
        <v>326</v>
      </c>
      <c r="I14" s="1357"/>
      <c r="J14" s="1355"/>
      <c r="K14" s="217" t="s">
        <v>326</v>
      </c>
      <c r="L14" s="1351"/>
      <c r="M14" s="213"/>
    </row>
    <row r="15" spans="1:27" ht="24.9" customHeight="1">
      <c r="A15" s="211"/>
      <c r="B15" s="1356" t="s">
        <v>286</v>
      </c>
      <c r="C15" s="1357"/>
      <c r="D15" s="803">
        <v>150.9</v>
      </c>
      <c r="E15" s="400">
        <v>4.3000000000000114</v>
      </c>
      <c r="F15" s="1129" t="s">
        <v>837</v>
      </c>
      <c r="G15" s="803">
        <v>148.79999999999998</v>
      </c>
      <c r="H15" s="434">
        <v>-1.6000000000000227</v>
      </c>
      <c r="I15" s="1130" t="s">
        <v>839</v>
      </c>
      <c r="J15" s="803">
        <v>148.42857142857142</v>
      </c>
      <c r="K15" s="434">
        <v>0.48571428571426623</v>
      </c>
      <c r="L15" s="1131" t="s">
        <v>842</v>
      </c>
      <c r="M15" s="211"/>
    </row>
    <row r="16" spans="1:27" s="6" customFormat="1" ht="24.9" customHeight="1">
      <c r="A16" s="213"/>
      <c r="B16" s="1334" t="s">
        <v>287</v>
      </c>
      <c r="C16" s="1335"/>
      <c r="D16" s="803">
        <v>132.1</v>
      </c>
      <c r="E16" s="400">
        <v>0.59999999999999432</v>
      </c>
      <c r="F16" s="1129" t="s">
        <v>838</v>
      </c>
      <c r="G16" s="803">
        <v>132.36666666666667</v>
      </c>
      <c r="H16" s="434">
        <v>-3.0666666666666629</v>
      </c>
      <c r="I16" s="1130" t="s">
        <v>840</v>
      </c>
      <c r="J16" s="803">
        <v>138.81428571428572</v>
      </c>
      <c r="K16" s="434">
        <v>-2.2857142857142776</v>
      </c>
      <c r="L16" s="1131" t="s">
        <v>835</v>
      </c>
      <c r="M16" s="213"/>
    </row>
    <row r="17" spans="1:13" ht="24.9" customHeight="1">
      <c r="A17" s="211"/>
      <c r="B17" s="1334" t="s">
        <v>288</v>
      </c>
      <c r="C17" s="1335"/>
      <c r="D17" s="803">
        <v>119.8</v>
      </c>
      <c r="E17" s="400">
        <v>1.2000000000000028</v>
      </c>
      <c r="F17" s="1129" t="s">
        <v>834</v>
      </c>
      <c r="G17" s="803">
        <v>121.16666666666667</v>
      </c>
      <c r="H17" s="434">
        <v>-1.3666666666666742</v>
      </c>
      <c r="I17" s="1130" t="s">
        <v>841</v>
      </c>
      <c r="J17" s="803">
        <v>123.47142857142856</v>
      </c>
      <c r="K17" s="434">
        <v>-1.1428571428571672</v>
      </c>
      <c r="L17" s="1131" t="s">
        <v>843</v>
      </c>
      <c r="M17" s="211"/>
    </row>
    <row r="18" spans="1:13" ht="15" customHeight="1">
      <c r="A18" s="684"/>
      <c r="B18" s="1365" t="s">
        <v>415</v>
      </c>
      <c r="C18" s="1366"/>
      <c r="D18" s="1366"/>
      <c r="E18" s="1366"/>
      <c r="F18" s="1366"/>
      <c r="G18" s="1366"/>
      <c r="H18" s="1366"/>
      <c r="I18" s="1366"/>
      <c r="J18" s="1366"/>
      <c r="K18" s="1366"/>
      <c r="L18" s="1366"/>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61">
        <v>46017</v>
      </c>
      <c r="B25" s="1362"/>
      <c r="C25" s="1362"/>
      <c r="D25" s="1362"/>
      <c r="E25" s="1362"/>
      <c r="F25" s="1362"/>
      <c r="G25" s="1362"/>
      <c r="H25" s="1362"/>
      <c r="I25" s="1362"/>
      <c r="J25" s="1362"/>
      <c r="K25" s="1362"/>
      <c r="L25" s="1362"/>
      <c r="M25" s="1362"/>
    </row>
    <row r="26" spans="1:13" ht="20.100000000000001" customHeight="1">
      <c r="A26" s="1363" t="s">
        <v>687</v>
      </c>
      <c r="B26" s="1364"/>
      <c r="C26" s="1364"/>
      <c r="D26" s="1364"/>
      <c r="E26" s="1364"/>
      <c r="F26" s="1364"/>
      <c r="G26" s="1364"/>
      <c r="H26" s="1364"/>
      <c r="I26" s="1364"/>
      <c r="J26" s="1364"/>
      <c r="K26" s="1364"/>
      <c r="L26" s="1364"/>
      <c r="M26" s="1364"/>
    </row>
    <row r="27" spans="1:13" ht="15" customHeight="1">
      <c r="B27" s="7"/>
      <c r="C27" s="7"/>
      <c r="D27" s="7"/>
    </row>
    <row r="28" spans="1:13" ht="15" customHeight="1">
      <c r="B28" s="1388" t="s">
        <v>197</v>
      </c>
      <c r="C28" s="1389"/>
      <c r="D28" s="1390"/>
      <c r="E28" s="1391"/>
      <c r="F28" s="1392"/>
      <c r="G28" s="1393"/>
      <c r="H28" s="1394"/>
      <c r="I28" s="1395"/>
      <c r="J28" s="1396"/>
      <c r="K28" s="1397"/>
      <c r="L28" s="1398"/>
      <c r="M28" s="391"/>
    </row>
    <row r="29" spans="1:13" ht="15" customHeight="1">
      <c r="B29" s="1399"/>
      <c r="C29" s="1400"/>
      <c r="D29" s="1401"/>
      <c r="E29" s="1402"/>
      <c r="F29" s="1403"/>
      <c r="G29" s="1404"/>
      <c r="H29" s="1405"/>
      <c r="I29" s="1406"/>
      <c r="J29" s="1407"/>
      <c r="K29" s="1408"/>
      <c r="L29" s="1409"/>
      <c r="M29" s="392"/>
    </row>
    <row r="30" spans="1:13" ht="15" customHeight="1">
      <c r="B30" s="1410" t="s">
        <v>327</v>
      </c>
      <c r="C30" s="1411"/>
      <c r="D30" s="1412"/>
      <c r="E30" s="1413"/>
      <c r="F30" s="1414"/>
      <c r="G30" s="1415"/>
      <c r="H30" s="1416"/>
      <c r="I30" s="1417"/>
      <c r="J30" s="1418"/>
      <c r="K30" s="1419"/>
      <c r="L30" s="1420"/>
      <c r="M30" s="393"/>
    </row>
    <row r="31" spans="1:13" ht="15" customHeight="1">
      <c r="B31" s="1421" t="s">
        <v>703</v>
      </c>
      <c r="C31" s="1422"/>
      <c r="D31" s="1423"/>
      <c r="E31" s="1424"/>
      <c r="F31" s="1425"/>
      <c r="G31" s="1426"/>
      <c r="H31" s="1427"/>
      <c r="I31" s="1428"/>
      <c r="J31" s="1429"/>
      <c r="K31" s="1430"/>
      <c r="L31" s="1431"/>
      <c r="M31" s="394"/>
    </row>
    <row r="32" spans="1:13" ht="15" customHeight="1">
      <c r="B32" s="390"/>
      <c r="C32" s="398"/>
      <c r="D32" s="398"/>
      <c r="E32" s="398"/>
      <c r="F32" s="398"/>
      <c r="G32" s="398"/>
      <c r="H32" s="398"/>
      <c r="I32" s="398"/>
      <c r="J32" s="398"/>
      <c r="K32" s="398"/>
      <c r="L32" s="399"/>
      <c r="M32" s="392"/>
    </row>
    <row r="33" spans="2:13" ht="15" customHeight="1">
      <c r="B33" s="1367" t="s">
        <v>362</v>
      </c>
      <c r="C33" s="1432"/>
      <c r="D33" s="1433"/>
      <c r="E33" s="1434"/>
      <c r="F33" s="1435"/>
      <c r="G33" s="1436"/>
      <c r="H33" s="1437"/>
      <c r="I33" s="1438"/>
      <c r="J33" s="1439"/>
      <c r="K33" s="1440"/>
      <c r="L33" s="1441"/>
      <c r="M33" s="395"/>
    </row>
    <row r="34" spans="2:13" ht="15" customHeight="1">
      <c r="B34" s="1367" t="s">
        <v>699</v>
      </c>
      <c r="C34" s="1368"/>
      <c r="D34" s="1369"/>
      <c r="E34" s="1370"/>
      <c r="F34" s="1371"/>
      <c r="G34" s="1372"/>
      <c r="H34" s="1373"/>
      <c r="I34" s="1374"/>
      <c r="J34" s="1375"/>
      <c r="K34" s="1376"/>
      <c r="L34" s="1377"/>
      <c r="M34" s="396"/>
    </row>
    <row r="35" spans="2:13" ht="15" customHeight="1">
      <c r="B35" s="1367" t="s">
        <v>700</v>
      </c>
      <c r="C35" s="1378"/>
      <c r="D35" s="1379"/>
      <c r="E35" s="1380"/>
      <c r="F35" s="1381"/>
      <c r="G35" s="1382"/>
      <c r="H35" s="1383"/>
      <c r="I35" s="1384"/>
      <c r="J35" s="1385"/>
      <c r="K35" s="1386"/>
      <c r="L35" s="1387"/>
      <c r="M35" s="397"/>
    </row>
    <row r="36" spans="2:13" ht="15" customHeight="1">
      <c r="B36" s="685"/>
      <c r="C36" s="686"/>
      <c r="D36" s="686"/>
      <c r="E36" s="686"/>
      <c r="F36" s="686"/>
      <c r="G36" s="686"/>
      <c r="H36" s="686"/>
      <c r="I36" s="686"/>
      <c r="J36" s="686"/>
      <c r="K36" s="686"/>
      <c r="L36" s="687"/>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zoomScale="80" zoomScaleNormal="100" zoomScaleSheetLayoutView="80" workbookViewId="0">
      <selection activeCell="L18" sqref="L18"/>
    </sheetView>
  </sheetViews>
  <sheetFormatPr defaultColWidth="8" defaultRowHeight="15.75" customHeight="1"/>
  <cols>
    <col min="1" max="1" width="3.6640625" style="219" customWidth="1"/>
    <col min="2" max="3" width="3.6640625" style="270" customWidth="1"/>
    <col min="4" max="4" width="23.88671875" style="219" customWidth="1"/>
    <col min="5" max="5" width="4.109375" style="271" customWidth="1"/>
    <col min="6" max="6" width="20.88671875" style="271" customWidth="1"/>
    <col min="7" max="7" width="33.88671875" style="219" customWidth="1"/>
    <col min="8" max="8" width="20.88671875" style="219" customWidth="1"/>
    <col min="9" max="9" width="21.44140625" style="219" customWidth="1"/>
    <col min="10" max="16384" width="8" style="219"/>
  </cols>
  <sheetData>
    <row r="1" spans="2:9" s="270" customFormat="1" ht="24.75" customHeight="1">
      <c r="B1" s="1732" t="s">
        <v>58</v>
      </c>
      <c r="C1" s="1733"/>
      <c r="D1" s="1733"/>
      <c r="E1" s="1733"/>
      <c r="F1" s="1733"/>
      <c r="G1" s="1733"/>
    </row>
    <row r="2" spans="2:9" ht="15" customHeight="1" thickBot="1"/>
    <row r="3" spans="2:9" s="270" customFormat="1" ht="21.9" customHeight="1" thickBot="1">
      <c r="B3" s="287"/>
      <c r="C3" s="1734" t="s">
        <v>220</v>
      </c>
      <c r="D3" s="1735"/>
      <c r="E3" s="288"/>
      <c r="F3" s="288" t="s">
        <v>534</v>
      </c>
      <c r="G3" s="297" t="s">
        <v>117</v>
      </c>
      <c r="H3" s="298" t="s">
        <v>655</v>
      </c>
      <c r="I3" s="299" t="s">
        <v>118</v>
      </c>
    </row>
    <row r="4" spans="2:9" ht="21.9" customHeight="1" thickTop="1">
      <c r="B4" s="1736" t="s">
        <v>336</v>
      </c>
      <c r="C4" s="1737" t="s">
        <v>16</v>
      </c>
      <c r="D4" s="1738" t="s">
        <v>119</v>
      </c>
      <c r="E4" s="1645" t="s">
        <v>249</v>
      </c>
      <c r="F4" s="1725" t="s">
        <v>535</v>
      </c>
      <c r="G4" s="1739" t="s">
        <v>120</v>
      </c>
      <c r="H4" s="1731" t="s">
        <v>411</v>
      </c>
      <c r="I4" s="1724" t="s">
        <v>121</v>
      </c>
    </row>
    <row r="5" spans="2:9" ht="21.9" customHeight="1">
      <c r="B5" s="1684"/>
      <c r="C5" s="1656"/>
      <c r="D5" s="1667"/>
      <c r="E5" s="1651"/>
      <c r="F5" s="1658"/>
      <c r="G5" s="1730"/>
      <c r="H5" s="1651"/>
      <c r="I5" s="1696"/>
    </row>
    <row r="6" spans="2:9" ht="21.9" customHeight="1">
      <c r="B6" s="1684"/>
      <c r="C6" s="1641" t="s">
        <v>17</v>
      </c>
      <c r="D6" s="1666" t="s">
        <v>94</v>
      </c>
      <c r="E6" s="1645" t="s">
        <v>249</v>
      </c>
      <c r="F6" s="1645" t="s">
        <v>742</v>
      </c>
      <c r="G6" s="1727" t="s">
        <v>743</v>
      </c>
      <c r="H6" s="1645" t="s">
        <v>122</v>
      </c>
      <c r="I6" s="1695" t="s">
        <v>123</v>
      </c>
    </row>
    <row r="7" spans="2:9" ht="21.9" customHeight="1">
      <c r="B7" s="1684"/>
      <c r="C7" s="1656"/>
      <c r="D7" s="1667"/>
      <c r="E7" s="1651"/>
      <c r="F7" s="1661"/>
      <c r="G7" s="1728"/>
      <c r="H7" s="1651"/>
      <c r="I7" s="1696"/>
    </row>
    <row r="8" spans="2:9" ht="21.9" customHeight="1">
      <c r="B8" s="1684"/>
      <c r="C8" s="1641" t="s">
        <v>78</v>
      </c>
      <c r="D8" s="1666" t="s">
        <v>479</v>
      </c>
      <c r="E8" s="1700" t="s">
        <v>480</v>
      </c>
      <c r="F8" s="1645" t="s">
        <v>742</v>
      </c>
      <c r="G8" s="1727" t="s">
        <v>744</v>
      </c>
      <c r="H8" s="1700" t="s">
        <v>95</v>
      </c>
      <c r="I8" s="1695" t="s">
        <v>95</v>
      </c>
    </row>
    <row r="9" spans="2:9" ht="21.9" customHeight="1">
      <c r="B9" s="1684"/>
      <c r="C9" s="1656"/>
      <c r="D9" s="1667"/>
      <c r="E9" s="1651"/>
      <c r="F9" s="1661"/>
      <c r="G9" s="1728"/>
      <c r="H9" s="1651"/>
      <c r="I9" s="1696"/>
    </row>
    <row r="10" spans="2:9" ht="21.9" customHeight="1">
      <c r="B10" s="1684"/>
      <c r="C10" s="1641" t="s">
        <v>79</v>
      </c>
      <c r="D10" s="291" t="s">
        <v>96</v>
      </c>
      <c r="E10" s="1645" t="s">
        <v>249</v>
      </c>
      <c r="F10" s="1645" t="s">
        <v>535</v>
      </c>
      <c r="G10" s="1729" t="s">
        <v>262</v>
      </c>
      <c r="H10" s="893" t="s">
        <v>124</v>
      </c>
      <c r="I10" s="894" t="s">
        <v>125</v>
      </c>
    </row>
    <row r="11" spans="2:9" ht="21.9" customHeight="1">
      <c r="B11" s="1684"/>
      <c r="C11" s="1656"/>
      <c r="D11" s="289" t="s">
        <v>126</v>
      </c>
      <c r="E11" s="1651"/>
      <c r="F11" s="1661"/>
      <c r="G11" s="1730"/>
      <c r="H11" s="292" t="s">
        <v>127</v>
      </c>
      <c r="I11" s="895" t="s">
        <v>128</v>
      </c>
    </row>
    <row r="12" spans="2:9" ht="21.9" customHeight="1">
      <c r="B12" s="1684"/>
      <c r="C12" s="1641" t="s">
        <v>80</v>
      </c>
      <c r="D12" s="290" t="s">
        <v>97</v>
      </c>
      <c r="E12" s="1645" t="s">
        <v>249</v>
      </c>
      <c r="F12" s="1645" t="s">
        <v>535</v>
      </c>
      <c r="G12" s="1713" t="s">
        <v>828</v>
      </c>
      <c r="H12" s="1715" t="s">
        <v>829</v>
      </c>
      <c r="I12" s="1726" t="s">
        <v>830</v>
      </c>
    </row>
    <row r="13" spans="2:9" ht="21.9" customHeight="1">
      <c r="B13" s="1684"/>
      <c r="C13" s="1656"/>
      <c r="D13" s="289" t="s">
        <v>129</v>
      </c>
      <c r="E13" s="1651"/>
      <c r="F13" s="1661"/>
      <c r="G13" s="1714"/>
      <c r="H13" s="1716"/>
      <c r="I13" s="1699"/>
    </row>
    <row r="14" spans="2:9" ht="21.9" customHeight="1">
      <c r="B14" s="1684"/>
      <c r="C14" s="1641" t="s">
        <v>81</v>
      </c>
      <c r="D14" s="1666" t="s">
        <v>464</v>
      </c>
      <c r="E14" s="1700" t="s">
        <v>467</v>
      </c>
      <c r="F14" s="1645" t="s">
        <v>536</v>
      </c>
      <c r="G14" s="1705" t="s">
        <v>466</v>
      </c>
      <c r="H14" s="1659" t="s">
        <v>745</v>
      </c>
      <c r="I14" s="1695" t="s">
        <v>465</v>
      </c>
    </row>
    <row r="15" spans="2:9" ht="21.9" customHeight="1">
      <c r="B15" s="1684"/>
      <c r="C15" s="1656"/>
      <c r="D15" s="1667"/>
      <c r="E15" s="1651"/>
      <c r="F15" s="1661"/>
      <c r="G15" s="1740"/>
      <c r="H15" s="1702"/>
      <c r="I15" s="1696"/>
    </row>
    <row r="16" spans="2:9" ht="21.9" customHeight="1">
      <c r="B16" s="1684"/>
      <c r="C16" s="1641" t="s">
        <v>82</v>
      </c>
      <c r="D16" s="1666" t="s">
        <v>130</v>
      </c>
      <c r="E16" s="1718" t="s">
        <v>741</v>
      </c>
      <c r="F16" s="1645" t="s">
        <v>536</v>
      </c>
      <c r="G16" s="1668" t="s">
        <v>784</v>
      </c>
      <c r="H16" s="1721" t="s">
        <v>746</v>
      </c>
      <c r="I16" s="1722" t="s">
        <v>747</v>
      </c>
    </row>
    <row r="17" spans="2:9" ht="21.9" customHeight="1" thickBot="1">
      <c r="B17" s="1685"/>
      <c r="C17" s="1642"/>
      <c r="D17" s="1717"/>
      <c r="E17" s="1719"/>
      <c r="F17" s="1677"/>
      <c r="G17" s="1720"/>
      <c r="H17" s="1680"/>
      <c r="I17" s="1723"/>
    </row>
    <row r="18" spans="2:9" ht="21.9" customHeight="1">
      <c r="B18" s="1683" t="s">
        <v>337</v>
      </c>
      <c r="C18" s="1686" t="s">
        <v>16</v>
      </c>
      <c r="D18" s="293" t="s">
        <v>98</v>
      </c>
      <c r="E18" s="1689" t="s">
        <v>249</v>
      </c>
      <c r="F18" s="1701" t="s">
        <v>748</v>
      </c>
      <c r="G18" s="1703" t="s">
        <v>749</v>
      </c>
      <c r="H18" s="1704" t="s">
        <v>411</v>
      </c>
      <c r="I18" s="1698" t="s">
        <v>750</v>
      </c>
    </row>
    <row r="19" spans="2:9" ht="21.9" customHeight="1">
      <c r="B19" s="1684"/>
      <c r="C19" s="1656"/>
      <c r="D19" s="289" t="s">
        <v>131</v>
      </c>
      <c r="E19" s="1651"/>
      <c r="F19" s="1702"/>
      <c r="G19" s="1663"/>
      <c r="H19" s="1651"/>
      <c r="I19" s="1699"/>
    </row>
    <row r="20" spans="2:9" ht="29.25" customHeight="1">
      <c r="B20" s="1684"/>
      <c r="C20" s="1641" t="s">
        <v>17</v>
      </c>
      <c r="D20" s="1666" t="s">
        <v>463</v>
      </c>
      <c r="E20" s="1700" t="s">
        <v>462</v>
      </c>
      <c r="F20" s="1645" t="s">
        <v>535</v>
      </c>
      <c r="G20" s="1697" t="s">
        <v>468</v>
      </c>
      <c r="H20" s="1700" t="s">
        <v>95</v>
      </c>
      <c r="I20" s="1695" t="s">
        <v>121</v>
      </c>
    </row>
    <row r="21" spans="2:9" ht="29.25" customHeight="1">
      <c r="B21" s="1684"/>
      <c r="C21" s="1656"/>
      <c r="D21" s="1667"/>
      <c r="E21" s="1651"/>
      <c r="F21" s="1661"/>
      <c r="G21" s="1653"/>
      <c r="H21" s="1651"/>
      <c r="I21" s="1696"/>
    </row>
    <row r="22" spans="2:9" ht="21.9" customHeight="1">
      <c r="B22" s="1684"/>
      <c r="C22" s="1641" t="s">
        <v>78</v>
      </c>
      <c r="D22" s="1705" t="s">
        <v>4</v>
      </c>
      <c r="E22" s="1645" t="s">
        <v>249</v>
      </c>
      <c r="F22" s="1645" t="s">
        <v>535</v>
      </c>
      <c r="G22" s="1697" t="s">
        <v>5</v>
      </c>
      <c r="H22" s="1645" t="s">
        <v>122</v>
      </c>
      <c r="I22" s="1639" t="s">
        <v>528</v>
      </c>
    </row>
    <row r="23" spans="2:9" ht="21.9" customHeight="1">
      <c r="B23" s="1684"/>
      <c r="C23" s="1656"/>
      <c r="D23" s="1667"/>
      <c r="E23" s="1651"/>
      <c r="F23" s="1661"/>
      <c r="G23" s="1691"/>
      <c r="H23" s="1651"/>
      <c r="I23" s="1693"/>
    </row>
    <row r="24" spans="2:9" ht="21.9" customHeight="1">
      <c r="B24" s="1684"/>
      <c r="C24" s="1641" t="s">
        <v>79</v>
      </c>
      <c r="D24" s="1666" t="s">
        <v>481</v>
      </c>
      <c r="E24" s="1645" t="s">
        <v>249</v>
      </c>
      <c r="F24" s="1645" t="s">
        <v>742</v>
      </c>
      <c r="G24" s="1659" t="s">
        <v>751</v>
      </c>
      <c r="H24" s="1645" t="s">
        <v>122</v>
      </c>
      <c r="I24" s="1695" t="s">
        <v>123</v>
      </c>
    </row>
    <row r="25" spans="2:9" ht="21.9" customHeight="1">
      <c r="B25" s="1684"/>
      <c r="C25" s="1656"/>
      <c r="D25" s="1667"/>
      <c r="E25" s="1651"/>
      <c r="F25" s="1661"/>
      <c r="G25" s="1660"/>
      <c r="H25" s="1651"/>
      <c r="I25" s="1696"/>
    </row>
    <row r="26" spans="2:9" ht="21.9" customHeight="1">
      <c r="B26" s="1684"/>
      <c r="C26" s="1641" t="s">
        <v>80</v>
      </c>
      <c r="D26" s="1666" t="s">
        <v>513</v>
      </c>
      <c r="E26" s="1645" t="s">
        <v>249</v>
      </c>
      <c r="F26" s="1645" t="s">
        <v>742</v>
      </c>
      <c r="G26" s="1659" t="s">
        <v>752</v>
      </c>
      <c r="H26" s="1645" t="s">
        <v>95</v>
      </c>
      <c r="I26" s="1695" t="s">
        <v>95</v>
      </c>
    </row>
    <row r="27" spans="2:9" ht="21.9" customHeight="1">
      <c r="B27" s="1684"/>
      <c r="C27" s="1656"/>
      <c r="D27" s="1667"/>
      <c r="E27" s="1651"/>
      <c r="F27" s="1661"/>
      <c r="G27" s="1660"/>
      <c r="H27" s="1651"/>
      <c r="I27" s="1696"/>
    </row>
    <row r="28" spans="2:9" ht="21.9" customHeight="1">
      <c r="B28" s="1684"/>
      <c r="C28" s="1641" t="s">
        <v>81</v>
      </c>
      <c r="D28" s="1666" t="s">
        <v>514</v>
      </c>
      <c r="E28" s="1645" t="s">
        <v>249</v>
      </c>
      <c r="F28" s="1645" t="s">
        <v>742</v>
      </c>
      <c r="G28" s="1659" t="s">
        <v>753</v>
      </c>
      <c r="H28" s="1645" t="s">
        <v>95</v>
      </c>
      <c r="I28" s="1695" t="s">
        <v>95</v>
      </c>
    </row>
    <row r="29" spans="2:9" ht="21.9" customHeight="1">
      <c r="B29" s="1684"/>
      <c r="C29" s="1656"/>
      <c r="D29" s="1667"/>
      <c r="E29" s="1651"/>
      <c r="F29" s="1661"/>
      <c r="G29" s="1660"/>
      <c r="H29" s="1651"/>
      <c r="I29" s="1696"/>
    </row>
    <row r="30" spans="2:9" ht="21.9" customHeight="1">
      <c r="B30" s="1684"/>
      <c r="C30" s="1641" t="s">
        <v>82</v>
      </c>
      <c r="D30" s="290"/>
      <c r="E30" s="1645" t="s">
        <v>526</v>
      </c>
      <c r="F30" s="1708" t="s">
        <v>754</v>
      </c>
      <c r="G30" s="1697" t="s">
        <v>527</v>
      </c>
      <c r="H30" s="1711" t="s">
        <v>122</v>
      </c>
      <c r="I30" s="1672" t="s">
        <v>528</v>
      </c>
    </row>
    <row r="31" spans="2:9" ht="21.9" customHeight="1">
      <c r="B31" s="1684"/>
      <c r="C31" s="1706"/>
      <c r="D31" s="291" t="s">
        <v>529</v>
      </c>
      <c r="E31" s="1650"/>
      <c r="F31" s="1709"/>
      <c r="G31" s="1653"/>
      <c r="H31" s="1712"/>
      <c r="I31" s="1673"/>
    </row>
    <row r="32" spans="2:9" ht="21.9" customHeight="1">
      <c r="B32" s="1684"/>
      <c r="C32" s="1706"/>
      <c r="D32" s="291" t="s">
        <v>530</v>
      </c>
      <c r="E32" s="1650"/>
      <c r="F32" s="1709"/>
      <c r="G32" s="1653"/>
      <c r="H32" s="1712"/>
      <c r="I32" s="897" t="s">
        <v>531</v>
      </c>
    </row>
    <row r="33" spans="2:9" ht="21.9" customHeight="1">
      <c r="B33" s="1684"/>
      <c r="C33" s="1707"/>
      <c r="D33" s="289"/>
      <c r="E33" s="1651"/>
      <c r="F33" s="1710"/>
      <c r="G33" s="1691"/>
      <c r="H33" s="682" t="s">
        <v>532</v>
      </c>
      <c r="I33" s="898" t="s">
        <v>533</v>
      </c>
    </row>
    <row r="34" spans="2:9" ht="21.9" customHeight="1">
      <c r="B34" s="1684"/>
      <c r="C34" s="1641" t="s">
        <v>647</v>
      </c>
      <c r="D34" s="1675" t="s">
        <v>482</v>
      </c>
      <c r="E34" s="1645" t="s">
        <v>249</v>
      </c>
      <c r="F34" s="1645" t="s">
        <v>535</v>
      </c>
      <c r="G34" s="1678" t="s">
        <v>755</v>
      </c>
      <c r="H34" s="1662" t="s">
        <v>756</v>
      </c>
      <c r="I34" s="1681" t="s">
        <v>757</v>
      </c>
    </row>
    <row r="35" spans="2:9" ht="21.9" customHeight="1" thickBot="1">
      <c r="B35" s="1685"/>
      <c r="C35" s="1674"/>
      <c r="D35" s="1676"/>
      <c r="E35" s="1646"/>
      <c r="F35" s="1677"/>
      <c r="G35" s="1679"/>
      <c r="H35" s="1680"/>
      <c r="I35" s="1682"/>
    </row>
    <row r="36" spans="2:9" ht="21.9" customHeight="1">
      <c r="B36" s="1683" t="s">
        <v>338</v>
      </c>
      <c r="C36" s="1686" t="s">
        <v>16</v>
      </c>
      <c r="D36" s="1687" t="s">
        <v>758</v>
      </c>
      <c r="E36" s="1689" t="s">
        <v>249</v>
      </c>
      <c r="F36" s="1689" t="s">
        <v>535</v>
      </c>
      <c r="G36" s="1690" t="s">
        <v>698</v>
      </c>
      <c r="H36" s="1689" t="s">
        <v>122</v>
      </c>
      <c r="I36" s="1692" t="s">
        <v>528</v>
      </c>
    </row>
    <row r="37" spans="2:9" ht="21.9" customHeight="1">
      <c r="B37" s="1684"/>
      <c r="C37" s="1648"/>
      <c r="D37" s="1688"/>
      <c r="E37" s="1651"/>
      <c r="F37" s="1661"/>
      <c r="G37" s="1691"/>
      <c r="H37" s="1651"/>
      <c r="I37" s="1693"/>
    </row>
    <row r="38" spans="2:9" ht="21.9" customHeight="1">
      <c r="B38" s="1684"/>
      <c r="C38" s="1694" t="s">
        <v>17</v>
      </c>
      <c r="D38" s="1666" t="s">
        <v>483</v>
      </c>
      <c r="E38" s="1645" t="s">
        <v>249</v>
      </c>
      <c r="F38" s="1645" t="s">
        <v>742</v>
      </c>
      <c r="G38" s="1179" t="s">
        <v>759</v>
      </c>
      <c r="H38" s="1645" t="s">
        <v>122</v>
      </c>
      <c r="I38" s="1695" t="s">
        <v>123</v>
      </c>
    </row>
    <row r="39" spans="2:9" ht="21.9" customHeight="1">
      <c r="B39" s="1684"/>
      <c r="C39" s="1656"/>
      <c r="D39" s="1667"/>
      <c r="E39" s="1651"/>
      <c r="F39" s="1651"/>
      <c r="G39" s="1180" t="s">
        <v>760</v>
      </c>
      <c r="H39" s="1651"/>
      <c r="I39" s="1696"/>
    </row>
    <row r="40" spans="2:9" ht="21.75" customHeight="1">
      <c r="B40" s="1684"/>
      <c r="C40" s="1641" t="s">
        <v>78</v>
      </c>
      <c r="D40" s="1666" t="s">
        <v>631</v>
      </c>
      <c r="E40" s="1645" t="s">
        <v>632</v>
      </c>
      <c r="F40" s="1645" t="s">
        <v>742</v>
      </c>
      <c r="G40" s="1662" t="s">
        <v>761</v>
      </c>
      <c r="H40" s="1662" t="s">
        <v>762</v>
      </c>
      <c r="I40" s="1664" t="s">
        <v>763</v>
      </c>
    </row>
    <row r="41" spans="2:9" ht="21.75" customHeight="1">
      <c r="B41" s="1684"/>
      <c r="C41" s="1656"/>
      <c r="D41" s="1667"/>
      <c r="E41" s="1651"/>
      <c r="F41" s="1661"/>
      <c r="G41" s="1663"/>
      <c r="H41" s="1663"/>
      <c r="I41" s="1665"/>
    </row>
    <row r="42" spans="2:9" ht="21.9" customHeight="1">
      <c r="B42" s="1684"/>
      <c r="C42" s="1641" t="s">
        <v>79</v>
      </c>
      <c r="D42" s="1666" t="s">
        <v>641</v>
      </c>
      <c r="E42" s="1645" t="s">
        <v>212</v>
      </c>
      <c r="F42" s="1645" t="s">
        <v>537</v>
      </c>
      <c r="G42" s="1668" t="s">
        <v>764</v>
      </c>
      <c r="H42" s="1670" t="s">
        <v>412</v>
      </c>
      <c r="I42" s="1639" t="s">
        <v>643</v>
      </c>
    </row>
    <row r="43" spans="2:9" ht="21.9" customHeight="1">
      <c r="B43" s="1684"/>
      <c r="C43" s="1656"/>
      <c r="D43" s="1667"/>
      <c r="E43" s="1651"/>
      <c r="F43" s="1661"/>
      <c r="G43" s="1669"/>
      <c r="H43" s="1663"/>
      <c r="I43" s="1671"/>
    </row>
    <row r="44" spans="2:9" ht="21.9" customHeight="1">
      <c r="B44" s="1684"/>
      <c r="C44" s="1648" t="s">
        <v>80</v>
      </c>
      <c r="D44" s="1649" t="s">
        <v>484</v>
      </c>
      <c r="E44" s="1650" t="s">
        <v>225</v>
      </c>
      <c r="F44" s="1645" t="s">
        <v>535</v>
      </c>
      <c r="G44" s="1652" t="s">
        <v>765</v>
      </c>
      <c r="H44" s="1645" t="s">
        <v>122</v>
      </c>
      <c r="I44" s="896" t="s">
        <v>539</v>
      </c>
    </row>
    <row r="45" spans="2:9" ht="21.9" customHeight="1">
      <c r="B45" s="1684"/>
      <c r="C45" s="1648"/>
      <c r="D45" s="1638"/>
      <c r="E45" s="1650"/>
      <c r="F45" s="1651"/>
      <c r="G45" s="1653"/>
      <c r="H45" s="1651"/>
      <c r="I45" s="683" t="s">
        <v>540</v>
      </c>
    </row>
    <row r="46" spans="2:9" ht="30.75" customHeight="1">
      <c r="B46" s="1684"/>
      <c r="C46" s="1641" t="s">
        <v>81</v>
      </c>
      <c r="D46" s="1643" t="s">
        <v>694</v>
      </c>
      <c r="E46" s="1645" t="s">
        <v>212</v>
      </c>
      <c r="F46" s="1645" t="s">
        <v>537</v>
      </c>
      <c r="G46" s="1659" t="s">
        <v>766</v>
      </c>
      <c r="H46" s="1645" t="s">
        <v>122</v>
      </c>
      <c r="I46" s="1639" t="s">
        <v>541</v>
      </c>
    </row>
    <row r="47" spans="2:9" ht="30.75" customHeight="1">
      <c r="B47" s="1684"/>
      <c r="C47" s="1656"/>
      <c r="D47" s="1657"/>
      <c r="E47" s="1651"/>
      <c r="F47" s="1658"/>
      <c r="G47" s="1660"/>
      <c r="H47" s="1651"/>
      <c r="I47" s="1640"/>
    </row>
    <row r="48" spans="2:9" ht="21.9" customHeight="1">
      <c r="B48" s="1684"/>
      <c r="C48" s="1641" t="s">
        <v>82</v>
      </c>
      <c r="D48" s="1643" t="s">
        <v>410</v>
      </c>
      <c r="E48" s="1645" t="s">
        <v>249</v>
      </c>
      <c r="F48" s="1645" t="s">
        <v>535</v>
      </c>
      <c r="G48" s="1645" t="s">
        <v>674</v>
      </c>
      <c r="H48" s="1645" t="s">
        <v>132</v>
      </c>
      <c r="I48" s="1654" t="s">
        <v>413</v>
      </c>
    </row>
    <row r="49" spans="2:9" ht="21.9" customHeight="1" thickBot="1">
      <c r="B49" s="1685"/>
      <c r="C49" s="1642"/>
      <c r="D49" s="1644"/>
      <c r="E49" s="1646"/>
      <c r="F49" s="1647"/>
      <c r="G49" s="1647"/>
      <c r="H49" s="1646"/>
      <c r="I49" s="1655"/>
    </row>
    <row r="50" spans="2:9" ht="15" customHeight="1">
      <c r="B50" s="294"/>
      <c r="C50" s="266"/>
      <c r="D50" s="291"/>
      <c r="E50" s="265"/>
      <c r="F50" s="1178" t="s">
        <v>779</v>
      </c>
      <c r="G50" s="295"/>
      <c r="H50" s="265"/>
      <c r="I50" s="265"/>
    </row>
    <row r="51" spans="2:9" ht="15" customHeight="1">
      <c r="B51" s="1637" t="s">
        <v>0</v>
      </c>
      <c r="C51" s="1637"/>
      <c r="D51" s="1637"/>
      <c r="E51" s="1637"/>
      <c r="F51" s="219"/>
    </row>
    <row r="52" spans="2:9" ht="15" customHeight="1">
      <c r="B52" s="1637" t="s">
        <v>1</v>
      </c>
      <c r="C52" s="1637"/>
      <c r="D52" s="1637"/>
      <c r="E52" s="1637"/>
      <c r="F52" s="219"/>
    </row>
    <row r="53" spans="2:9" ht="15" customHeight="1">
      <c r="B53" s="1638" t="s">
        <v>2</v>
      </c>
      <c r="C53" s="1638"/>
      <c r="D53" s="1638"/>
      <c r="E53" s="1638"/>
      <c r="F53" s="291"/>
    </row>
    <row r="54" spans="2:9" ht="15" customHeight="1">
      <c r="B54" s="1637" t="s">
        <v>3</v>
      </c>
      <c r="C54" s="1637"/>
      <c r="D54" s="1637"/>
      <c r="E54" s="1637"/>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17"/>
  <sheetViews>
    <sheetView zoomScale="80" zoomScaleNormal="80" workbookViewId="0">
      <pane xSplit="3" ySplit="67" topLeftCell="G399" activePane="bottomRight" state="frozen"/>
      <selection pane="topRight"/>
      <selection pane="bottomLeft"/>
      <selection pane="bottomRight" activeCell="D399" sqref="D399"/>
    </sheetView>
  </sheetViews>
  <sheetFormatPr defaultRowHeight="13.2"/>
  <cols>
    <col min="1" max="2" width="6.88671875" style="32" customWidth="1"/>
    <col min="3" max="3" width="6.88671875" customWidth="1"/>
    <col min="4" max="4" width="11.33203125" bestFit="1" customWidth="1"/>
    <col min="5" max="5" width="11.21875" bestFit="1" customWidth="1"/>
    <col min="6" max="6" width="11.109375" bestFit="1" customWidth="1"/>
    <col min="7" max="10" width="11.21875" bestFit="1" customWidth="1"/>
    <col min="11" max="11" width="15.109375" bestFit="1" customWidth="1"/>
    <col min="12" max="12" width="3.88671875" customWidth="1"/>
    <col min="13" max="15" width="11.21875" bestFit="1" customWidth="1"/>
    <col min="16" max="18" width="11.109375" bestFit="1" customWidth="1"/>
    <col min="19" max="19" width="11.21875" bestFit="1" customWidth="1"/>
    <col min="20" max="20" width="12.6640625" customWidth="1"/>
    <col min="21" max="21" width="2.6640625" customWidth="1"/>
    <col min="22" max="22" width="12.6640625" customWidth="1"/>
    <col min="23" max="23" width="13.109375" bestFit="1" customWidth="1"/>
    <col min="24" max="24" width="11.88671875" bestFit="1" customWidth="1"/>
    <col min="25" max="25" width="15.77734375" bestFit="1" customWidth="1"/>
    <col min="26" max="29" width="12.6640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4">
      <c r="A4" s="408"/>
      <c r="B4" s="409"/>
      <c r="C4" s="410"/>
      <c r="D4" s="411"/>
      <c r="E4" s="677" t="s">
        <v>176</v>
      </c>
      <c r="F4" s="677" t="s">
        <v>768</v>
      </c>
      <c r="G4" s="677" t="s">
        <v>768</v>
      </c>
      <c r="H4" s="677" t="s">
        <v>177</v>
      </c>
      <c r="I4" s="677" t="s">
        <v>178</v>
      </c>
      <c r="J4" s="677" t="s">
        <v>9</v>
      </c>
      <c r="K4" s="677" t="s">
        <v>179</v>
      </c>
      <c r="L4" s="415"/>
      <c r="M4" s="678" t="s">
        <v>180</v>
      </c>
      <c r="N4" s="678" t="s">
        <v>12</v>
      </c>
      <c r="O4" s="678" t="s">
        <v>500</v>
      </c>
      <c r="P4" s="678" t="s">
        <v>768</v>
      </c>
      <c r="Q4" s="678" t="s">
        <v>768</v>
      </c>
      <c r="R4" s="678" t="s">
        <v>768</v>
      </c>
      <c r="S4" s="678" t="s">
        <v>176</v>
      </c>
      <c r="T4" s="678" t="s">
        <v>502</v>
      </c>
      <c r="U4" s="415"/>
      <c r="V4" s="412"/>
      <c r="W4" s="1144" t="s">
        <v>740</v>
      </c>
      <c r="X4" s="679" t="s">
        <v>768</v>
      </c>
      <c r="Y4" s="679" t="s">
        <v>521</v>
      </c>
      <c r="Z4" s="679" t="s">
        <v>521</v>
      </c>
      <c r="AA4" s="679" t="s">
        <v>181</v>
      </c>
      <c r="AB4" s="679" t="s">
        <v>770</v>
      </c>
      <c r="AC4" s="679" t="s">
        <v>181</v>
      </c>
      <c r="AD4" s="214"/>
    </row>
    <row r="5" spans="1:30" ht="14.4">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4">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4">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4">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4">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7">
        <v>0</v>
      </c>
      <c r="P67" s="1157">
        <v>0</v>
      </c>
      <c r="Q67" s="1157">
        <v>0</v>
      </c>
      <c r="R67" s="1157">
        <v>0</v>
      </c>
      <c r="S67" s="1157">
        <v>0</v>
      </c>
      <c r="T67" s="1157">
        <v>-0.9</v>
      </c>
      <c r="U67" s="859"/>
      <c r="V67" s="651">
        <v>-0.12</v>
      </c>
      <c r="W67" s="1157">
        <v>0.2</v>
      </c>
      <c r="X67" s="1157">
        <v>-1.4</v>
      </c>
      <c r="Y67" s="1157">
        <v>-0.38</v>
      </c>
      <c r="Z67" s="1157">
        <v>-1.7</v>
      </c>
      <c r="AA67" s="1157">
        <v>-0.8</v>
      </c>
      <c r="AB67" s="1157">
        <v>1</v>
      </c>
      <c r="AC67" s="1157">
        <v>-1.1000000000000001</v>
      </c>
      <c r="AD67" s="214"/>
    </row>
    <row r="68" spans="1:30" ht="14.4">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7">
        <v>-1.5</v>
      </c>
      <c r="P68" s="1157">
        <v>2</v>
      </c>
      <c r="Q68" s="1157">
        <v>1.3</v>
      </c>
      <c r="R68" s="1157">
        <v>-0.2</v>
      </c>
      <c r="S68" s="1157">
        <v>1.4</v>
      </c>
      <c r="T68" s="1157">
        <v>0.5</v>
      </c>
      <c r="U68" s="859"/>
      <c r="V68" s="649">
        <v>-0.13</v>
      </c>
      <c r="W68" s="1157">
        <v>-0.5</v>
      </c>
      <c r="X68" s="1157">
        <v>1</v>
      </c>
      <c r="Y68" s="1157">
        <v>-0.27</v>
      </c>
      <c r="Z68" s="1157">
        <v>0.1</v>
      </c>
      <c r="AA68" s="1157">
        <v>0</v>
      </c>
      <c r="AB68" s="1157">
        <v>-0.8</v>
      </c>
      <c r="AC68" s="1157">
        <v>-0.1</v>
      </c>
      <c r="AD68" s="214"/>
    </row>
    <row r="69" spans="1:30" ht="14.4">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7">
        <v>-0.4</v>
      </c>
      <c r="P69" s="1157">
        <v>-1.4</v>
      </c>
      <c r="Q69" s="1157">
        <v>1</v>
      </c>
      <c r="R69" s="1157">
        <v>1.4</v>
      </c>
      <c r="S69" s="1157">
        <v>0.9</v>
      </c>
      <c r="T69" s="1157">
        <v>-0.2</v>
      </c>
      <c r="U69" s="859"/>
      <c r="V69" s="649">
        <v>-0.13</v>
      </c>
      <c r="W69" s="1157">
        <v>-0.4</v>
      </c>
      <c r="X69" s="1157">
        <v>-2.2999999999999998</v>
      </c>
      <c r="Y69" s="1157">
        <v>-1.82</v>
      </c>
      <c r="Z69" s="1157">
        <v>-2</v>
      </c>
      <c r="AA69" s="1157">
        <v>0.2</v>
      </c>
      <c r="AB69" s="1157">
        <v>0.7</v>
      </c>
      <c r="AC69" s="1157">
        <v>1.6</v>
      </c>
      <c r="AD69" s="214"/>
    </row>
    <row r="70" spans="1:30" ht="14.4">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7">
        <v>0.9</v>
      </c>
      <c r="P70" s="1157">
        <v>-1.1000000000000001</v>
      </c>
      <c r="Q70" s="1157">
        <v>-2.1</v>
      </c>
      <c r="R70" s="1157">
        <v>-2.7</v>
      </c>
      <c r="S70" s="1157">
        <v>-2</v>
      </c>
      <c r="T70" s="1157">
        <v>-0.6</v>
      </c>
      <c r="U70" s="859"/>
      <c r="V70" s="649">
        <v>-0.17</v>
      </c>
      <c r="W70" s="1157">
        <v>0.5</v>
      </c>
      <c r="X70" s="1157">
        <v>0.5</v>
      </c>
      <c r="Y70" s="1157">
        <v>-1.25</v>
      </c>
      <c r="Z70" s="1157">
        <v>0.9</v>
      </c>
      <c r="AA70" s="1157">
        <v>-1.9</v>
      </c>
      <c r="AB70" s="1157">
        <v>-3</v>
      </c>
      <c r="AC70" s="1157">
        <v>-1.7</v>
      </c>
      <c r="AD70" s="214"/>
    </row>
    <row r="71" spans="1:30" ht="14.4">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7">
        <v>0.9</v>
      </c>
      <c r="P71" s="1157">
        <v>-2.1</v>
      </c>
      <c r="Q71" s="1157">
        <v>-1.8</v>
      </c>
      <c r="R71" s="1157">
        <v>-0.7</v>
      </c>
      <c r="S71" s="1157">
        <v>-1.9</v>
      </c>
      <c r="T71" s="1157">
        <v>-0.4</v>
      </c>
      <c r="U71" s="859"/>
      <c r="V71" s="649">
        <v>-0.19</v>
      </c>
      <c r="W71" s="1157">
        <v>-0.1</v>
      </c>
      <c r="X71" s="1157">
        <v>-1.9</v>
      </c>
      <c r="Y71" s="1157">
        <v>-0.28999999999999998</v>
      </c>
      <c r="Z71" s="1157">
        <v>-0.3</v>
      </c>
      <c r="AA71" s="1157">
        <v>1.7</v>
      </c>
      <c r="AB71" s="1157">
        <v>0.5</v>
      </c>
      <c r="AC71" s="1157">
        <v>-1.2</v>
      </c>
      <c r="AD71" s="214"/>
    </row>
    <row r="72" spans="1:30" ht="14.4">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7">
        <v>-0.6</v>
      </c>
      <c r="P72" s="1157">
        <v>-0.2</v>
      </c>
      <c r="Q72" s="1157">
        <v>0.7</v>
      </c>
      <c r="R72" s="1157">
        <v>1.6</v>
      </c>
      <c r="S72" s="1157">
        <v>0.6</v>
      </c>
      <c r="T72" s="1157">
        <v>0.6</v>
      </c>
      <c r="U72" s="859"/>
      <c r="V72" s="649">
        <v>-0.17</v>
      </c>
      <c r="W72" s="1157">
        <v>-0.1</v>
      </c>
      <c r="X72" s="1157">
        <v>-1.7</v>
      </c>
      <c r="Y72" s="1157">
        <v>-0.19</v>
      </c>
      <c r="Z72" s="1157">
        <v>-1.3</v>
      </c>
      <c r="AA72" s="1157">
        <v>0.5</v>
      </c>
      <c r="AB72" s="1157">
        <v>-1.3</v>
      </c>
      <c r="AC72" s="1157">
        <v>2</v>
      </c>
      <c r="AD72" s="214"/>
    </row>
    <row r="73" spans="1:30" ht="14.4">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7">
        <v>-1.1000000000000001</v>
      </c>
      <c r="P73" s="1157">
        <v>0.3</v>
      </c>
      <c r="Q73" s="1157">
        <v>0.9</v>
      </c>
      <c r="R73" s="1157">
        <v>0.2</v>
      </c>
      <c r="S73" s="1157">
        <v>1.2</v>
      </c>
      <c r="T73" s="1157">
        <v>-0.1</v>
      </c>
      <c r="U73" s="859"/>
      <c r="V73" s="649">
        <v>-0.17</v>
      </c>
      <c r="W73" s="1157">
        <v>0.2</v>
      </c>
      <c r="X73" s="1157">
        <v>0.1</v>
      </c>
      <c r="Y73" s="1157">
        <v>0.62</v>
      </c>
      <c r="Z73" s="1157">
        <v>0.9</v>
      </c>
      <c r="AA73" s="1157">
        <v>-0.1</v>
      </c>
      <c r="AB73" s="1157">
        <v>0.2</v>
      </c>
      <c r="AC73" s="1157">
        <v>-1.9</v>
      </c>
      <c r="AD73" s="214"/>
    </row>
    <row r="74" spans="1:30" ht="14.4">
      <c r="A74" s="499"/>
      <c r="B74" s="500" t="s">
        <v>141</v>
      </c>
      <c r="C74" s="501">
        <v>8</v>
      </c>
      <c r="D74" s="655">
        <v>-0.4</v>
      </c>
      <c r="E74" s="502">
        <v>-0.6</v>
      </c>
      <c r="F74" s="502">
        <v>-3</v>
      </c>
      <c r="G74" s="502">
        <v>-1.5</v>
      </c>
      <c r="H74" s="502">
        <v>-0.5</v>
      </c>
      <c r="I74" s="502">
        <v>-0.3</v>
      </c>
      <c r="J74" s="502">
        <v>1.2</v>
      </c>
      <c r="K74" s="502">
        <v>-0.1</v>
      </c>
      <c r="L74" s="859"/>
      <c r="M74" s="502">
        <v>-0.128</v>
      </c>
      <c r="N74" s="502">
        <v>-0.3</v>
      </c>
      <c r="O74" s="1157">
        <v>0.3</v>
      </c>
      <c r="P74" s="1157">
        <v>-2.2999999999999998</v>
      </c>
      <c r="Q74" s="1157">
        <v>-2.2999999999999998</v>
      </c>
      <c r="R74" s="1157">
        <v>-2.6</v>
      </c>
      <c r="S74" s="1157">
        <v>-2.4</v>
      </c>
      <c r="T74" s="1157">
        <v>-0.7</v>
      </c>
      <c r="U74" s="859"/>
      <c r="V74" s="649">
        <v>-0.19</v>
      </c>
      <c r="W74" s="1157">
        <v>-0.2</v>
      </c>
      <c r="X74" s="1157">
        <v>-0.5</v>
      </c>
      <c r="Y74" s="1157">
        <v>-1.91</v>
      </c>
      <c r="Z74" s="1157">
        <v>-0.4</v>
      </c>
      <c r="AA74" s="1157">
        <v>-0.4</v>
      </c>
      <c r="AB74" s="1157">
        <v>-0.1</v>
      </c>
      <c r="AC74" s="1157">
        <v>0.3</v>
      </c>
      <c r="AD74" s="214"/>
    </row>
    <row r="75" spans="1:30" ht="14.4">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7">
        <v>-0.1</v>
      </c>
      <c r="P75" s="1157">
        <v>1.8</v>
      </c>
      <c r="Q75" s="1157">
        <v>1.5</v>
      </c>
      <c r="R75" s="1157">
        <v>1.1000000000000001</v>
      </c>
      <c r="S75" s="1157">
        <v>1.5</v>
      </c>
      <c r="T75" s="1157">
        <v>0.3</v>
      </c>
      <c r="U75" s="859"/>
      <c r="V75" s="649">
        <v>-0.18</v>
      </c>
      <c r="W75" s="1157">
        <v>0.1</v>
      </c>
      <c r="X75" s="1157">
        <v>0.8</v>
      </c>
      <c r="Y75" s="1157">
        <v>0.47</v>
      </c>
      <c r="Z75" s="1157">
        <v>-0.8</v>
      </c>
      <c r="AA75" s="1157">
        <v>0.6</v>
      </c>
      <c r="AB75" s="1157">
        <v>0.5</v>
      </c>
      <c r="AC75" s="1157">
        <v>0.8</v>
      </c>
      <c r="AD75" s="214"/>
    </row>
    <row r="76" spans="1:30" ht="14.4">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7">
        <v>0.2</v>
      </c>
      <c r="P76" s="1157">
        <v>-0.4</v>
      </c>
      <c r="Q76" s="1157">
        <v>0.5</v>
      </c>
      <c r="R76" s="1157">
        <v>0</v>
      </c>
      <c r="S76" s="1157">
        <v>0.3</v>
      </c>
      <c r="T76" s="1157">
        <v>1.1000000000000001</v>
      </c>
      <c r="U76" s="859"/>
      <c r="V76" s="649">
        <v>-0.11</v>
      </c>
      <c r="W76" s="1157">
        <v>-1.1000000000000001</v>
      </c>
      <c r="X76" s="1157">
        <v>-0.2</v>
      </c>
      <c r="Y76" s="1157">
        <v>0.14000000000000001</v>
      </c>
      <c r="Z76" s="1157">
        <v>0.8</v>
      </c>
      <c r="AA76" s="1157">
        <v>-0.4</v>
      </c>
      <c r="AB76" s="1157">
        <v>1</v>
      </c>
      <c r="AC76" s="1157">
        <v>-1.4</v>
      </c>
      <c r="AD76" s="214"/>
    </row>
    <row r="77" spans="1:30" ht="14.4">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7">
        <v>-1</v>
      </c>
      <c r="P77" s="1157">
        <v>1.5</v>
      </c>
      <c r="Q77" s="1157">
        <v>0.5</v>
      </c>
      <c r="R77" s="1157">
        <v>-0.1</v>
      </c>
      <c r="S77" s="1157">
        <v>0.6</v>
      </c>
      <c r="T77" s="1157">
        <v>-1.8</v>
      </c>
      <c r="U77" s="859"/>
      <c r="V77" s="649">
        <v>-0.23</v>
      </c>
      <c r="W77" s="1157">
        <v>-0.1</v>
      </c>
      <c r="X77" s="1157">
        <v>2</v>
      </c>
      <c r="Y77" s="1157">
        <v>-1.05</v>
      </c>
      <c r="Z77" s="1157">
        <v>1.2</v>
      </c>
      <c r="AA77" s="1157">
        <v>0.1</v>
      </c>
      <c r="AB77" s="1157">
        <v>0.5</v>
      </c>
      <c r="AC77" s="1157">
        <v>1</v>
      </c>
      <c r="AD77" s="214"/>
    </row>
    <row r="78" spans="1:30" ht="14.4">
      <c r="A78" s="499"/>
      <c r="B78" s="500" t="s">
        <v>141</v>
      </c>
      <c r="C78" s="501">
        <v>12</v>
      </c>
      <c r="D78" s="657">
        <v>-0.18</v>
      </c>
      <c r="E78" s="502">
        <v>0.4</v>
      </c>
      <c r="F78" s="502">
        <v>-1.6</v>
      </c>
      <c r="G78" s="502">
        <v>0</v>
      </c>
      <c r="H78" s="502">
        <v>0.7</v>
      </c>
      <c r="I78" s="502">
        <v>-0.7</v>
      </c>
      <c r="J78" s="502">
        <v>0.6</v>
      </c>
      <c r="K78" s="502">
        <v>-0.2</v>
      </c>
      <c r="L78" s="859"/>
      <c r="M78" s="502">
        <v>-0.1</v>
      </c>
      <c r="N78" s="502">
        <v>-0.4</v>
      </c>
      <c r="O78" s="1157">
        <v>0.8</v>
      </c>
      <c r="P78" s="1157">
        <v>0.8</v>
      </c>
      <c r="Q78" s="1157">
        <v>0.7</v>
      </c>
      <c r="R78" s="1157">
        <v>0.4</v>
      </c>
      <c r="S78" s="1157">
        <v>0.6</v>
      </c>
      <c r="T78" s="1157">
        <v>0.8</v>
      </c>
      <c r="U78" s="859"/>
      <c r="V78" s="651">
        <v>-0.13</v>
      </c>
      <c r="W78" s="1157">
        <v>0.5</v>
      </c>
      <c r="X78" s="1157">
        <v>1.4</v>
      </c>
      <c r="Y78" s="1157">
        <v>0.8</v>
      </c>
      <c r="Z78" s="1157">
        <v>-1</v>
      </c>
      <c r="AA78" s="1157">
        <v>-0.6</v>
      </c>
      <c r="AB78" s="1157">
        <v>-0.2</v>
      </c>
      <c r="AC78" s="1157">
        <v>-0.3</v>
      </c>
      <c r="AD78" s="214"/>
    </row>
    <row r="79" spans="1:30" ht="14.4">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8">
        <v>-0.5</v>
      </c>
      <c r="P79" s="1158">
        <v>-1.7</v>
      </c>
      <c r="Q79" s="1158">
        <v>-2</v>
      </c>
      <c r="R79" s="1158">
        <v>-2.2999999999999998</v>
      </c>
      <c r="S79" s="1158">
        <v>-2.1</v>
      </c>
      <c r="T79" s="1158">
        <v>0.3</v>
      </c>
      <c r="U79" s="858"/>
      <c r="V79" s="648">
        <v>-0.16</v>
      </c>
      <c r="W79" s="1158">
        <v>1.2</v>
      </c>
      <c r="X79" s="1158">
        <v>-1.5</v>
      </c>
      <c r="Y79" s="1158">
        <v>-0.56999999999999995</v>
      </c>
      <c r="Z79" s="1158">
        <v>-1.3</v>
      </c>
      <c r="AA79" s="1158">
        <v>0.2</v>
      </c>
      <c r="AB79" s="1158">
        <v>-1.6</v>
      </c>
      <c r="AC79" s="1158">
        <v>0</v>
      </c>
      <c r="AD79" s="214"/>
    </row>
    <row r="80" spans="1:30" ht="14.4">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7">
        <v>0.3</v>
      </c>
      <c r="P80" s="1157">
        <v>0.9</v>
      </c>
      <c r="Q80" s="1157">
        <v>1.2</v>
      </c>
      <c r="R80" s="1157">
        <v>0.3</v>
      </c>
      <c r="S80" s="1157">
        <v>1</v>
      </c>
      <c r="T80" s="1157">
        <v>-0.6</v>
      </c>
      <c r="U80" s="859"/>
      <c r="V80" s="649">
        <v>-0.16</v>
      </c>
      <c r="W80" s="1157">
        <v>0.2</v>
      </c>
      <c r="X80" s="1157">
        <v>-0.3</v>
      </c>
      <c r="Y80" s="1157">
        <v>-0.63</v>
      </c>
      <c r="Z80" s="1157">
        <v>1.1000000000000001</v>
      </c>
      <c r="AA80" s="1157">
        <v>-0.2</v>
      </c>
      <c r="AB80" s="1157">
        <v>-0.4</v>
      </c>
      <c r="AC80" s="1157">
        <v>-0.7</v>
      </c>
      <c r="AD80" s="214"/>
    </row>
    <row r="81" spans="1:30" ht="14.4">
      <c r="A81" s="499"/>
      <c r="B81" s="500" t="s">
        <v>141</v>
      </c>
      <c r="C81" s="501">
        <v>3</v>
      </c>
      <c r="D81" s="655">
        <v>-0.19</v>
      </c>
      <c r="E81" s="502">
        <v>0.4</v>
      </c>
      <c r="F81" s="502">
        <v>1.2</v>
      </c>
      <c r="G81" s="502">
        <v>-1.2</v>
      </c>
      <c r="H81" s="502">
        <v>-0.6</v>
      </c>
      <c r="I81" s="502">
        <v>0.1</v>
      </c>
      <c r="J81" s="502">
        <v>-0.9</v>
      </c>
      <c r="K81" s="502">
        <v>1.7</v>
      </c>
      <c r="L81" s="859"/>
      <c r="M81" s="502">
        <v>-0.111</v>
      </c>
      <c r="N81" s="502">
        <v>0.1</v>
      </c>
      <c r="O81" s="1157">
        <v>0.7</v>
      </c>
      <c r="P81" s="1157">
        <v>2</v>
      </c>
      <c r="Q81" s="1157">
        <v>2.4</v>
      </c>
      <c r="R81" s="1157">
        <v>2.6</v>
      </c>
      <c r="S81" s="1157">
        <v>2.5</v>
      </c>
      <c r="T81" s="1157">
        <v>0.8</v>
      </c>
      <c r="U81" s="859"/>
      <c r="V81" s="649">
        <v>-0.17</v>
      </c>
      <c r="W81" s="1157">
        <v>-1.6</v>
      </c>
      <c r="X81" s="1157">
        <v>0.5</v>
      </c>
      <c r="Y81" s="1157">
        <v>-0.38</v>
      </c>
      <c r="Z81" s="1157">
        <v>-0.7</v>
      </c>
      <c r="AA81" s="1157">
        <v>0.4</v>
      </c>
      <c r="AB81" s="1157">
        <v>-0.7</v>
      </c>
      <c r="AC81" s="1157">
        <v>0.7</v>
      </c>
      <c r="AD81" s="214"/>
    </row>
    <row r="82" spans="1:30" ht="14.4">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7">
        <v>-0.2</v>
      </c>
      <c r="P82" s="1157">
        <v>-1.8</v>
      </c>
      <c r="Q82" s="1157">
        <v>-2.2000000000000002</v>
      </c>
      <c r="R82" s="1157">
        <v>-1.7</v>
      </c>
      <c r="S82" s="1157">
        <v>-2.2999999999999998</v>
      </c>
      <c r="T82" s="1157">
        <v>-0.8</v>
      </c>
      <c r="U82" s="859"/>
      <c r="V82" s="649">
        <v>-0.19</v>
      </c>
      <c r="W82" s="1157">
        <v>-0.8</v>
      </c>
      <c r="X82" s="1157">
        <v>0.6</v>
      </c>
      <c r="Y82" s="1157">
        <v>0.09</v>
      </c>
      <c r="Z82" s="1157">
        <v>0.2</v>
      </c>
      <c r="AA82" s="1157">
        <v>1.3</v>
      </c>
      <c r="AB82" s="1157">
        <v>1.3</v>
      </c>
      <c r="AC82" s="1157">
        <v>0.5</v>
      </c>
      <c r="AD82" s="214"/>
    </row>
    <row r="83" spans="1:30" ht="14.4">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7">
        <v>0</v>
      </c>
      <c r="P83" s="1157">
        <v>-0.2</v>
      </c>
      <c r="Q83" s="1157">
        <v>-0.9</v>
      </c>
      <c r="R83" s="1157">
        <v>-0.3</v>
      </c>
      <c r="S83" s="1157">
        <v>-0.9</v>
      </c>
      <c r="T83" s="1157">
        <v>-0.1</v>
      </c>
      <c r="U83" s="859"/>
      <c r="V83" s="649">
        <v>-0.14000000000000001</v>
      </c>
      <c r="W83" s="1157">
        <v>-0.2</v>
      </c>
      <c r="X83" s="1157">
        <v>-0.6</v>
      </c>
      <c r="Y83" s="1157">
        <v>0.71</v>
      </c>
      <c r="Z83" s="1157">
        <v>0.2</v>
      </c>
      <c r="AA83" s="1157">
        <v>-1.6</v>
      </c>
      <c r="AB83" s="1157">
        <v>-0.1</v>
      </c>
      <c r="AC83" s="1157">
        <v>-0.5</v>
      </c>
      <c r="AD83" s="214"/>
    </row>
    <row r="84" spans="1:30" ht="14.4">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7">
        <v>0</v>
      </c>
      <c r="P84" s="1157">
        <v>0.8</v>
      </c>
      <c r="Q84" s="1157">
        <v>1.6</v>
      </c>
      <c r="R84" s="1157">
        <v>1.9</v>
      </c>
      <c r="S84" s="1157">
        <v>1.6</v>
      </c>
      <c r="T84" s="1157">
        <v>-0.1</v>
      </c>
      <c r="U84" s="859"/>
      <c r="V84" s="649">
        <v>-0.15</v>
      </c>
      <c r="W84" s="1157">
        <v>0.1</v>
      </c>
      <c r="X84" s="1157">
        <v>0.5</v>
      </c>
      <c r="Y84" s="1157">
        <v>-0.67</v>
      </c>
      <c r="Z84" s="1157">
        <v>0.3</v>
      </c>
      <c r="AA84" s="1157">
        <v>0.4</v>
      </c>
      <c r="AB84" s="1157">
        <v>0.1</v>
      </c>
      <c r="AC84" s="1157">
        <v>-0.1</v>
      </c>
      <c r="AD84" s="214"/>
    </row>
    <row r="85" spans="1:30" ht="14.4">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7">
        <v>1.3</v>
      </c>
      <c r="P85" s="1157">
        <v>-0.4</v>
      </c>
      <c r="Q85" s="1157">
        <v>0.1</v>
      </c>
      <c r="R85" s="1157">
        <v>0</v>
      </c>
      <c r="S85" s="1157">
        <v>-0.1</v>
      </c>
      <c r="T85" s="1157">
        <v>-0.7</v>
      </c>
      <c r="U85" s="859"/>
      <c r="V85" s="649">
        <v>-0.18</v>
      </c>
      <c r="W85" s="1157">
        <v>-0.4</v>
      </c>
      <c r="X85" s="1157">
        <v>-0.5</v>
      </c>
      <c r="Y85" s="1157">
        <v>-0.14000000000000001</v>
      </c>
      <c r="Z85" s="1157">
        <v>0.2</v>
      </c>
      <c r="AA85" s="1157">
        <v>0.2</v>
      </c>
      <c r="AB85" s="1157">
        <v>0.6</v>
      </c>
      <c r="AC85" s="1157">
        <v>0.5</v>
      </c>
      <c r="AD85" s="214"/>
    </row>
    <row r="86" spans="1:30" ht="14.4">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7">
        <v>0.3</v>
      </c>
      <c r="P86" s="1157">
        <v>-2</v>
      </c>
      <c r="Q86" s="1157">
        <v>-1.7</v>
      </c>
      <c r="R86" s="1157">
        <v>-1.4</v>
      </c>
      <c r="S86" s="1157">
        <v>-1.8</v>
      </c>
      <c r="T86" s="1157">
        <v>0.3</v>
      </c>
      <c r="U86" s="859"/>
      <c r="V86" s="649">
        <v>-0.15</v>
      </c>
      <c r="W86" s="1157">
        <v>-0.3</v>
      </c>
      <c r="X86" s="1157">
        <v>-0.8</v>
      </c>
      <c r="Y86" s="1157">
        <v>1.1399999999999999</v>
      </c>
      <c r="Z86" s="1157">
        <v>-0.5</v>
      </c>
      <c r="AA86" s="1157">
        <v>-0.4</v>
      </c>
      <c r="AB86" s="1157">
        <v>0.6</v>
      </c>
      <c r="AC86" s="1157">
        <v>-0.4</v>
      </c>
      <c r="AD86" s="214"/>
    </row>
    <row r="87" spans="1:30" ht="14.4">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7">
        <v>-0.7</v>
      </c>
      <c r="P87" s="1157">
        <v>1.4</v>
      </c>
      <c r="Q87" s="1157">
        <v>2</v>
      </c>
      <c r="R87" s="1157">
        <v>2.4</v>
      </c>
      <c r="S87" s="1157">
        <v>2.1</v>
      </c>
      <c r="T87" s="1157">
        <v>-0.2</v>
      </c>
      <c r="U87" s="859"/>
      <c r="V87" s="649">
        <v>-0.1</v>
      </c>
      <c r="W87" s="1157">
        <v>-0.3</v>
      </c>
      <c r="X87" s="1157">
        <v>0.2</v>
      </c>
      <c r="Y87" s="1157">
        <v>0.91</v>
      </c>
      <c r="Z87" s="1157">
        <v>1.3</v>
      </c>
      <c r="AA87" s="1157">
        <v>1.2</v>
      </c>
      <c r="AB87" s="1157">
        <v>-1.4</v>
      </c>
      <c r="AC87" s="1157">
        <v>0</v>
      </c>
      <c r="AD87" s="214"/>
    </row>
    <row r="88" spans="1:30" ht="14.4">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7">
        <v>0.7</v>
      </c>
      <c r="P88" s="1157">
        <v>-0.2</v>
      </c>
      <c r="Q88" s="1157">
        <v>-0.4</v>
      </c>
      <c r="R88" s="1157">
        <v>-0.5</v>
      </c>
      <c r="S88" s="1157">
        <v>0</v>
      </c>
      <c r="T88" s="1157">
        <v>-0.7</v>
      </c>
      <c r="U88" s="859"/>
      <c r="V88" s="649">
        <v>-0.17</v>
      </c>
      <c r="W88" s="1157">
        <v>-0.3</v>
      </c>
      <c r="X88" s="1157">
        <v>0.5</v>
      </c>
      <c r="Y88" s="1157">
        <v>0.13</v>
      </c>
      <c r="Z88" s="1157">
        <v>-0.1</v>
      </c>
      <c r="AA88" s="1157">
        <v>-0.2</v>
      </c>
      <c r="AB88" s="1157">
        <v>-0.7</v>
      </c>
      <c r="AC88" s="1157">
        <v>0.6</v>
      </c>
      <c r="AD88" s="214"/>
    </row>
    <row r="89" spans="1:30" ht="14.4">
      <c r="A89" s="499"/>
      <c r="B89" s="500" t="s">
        <v>141</v>
      </c>
      <c r="C89" s="501">
        <v>11</v>
      </c>
      <c r="D89" s="655">
        <v>-0.17</v>
      </c>
      <c r="E89" s="502">
        <v>-0.2</v>
      </c>
      <c r="F89" s="502">
        <v>-1</v>
      </c>
      <c r="G89" s="502">
        <v>0.5</v>
      </c>
      <c r="H89" s="502">
        <v>0.4</v>
      </c>
      <c r="I89" s="502">
        <v>0.8</v>
      </c>
      <c r="J89" s="502">
        <v>0.3</v>
      </c>
      <c r="K89" s="502">
        <v>0.3</v>
      </c>
      <c r="L89" s="859"/>
      <c r="M89" s="502">
        <v>0.747</v>
      </c>
      <c r="N89" s="502">
        <v>0.3</v>
      </c>
      <c r="O89" s="1157">
        <v>1.4</v>
      </c>
      <c r="P89" s="1157">
        <v>-0.4</v>
      </c>
      <c r="Q89" s="1157">
        <v>0.3</v>
      </c>
      <c r="R89" s="1157">
        <v>0.4</v>
      </c>
      <c r="S89" s="1157">
        <v>0.2</v>
      </c>
      <c r="T89" s="1157">
        <v>-0.4</v>
      </c>
      <c r="U89" s="859"/>
      <c r="V89" s="649">
        <v>-0.1</v>
      </c>
      <c r="W89" s="1157">
        <v>-0.6</v>
      </c>
      <c r="X89" s="1157">
        <v>-1</v>
      </c>
      <c r="Y89" s="1157">
        <v>0.82</v>
      </c>
      <c r="Z89" s="1157">
        <v>-2</v>
      </c>
      <c r="AA89" s="1157">
        <v>-0.7</v>
      </c>
      <c r="AB89" s="1157">
        <v>0.3</v>
      </c>
      <c r="AC89" s="1157">
        <v>-0.6</v>
      </c>
      <c r="AD89" s="214"/>
    </row>
    <row r="90" spans="1:30" ht="14.4">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9">
        <v>0</v>
      </c>
      <c r="P90" s="1159">
        <v>-0.7</v>
      </c>
      <c r="Q90" s="1159">
        <v>-0.9</v>
      </c>
      <c r="R90" s="1159">
        <v>-0.9</v>
      </c>
      <c r="S90" s="1159">
        <v>-0.9</v>
      </c>
      <c r="T90" s="1159">
        <v>1.7</v>
      </c>
      <c r="U90" s="860"/>
      <c r="V90" s="650">
        <v>-7.0000000000000007E-2</v>
      </c>
      <c r="W90" s="1159">
        <v>-0.8</v>
      </c>
      <c r="X90" s="1159">
        <v>-0.3</v>
      </c>
      <c r="Y90" s="1159">
        <v>-0.51</v>
      </c>
      <c r="Z90" s="1159">
        <v>1.3</v>
      </c>
      <c r="AA90" s="1159">
        <v>-0.5</v>
      </c>
      <c r="AB90" s="1159">
        <v>-0.6</v>
      </c>
      <c r="AC90" s="1159">
        <v>-0.4</v>
      </c>
      <c r="AD90" s="214"/>
    </row>
    <row r="91" spans="1:30" ht="14.4">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7">
        <v>0.4</v>
      </c>
      <c r="P91" s="1157">
        <v>-0.3</v>
      </c>
      <c r="Q91" s="1157">
        <v>-1.6</v>
      </c>
      <c r="R91" s="1157">
        <v>-1</v>
      </c>
      <c r="S91" s="1157">
        <v>-1.7</v>
      </c>
      <c r="T91" s="1157">
        <v>-1.7</v>
      </c>
      <c r="U91" s="859"/>
      <c r="V91" s="651">
        <v>-0.18</v>
      </c>
      <c r="W91" s="1157">
        <v>0.5</v>
      </c>
      <c r="X91" s="1157">
        <v>-0.1</v>
      </c>
      <c r="Y91" s="1157">
        <v>-0.08</v>
      </c>
      <c r="Z91" s="1157">
        <v>0.1</v>
      </c>
      <c r="AA91" s="1157">
        <v>0.2</v>
      </c>
      <c r="AB91" s="1157">
        <v>0.4</v>
      </c>
      <c r="AC91" s="1157">
        <v>0.7</v>
      </c>
      <c r="AD91" s="214"/>
    </row>
    <row r="92" spans="1:30" ht="14.4">
      <c r="A92" s="499"/>
      <c r="B92" s="500" t="s">
        <v>141</v>
      </c>
      <c r="C92" s="501">
        <v>2</v>
      </c>
      <c r="D92" s="655">
        <v>-0.32</v>
      </c>
      <c r="E92" s="502">
        <v>-0.6</v>
      </c>
      <c r="F92" s="502">
        <v>3.2</v>
      </c>
      <c r="G92" s="502">
        <v>1.8</v>
      </c>
      <c r="H92" s="502">
        <v>-1</v>
      </c>
      <c r="I92" s="502">
        <v>-0.4</v>
      </c>
      <c r="J92" s="502">
        <v>2.4</v>
      </c>
      <c r="K92" s="502">
        <v>2</v>
      </c>
      <c r="L92" s="859"/>
      <c r="M92" s="502">
        <v>1.141</v>
      </c>
      <c r="N92" s="502">
        <v>-0.2</v>
      </c>
      <c r="O92" s="1157">
        <v>-0.4</v>
      </c>
      <c r="P92" s="1157">
        <v>1.7</v>
      </c>
      <c r="Q92" s="1157">
        <v>2.4</v>
      </c>
      <c r="R92" s="1157">
        <v>2.2000000000000002</v>
      </c>
      <c r="S92" s="1157">
        <v>2.2999999999999998</v>
      </c>
      <c r="T92" s="1157">
        <v>0.1</v>
      </c>
      <c r="U92" s="859"/>
      <c r="V92" s="649">
        <v>-0.17</v>
      </c>
      <c r="W92" s="1157">
        <v>0.1</v>
      </c>
      <c r="X92" s="1157">
        <v>0.6</v>
      </c>
      <c r="Y92" s="1157">
        <v>-0.95</v>
      </c>
      <c r="Z92" s="1157">
        <v>0</v>
      </c>
      <c r="AA92" s="1157">
        <v>-0.7</v>
      </c>
      <c r="AB92" s="1157">
        <v>0.4</v>
      </c>
      <c r="AC92" s="1157">
        <v>0.1</v>
      </c>
      <c r="AD92" s="214"/>
    </row>
    <row r="93" spans="1:30" ht="14.4">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7">
        <v>0.5</v>
      </c>
      <c r="P93" s="1157">
        <v>1.9</v>
      </c>
      <c r="Q93" s="1157">
        <v>2</v>
      </c>
      <c r="R93" s="1157">
        <v>1.1000000000000001</v>
      </c>
      <c r="S93" s="1157">
        <v>2.1</v>
      </c>
      <c r="T93" s="1157">
        <v>0.6</v>
      </c>
      <c r="U93" s="859"/>
      <c r="V93" s="649">
        <v>-0.1</v>
      </c>
      <c r="W93" s="1157">
        <v>-0.2</v>
      </c>
      <c r="X93" s="1157">
        <v>0.6</v>
      </c>
      <c r="Y93" s="1157">
        <v>0.28999999999999998</v>
      </c>
      <c r="Z93" s="1157">
        <v>-1.1000000000000001</v>
      </c>
      <c r="AA93" s="1157">
        <v>0.7</v>
      </c>
      <c r="AB93" s="1157">
        <v>0</v>
      </c>
      <c r="AC93" s="1157">
        <v>-1.6</v>
      </c>
      <c r="AD93" s="214"/>
    </row>
    <row r="94" spans="1:30" ht="14.4">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7">
        <v>-0.2</v>
      </c>
      <c r="P94" s="1157">
        <v>-3.6</v>
      </c>
      <c r="Q94" s="1157">
        <v>-2.9</v>
      </c>
      <c r="R94" s="1157">
        <v>-1.9</v>
      </c>
      <c r="S94" s="1157">
        <v>-3</v>
      </c>
      <c r="T94" s="1157">
        <v>-0.2</v>
      </c>
      <c r="U94" s="859"/>
      <c r="V94" s="649">
        <v>-0.08</v>
      </c>
      <c r="W94" s="1157">
        <v>-0.2</v>
      </c>
      <c r="X94" s="1157">
        <v>-1</v>
      </c>
      <c r="Y94" s="1157">
        <v>0.64</v>
      </c>
      <c r="Z94" s="1157">
        <v>0.5</v>
      </c>
      <c r="AA94" s="1157">
        <v>0.4</v>
      </c>
      <c r="AB94" s="1157">
        <v>-0.9</v>
      </c>
      <c r="AC94" s="1157">
        <v>1.7</v>
      </c>
      <c r="AD94" s="214"/>
    </row>
    <row r="95" spans="1:30" ht="14.4">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7">
        <v>-0.2</v>
      </c>
      <c r="P95" s="1157">
        <v>2.4</v>
      </c>
      <c r="Q95" s="1157">
        <v>0.9</v>
      </c>
      <c r="R95" s="1157">
        <v>0.1</v>
      </c>
      <c r="S95" s="1157">
        <v>0.9</v>
      </c>
      <c r="T95" s="1157">
        <v>0.2</v>
      </c>
      <c r="U95" s="859"/>
      <c r="V95" s="649">
        <v>-0.09</v>
      </c>
      <c r="W95" s="1157">
        <v>-0.1</v>
      </c>
      <c r="X95" s="1157">
        <v>1.5</v>
      </c>
      <c r="Y95" s="1157">
        <v>1.39</v>
      </c>
      <c r="Z95" s="1157">
        <v>0.1</v>
      </c>
      <c r="AA95" s="1157">
        <v>0.1</v>
      </c>
      <c r="AB95" s="1157">
        <v>0</v>
      </c>
      <c r="AC95" s="1157">
        <v>-0.3</v>
      </c>
      <c r="AD95" s="214"/>
    </row>
    <row r="96" spans="1:30" ht="14.4">
      <c r="A96" s="499"/>
      <c r="B96" s="500" t="s">
        <v>141</v>
      </c>
      <c r="C96" s="501">
        <v>6</v>
      </c>
      <c r="D96" s="655">
        <v>-0.12</v>
      </c>
      <c r="E96" s="502">
        <v>-0.6</v>
      </c>
      <c r="F96" s="502">
        <v>2.1</v>
      </c>
      <c r="G96" s="502">
        <v>2.9</v>
      </c>
      <c r="H96" s="502">
        <v>0.1</v>
      </c>
      <c r="I96" s="502">
        <v>-0.8</v>
      </c>
      <c r="J96" s="502">
        <v>-1.8</v>
      </c>
      <c r="K96" s="502">
        <v>-0.3</v>
      </c>
      <c r="L96" s="859"/>
      <c r="M96" s="502">
        <v>0.68200000000000005</v>
      </c>
      <c r="N96" s="502">
        <v>-1.2</v>
      </c>
      <c r="O96" s="1157">
        <v>0.2</v>
      </c>
      <c r="P96" s="1157">
        <v>-0.1</v>
      </c>
      <c r="Q96" s="1157">
        <v>0.9</v>
      </c>
      <c r="R96" s="1157">
        <v>1.5</v>
      </c>
      <c r="S96" s="1157">
        <v>1</v>
      </c>
      <c r="T96" s="1157">
        <v>-0.4</v>
      </c>
      <c r="U96" s="859"/>
      <c r="V96" s="649">
        <v>-7.0000000000000007E-2</v>
      </c>
      <c r="W96" s="1157">
        <v>-1</v>
      </c>
      <c r="X96" s="1157">
        <v>-0.4</v>
      </c>
      <c r="Y96" s="1157">
        <v>-0.18</v>
      </c>
      <c r="Z96" s="1157">
        <v>0.4</v>
      </c>
      <c r="AA96" s="1157">
        <v>0.1</v>
      </c>
      <c r="AB96" s="1157">
        <v>0.6</v>
      </c>
      <c r="AC96" s="1157">
        <v>0</v>
      </c>
      <c r="AD96" s="214"/>
    </row>
    <row r="97" spans="1:30" ht="14.4">
      <c r="A97" s="499"/>
      <c r="B97" s="500" t="s">
        <v>141</v>
      </c>
      <c r="C97" s="501">
        <v>7</v>
      </c>
      <c r="D97" s="655">
        <v>-0.05</v>
      </c>
      <c r="E97" s="502">
        <v>-0.9</v>
      </c>
      <c r="F97" s="502">
        <v>0.3</v>
      </c>
      <c r="G97" s="502">
        <v>0.6</v>
      </c>
      <c r="H97" s="502">
        <v>-0.4</v>
      </c>
      <c r="I97" s="502">
        <v>-1</v>
      </c>
      <c r="J97" s="502">
        <v>-0.4</v>
      </c>
      <c r="K97" s="502">
        <v>-0.3</v>
      </c>
      <c r="L97" s="859"/>
      <c r="M97" s="502">
        <v>0.19</v>
      </c>
      <c r="N97" s="502">
        <v>0.2</v>
      </c>
      <c r="O97" s="1157">
        <v>-0.2</v>
      </c>
      <c r="P97" s="1157">
        <v>0.7</v>
      </c>
      <c r="Q97" s="1157">
        <v>0.1</v>
      </c>
      <c r="R97" s="1157">
        <v>-0.3</v>
      </c>
      <c r="S97" s="1157">
        <v>-0.1</v>
      </c>
      <c r="T97" s="1157">
        <v>1</v>
      </c>
      <c r="U97" s="859"/>
      <c r="V97" s="649">
        <v>-0.04</v>
      </c>
      <c r="W97" s="1157">
        <v>-0.5</v>
      </c>
      <c r="X97" s="1157">
        <v>0.8</v>
      </c>
      <c r="Y97" s="1157">
        <v>0.27</v>
      </c>
      <c r="Z97" s="1157">
        <v>-0.4</v>
      </c>
      <c r="AA97" s="1157">
        <v>0.3</v>
      </c>
      <c r="AB97" s="1157">
        <v>0.8</v>
      </c>
      <c r="AC97" s="1157">
        <v>0.1</v>
      </c>
      <c r="AD97" s="214"/>
    </row>
    <row r="98" spans="1:30" ht="14.4">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7">
        <v>0.5</v>
      </c>
      <c r="P98" s="1157">
        <v>-0.7</v>
      </c>
      <c r="Q98" s="1157">
        <v>-1.2</v>
      </c>
      <c r="R98" s="1157">
        <v>-1</v>
      </c>
      <c r="S98" s="1157">
        <v>-1.6</v>
      </c>
      <c r="T98" s="1157">
        <v>-0.9</v>
      </c>
      <c r="U98" s="859"/>
      <c r="V98" s="649">
        <v>-0.04</v>
      </c>
      <c r="W98" s="1157">
        <v>0.1</v>
      </c>
      <c r="X98" s="1157">
        <v>0.8</v>
      </c>
      <c r="Y98" s="1157">
        <v>0.49</v>
      </c>
      <c r="Z98" s="1157">
        <v>-0.2</v>
      </c>
      <c r="AA98" s="1157">
        <v>-0.5</v>
      </c>
      <c r="AB98" s="1157">
        <v>-0.3</v>
      </c>
      <c r="AC98" s="1157">
        <v>-0.2</v>
      </c>
      <c r="AD98" s="214"/>
    </row>
    <row r="99" spans="1:30" ht="14.4">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7">
        <v>0</v>
      </c>
      <c r="P99" s="1157">
        <v>1</v>
      </c>
      <c r="Q99" s="1157">
        <v>1.6</v>
      </c>
      <c r="R99" s="1157">
        <v>1.1000000000000001</v>
      </c>
      <c r="S99" s="1157">
        <v>1.5</v>
      </c>
      <c r="T99" s="1157">
        <v>0.3</v>
      </c>
      <c r="U99" s="859"/>
      <c r="V99" s="649">
        <v>-0.11</v>
      </c>
      <c r="W99" s="1157">
        <v>0.1</v>
      </c>
      <c r="X99" s="1157">
        <v>-0.8</v>
      </c>
      <c r="Y99" s="1157">
        <v>-0.27</v>
      </c>
      <c r="Z99" s="1157">
        <v>-0.4</v>
      </c>
      <c r="AA99" s="1157">
        <v>0.2</v>
      </c>
      <c r="AB99" s="1157">
        <v>-0.1</v>
      </c>
      <c r="AC99" s="1157">
        <v>0</v>
      </c>
      <c r="AD99" s="214"/>
    </row>
    <row r="100" spans="1:30" ht="14.4">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7">
        <v>0.2</v>
      </c>
      <c r="P100" s="1157">
        <v>-0.4</v>
      </c>
      <c r="Q100" s="1157">
        <v>0.4</v>
      </c>
      <c r="R100" s="1157">
        <v>1</v>
      </c>
      <c r="S100" s="1157">
        <v>0.4</v>
      </c>
      <c r="T100" s="1157">
        <v>-0.2</v>
      </c>
      <c r="U100" s="859"/>
      <c r="V100" s="649">
        <v>-0.09</v>
      </c>
      <c r="W100" s="1157">
        <v>-0.1</v>
      </c>
      <c r="X100" s="1157">
        <v>0.8</v>
      </c>
      <c r="Y100" s="1157">
        <v>0.34</v>
      </c>
      <c r="Z100" s="1157">
        <v>1.8</v>
      </c>
      <c r="AA100" s="1157">
        <v>-0.6</v>
      </c>
      <c r="AB100" s="1157">
        <v>-0.6</v>
      </c>
      <c r="AC100" s="1157">
        <v>0.1</v>
      </c>
      <c r="AD100" s="214"/>
    </row>
    <row r="101" spans="1:30" ht="14.4">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7">
        <v>0</v>
      </c>
      <c r="P101" s="1157">
        <v>1.2</v>
      </c>
      <c r="Q101" s="1157">
        <v>0.7</v>
      </c>
      <c r="R101" s="1157">
        <v>-0.1</v>
      </c>
      <c r="S101" s="1157">
        <v>0.2</v>
      </c>
      <c r="T101" s="1157">
        <v>0</v>
      </c>
      <c r="U101" s="859"/>
      <c r="V101" s="649">
        <v>-7.0000000000000007E-2</v>
      </c>
      <c r="W101" s="1157">
        <v>0.1</v>
      </c>
      <c r="X101" s="1157">
        <v>0.5</v>
      </c>
      <c r="Y101" s="1157">
        <v>-0.37</v>
      </c>
      <c r="Z101" s="1157">
        <v>-0.3</v>
      </c>
      <c r="AA101" s="1157">
        <v>0.4</v>
      </c>
      <c r="AB101" s="1157">
        <v>0.3</v>
      </c>
      <c r="AC101" s="1157">
        <v>0</v>
      </c>
      <c r="AD101" s="214"/>
    </row>
    <row r="102" spans="1:30" ht="14.4">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7">
        <v>-0.4</v>
      </c>
      <c r="P102" s="1157">
        <v>-0.2</v>
      </c>
      <c r="Q102" s="1157">
        <v>0.4</v>
      </c>
      <c r="R102" s="1157">
        <v>0.6</v>
      </c>
      <c r="S102" s="1157">
        <v>0.3</v>
      </c>
      <c r="T102" s="1157">
        <v>-0.8</v>
      </c>
      <c r="U102" s="859"/>
      <c r="V102" s="651">
        <v>-0.18</v>
      </c>
      <c r="W102" s="1157">
        <v>-0.8</v>
      </c>
      <c r="X102" s="1157">
        <v>-0.1</v>
      </c>
      <c r="Y102" s="1157">
        <v>-0.21</v>
      </c>
      <c r="Z102" s="1157">
        <v>-0.6</v>
      </c>
      <c r="AA102" s="1157">
        <v>1.7</v>
      </c>
      <c r="AB102" s="1157">
        <v>0.1</v>
      </c>
      <c r="AC102" s="1157">
        <v>-0.1</v>
      </c>
      <c r="AD102" s="214"/>
    </row>
    <row r="103" spans="1:30" ht="14.4">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8">
        <v>-0.7</v>
      </c>
      <c r="P103" s="1158">
        <v>1.4</v>
      </c>
      <c r="Q103" s="1158">
        <v>-1.7</v>
      </c>
      <c r="R103" s="1158">
        <v>-2.2000000000000002</v>
      </c>
      <c r="S103" s="1158">
        <v>-1.8</v>
      </c>
      <c r="T103" s="1158">
        <v>1.1000000000000001</v>
      </c>
      <c r="U103" s="858"/>
      <c r="V103" s="648">
        <v>-7.0000000000000007E-2</v>
      </c>
      <c r="W103" s="1158">
        <v>-0.2</v>
      </c>
      <c r="X103" s="1158">
        <v>1.3</v>
      </c>
      <c r="Y103" s="1158">
        <v>0.09</v>
      </c>
      <c r="Z103" s="1158">
        <v>0.4</v>
      </c>
      <c r="AA103" s="1158">
        <v>-1.4</v>
      </c>
      <c r="AB103" s="1158">
        <v>-0.4</v>
      </c>
      <c r="AC103" s="1158">
        <v>0</v>
      </c>
      <c r="AD103" s="214"/>
    </row>
    <row r="104" spans="1:30" ht="14.4">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7">
        <v>0.2</v>
      </c>
      <c r="P104" s="1157">
        <v>1.7</v>
      </c>
      <c r="Q104" s="1157">
        <v>1.1000000000000001</v>
      </c>
      <c r="R104" s="1157">
        <v>-0.3</v>
      </c>
      <c r="S104" s="1157">
        <v>1.3</v>
      </c>
      <c r="T104" s="1157">
        <v>-1.2</v>
      </c>
      <c r="U104" s="859"/>
      <c r="V104" s="649">
        <v>-0.23</v>
      </c>
      <c r="W104" s="1157">
        <v>-1.1000000000000001</v>
      </c>
      <c r="X104" s="1157">
        <v>0.3</v>
      </c>
      <c r="Y104" s="1157">
        <v>0.93</v>
      </c>
      <c r="Z104" s="1157">
        <v>-0.5</v>
      </c>
      <c r="AA104" s="1157">
        <v>0.4</v>
      </c>
      <c r="AB104" s="1157">
        <v>-0.3</v>
      </c>
      <c r="AC104" s="1157">
        <v>0</v>
      </c>
      <c r="AD104" s="214"/>
    </row>
    <row r="105" spans="1:30" ht="14.4">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7">
        <v>0.5</v>
      </c>
      <c r="P105" s="1157">
        <v>-0.8</v>
      </c>
      <c r="Q105" s="1157">
        <v>0.4</v>
      </c>
      <c r="R105" s="1157">
        <v>0.7</v>
      </c>
      <c r="S105" s="1157">
        <v>0.7</v>
      </c>
      <c r="T105" s="1157">
        <v>0.2</v>
      </c>
      <c r="U105" s="859"/>
      <c r="V105" s="649">
        <v>-0.19</v>
      </c>
      <c r="W105" s="1157">
        <v>-1.1000000000000001</v>
      </c>
      <c r="X105" s="1157">
        <v>-1.7</v>
      </c>
      <c r="Y105" s="1157">
        <v>-0.18</v>
      </c>
      <c r="Z105" s="1157">
        <v>1.3</v>
      </c>
      <c r="AA105" s="1157">
        <v>-1.5</v>
      </c>
      <c r="AB105" s="1157">
        <v>0</v>
      </c>
      <c r="AC105" s="1157">
        <v>0.5</v>
      </c>
      <c r="AD105" s="214"/>
    </row>
    <row r="106" spans="1:30" ht="14.4">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7">
        <v>-1.9</v>
      </c>
      <c r="P106" s="1157">
        <v>-2.9</v>
      </c>
      <c r="Q106" s="1157">
        <v>-1.8</v>
      </c>
      <c r="R106" s="1157">
        <v>0.6</v>
      </c>
      <c r="S106" s="1157">
        <v>-1.6</v>
      </c>
      <c r="T106" s="1157">
        <v>0.8</v>
      </c>
      <c r="U106" s="859"/>
      <c r="V106" s="649">
        <v>-0.09</v>
      </c>
      <c r="W106" s="1157">
        <v>1.5</v>
      </c>
      <c r="X106" s="1157">
        <v>-0.3</v>
      </c>
      <c r="Y106" s="1157">
        <v>-0.4</v>
      </c>
      <c r="Z106" s="1157">
        <v>-0.3</v>
      </c>
      <c r="AA106" s="1157">
        <v>0.1</v>
      </c>
      <c r="AB106" s="1157">
        <v>0.2</v>
      </c>
      <c r="AC106" s="1157">
        <v>-2</v>
      </c>
      <c r="AD106" s="214"/>
    </row>
    <row r="107" spans="1:30" ht="14.4">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7">
        <v>-0.5</v>
      </c>
      <c r="P107" s="1157">
        <v>1.2</v>
      </c>
      <c r="Q107" s="1157">
        <v>-1.3</v>
      </c>
      <c r="R107" s="1157">
        <v>-2.1</v>
      </c>
      <c r="S107" s="1157">
        <v>-1.2</v>
      </c>
      <c r="T107" s="1157">
        <v>-0.1</v>
      </c>
      <c r="U107" s="859"/>
      <c r="V107" s="649">
        <v>-0.17</v>
      </c>
      <c r="W107" s="1157">
        <v>0.3</v>
      </c>
      <c r="X107" s="1157">
        <v>0.2</v>
      </c>
      <c r="Y107" s="1157">
        <v>-0.61</v>
      </c>
      <c r="Z107" s="1157">
        <v>-0.7</v>
      </c>
      <c r="AA107" s="1157">
        <v>-0.3</v>
      </c>
      <c r="AB107" s="1157">
        <v>-0.1</v>
      </c>
      <c r="AC107" s="1157">
        <v>1.8</v>
      </c>
      <c r="AD107" s="214"/>
    </row>
    <row r="108" spans="1:30" ht="14.4">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7">
        <v>-0.5</v>
      </c>
      <c r="P108" s="1157">
        <v>-1.1000000000000001</v>
      </c>
      <c r="Q108" s="1157">
        <v>-0.8</v>
      </c>
      <c r="R108" s="1157">
        <v>0.3</v>
      </c>
      <c r="S108" s="1157">
        <v>-0.7</v>
      </c>
      <c r="T108" s="1157">
        <v>0.3</v>
      </c>
      <c r="U108" s="859"/>
      <c r="V108" s="649">
        <v>-0.14000000000000001</v>
      </c>
      <c r="W108" s="1157">
        <v>-0.5</v>
      </c>
      <c r="X108" s="1157">
        <v>-1.1000000000000001</v>
      </c>
      <c r="Y108" s="1157">
        <v>0.11</v>
      </c>
      <c r="Z108" s="1157">
        <v>0.1</v>
      </c>
      <c r="AA108" s="1157">
        <v>-0.3</v>
      </c>
      <c r="AB108" s="1157">
        <v>0.4</v>
      </c>
      <c r="AC108" s="1157">
        <v>-0.3</v>
      </c>
      <c r="AD108" s="214"/>
    </row>
    <row r="109" spans="1:30" ht="14.4">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7">
        <v>0.3</v>
      </c>
      <c r="P109" s="1157">
        <v>-2.8</v>
      </c>
      <c r="Q109" s="1157">
        <v>-2.2000000000000002</v>
      </c>
      <c r="R109" s="1157">
        <v>-0.3</v>
      </c>
      <c r="S109" s="1157">
        <v>-2.2999999999999998</v>
      </c>
      <c r="T109" s="1157">
        <v>-1.3</v>
      </c>
      <c r="U109" s="859"/>
      <c r="V109" s="649">
        <v>-0.27</v>
      </c>
      <c r="W109" s="1157">
        <v>-0.1</v>
      </c>
      <c r="X109" s="1157">
        <v>-1.7</v>
      </c>
      <c r="Y109" s="1157">
        <v>-0.23</v>
      </c>
      <c r="Z109" s="1157">
        <v>0.2</v>
      </c>
      <c r="AA109" s="1157">
        <v>-0.4</v>
      </c>
      <c r="AB109" s="1157">
        <v>-1.1000000000000001</v>
      </c>
      <c r="AC109" s="1157">
        <v>-0.8</v>
      </c>
      <c r="AD109" s="214"/>
    </row>
    <row r="110" spans="1:30" ht="14.4">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7">
        <v>-0.7</v>
      </c>
      <c r="P110" s="1157">
        <v>0.5</v>
      </c>
      <c r="Q110" s="1157">
        <v>-1</v>
      </c>
      <c r="R110" s="1157">
        <v>-2</v>
      </c>
      <c r="S110" s="1157">
        <v>-1.1000000000000001</v>
      </c>
      <c r="T110" s="1157">
        <v>0.3</v>
      </c>
      <c r="U110" s="859"/>
      <c r="V110" s="649">
        <v>-0.26</v>
      </c>
      <c r="W110" s="1157">
        <v>-0.5</v>
      </c>
      <c r="X110" s="1157">
        <v>1.3</v>
      </c>
      <c r="Y110" s="1157">
        <v>-7.0000000000000007E-2</v>
      </c>
      <c r="Z110" s="1157">
        <v>-0.4</v>
      </c>
      <c r="AA110" s="1157">
        <v>0</v>
      </c>
      <c r="AB110" s="1157">
        <v>-0.1</v>
      </c>
      <c r="AC110" s="1157">
        <v>0.5</v>
      </c>
      <c r="AD110" s="214"/>
    </row>
    <row r="111" spans="1:30" ht="14.4">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7">
        <v>-0.3</v>
      </c>
      <c r="P111" s="1157">
        <v>1.3</v>
      </c>
      <c r="Q111" s="1157">
        <v>2</v>
      </c>
      <c r="R111" s="1157">
        <v>1.1000000000000001</v>
      </c>
      <c r="S111" s="1157">
        <v>2.2999999999999998</v>
      </c>
      <c r="T111" s="1157">
        <v>1.9</v>
      </c>
      <c r="U111" s="859"/>
      <c r="V111" s="649">
        <v>-0.17</v>
      </c>
      <c r="W111" s="1157">
        <v>-0.1</v>
      </c>
      <c r="X111" s="1157">
        <v>-0.5</v>
      </c>
      <c r="Y111" s="1157">
        <v>-1.17</v>
      </c>
      <c r="Z111" s="1157">
        <v>0.3</v>
      </c>
      <c r="AA111" s="1157">
        <v>0.1</v>
      </c>
      <c r="AB111" s="1157">
        <v>0</v>
      </c>
      <c r="AC111" s="1157">
        <v>-0.6</v>
      </c>
      <c r="AD111" s="214"/>
    </row>
    <row r="112" spans="1:30" ht="14.4">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7">
        <v>-0.9</v>
      </c>
      <c r="P112" s="1157">
        <v>-2.2999999999999998</v>
      </c>
      <c r="Q112" s="1157">
        <v>-0.8</v>
      </c>
      <c r="R112" s="1157">
        <v>0.4</v>
      </c>
      <c r="S112" s="1157">
        <v>-1.2</v>
      </c>
      <c r="T112" s="1157">
        <v>-1.9</v>
      </c>
      <c r="U112" s="859"/>
      <c r="V112" s="649">
        <v>-0.28000000000000003</v>
      </c>
      <c r="W112" s="1157">
        <v>0.1</v>
      </c>
      <c r="X112" s="1157">
        <v>-1.2</v>
      </c>
      <c r="Y112" s="1157">
        <v>0.27</v>
      </c>
      <c r="Z112" s="1157">
        <v>-1.5</v>
      </c>
      <c r="AA112" s="1157">
        <v>0.5</v>
      </c>
      <c r="AB112" s="1157">
        <v>0.8</v>
      </c>
      <c r="AC112" s="1157">
        <v>0</v>
      </c>
      <c r="AD112" s="214"/>
    </row>
    <row r="113" spans="1:30" ht="14.4">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7">
        <v>0.6</v>
      </c>
      <c r="P113" s="1157">
        <v>-0.5</v>
      </c>
      <c r="Q113" s="1157">
        <v>-0.6</v>
      </c>
      <c r="R113" s="1157">
        <v>-0.9</v>
      </c>
      <c r="S113" s="1157">
        <v>-0.4</v>
      </c>
      <c r="T113" s="1157">
        <v>0.3</v>
      </c>
      <c r="U113" s="859"/>
      <c r="V113" s="649">
        <v>-0.28000000000000003</v>
      </c>
      <c r="W113" s="1157">
        <v>-0.6</v>
      </c>
      <c r="X113" s="1157">
        <v>-1</v>
      </c>
      <c r="Y113" s="1157">
        <v>-0.6</v>
      </c>
      <c r="Z113" s="1157">
        <v>1</v>
      </c>
      <c r="AA113" s="1157">
        <v>-0.1</v>
      </c>
      <c r="AB113" s="1157">
        <v>-1</v>
      </c>
      <c r="AC113" s="1157">
        <v>0.4</v>
      </c>
      <c r="AD113" s="214"/>
    </row>
    <row r="114" spans="1:30" ht="14.4">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9">
        <v>0.6</v>
      </c>
      <c r="P114" s="1159">
        <v>-0.5</v>
      </c>
      <c r="Q114" s="1159">
        <v>-1.1000000000000001</v>
      </c>
      <c r="R114" s="1159">
        <v>-1.2</v>
      </c>
      <c r="S114" s="1159">
        <v>-1.2</v>
      </c>
      <c r="T114" s="1159">
        <v>-0.4</v>
      </c>
      <c r="U114" s="860"/>
      <c r="V114" s="650">
        <v>-0.3</v>
      </c>
      <c r="W114" s="1159">
        <v>-0.4</v>
      </c>
      <c r="X114" s="1159">
        <v>-0.5</v>
      </c>
      <c r="Y114" s="1159">
        <v>-0.1</v>
      </c>
      <c r="Z114" s="1159">
        <v>-0.2</v>
      </c>
      <c r="AA114" s="1159">
        <v>0.5</v>
      </c>
      <c r="AB114" s="1159">
        <v>0.4</v>
      </c>
      <c r="AC114" s="1159">
        <v>0.5</v>
      </c>
      <c r="AD114" s="214"/>
    </row>
    <row r="115" spans="1:30" ht="14.4">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7">
        <v>1.3</v>
      </c>
      <c r="P115" s="1157">
        <v>-0.3</v>
      </c>
      <c r="Q115" s="1157">
        <v>-0.8</v>
      </c>
      <c r="R115" s="1157">
        <v>-0.3</v>
      </c>
      <c r="S115" s="1157">
        <v>-0.1</v>
      </c>
      <c r="T115" s="1157">
        <v>0</v>
      </c>
      <c r="U115" s="859"/>
      <c r="V115" s="651">
        <v>-0.27</v>
      </c>
      <c r="W115" s="1157">
        <v>-1.1000000000000001</v>
      </c>
      <c r="X115" s="1157">
        <v>0.6</v>
      </c>
      <c r="Y115" s="1157">
        <v>1.43</v>
      </c>
      <c r="Z115" s="1157">
        <v>0</v>
      </c>
      <c r="AA115" s="1157">
        <v>-0.3</v>
      </c>
      <c r="AB115" s="1157">
        <v>0</v>
      </c>
      <c r="AC115" s="1157">
        <v>0.1</v>
      </c>
      <c r="AD115" s="214"/>
    </row>
    <row r="116" spans="1:30" ht="14.4">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7">
        <v>0.6</v>
      </c>
      <c r="P116" s="1157">
        <v>1</v>
      </c>
      <c r="Q116" s="1157">
        <v>1.2</v>
      </c>
      <c r="R116" s="1157">
        <v>0.8</v>
      </c>
      <c r="S116" s="1157">
        <v>1.6</v>
      </c>
      <c r="T116" s="1157">
        <v>-0.2</v>
      </c>
      <c r="U116" s="859"/>
      <c r="V116" s="649">
        <v>-0.28999999999999998</v>
      </c>
      <c r="W116" s="1157">
        <v>-0.3</v>
      </c>
      <c r="X116" s="1157">
        <v>0.2</v>
      </c>
      <c r="Y116" s="1157">
        <v>-0.3</v>
      </c>
      <c r="Z116" s="1157">
        <v>0.1</v>
      </c>
      <c r="AA116" s="1157">
        <v>0.1</v>
      </c>
      <c r="AB116" s="1157">
        <v>0.2</v>
      </c>
      <c r="AC116" s="1157">
        <v>-0.8</v>
      </c>
      <c r="AD116" s="214"/>
    </row>
    <row r="117" spans="1:30" ht="14.4">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7">
        <v>-0.2</v>
      </c>
      <c r="P117" s="1157">
        <v>1</v>
      </c>
      <c r="Q117" s="1157">
        <v>2</v>
      </c>
      <c r="R117" s="1157">
        <v>2.2999999999999998</v>
      </c>
      <c r="S117" s="1157">
        <v>2.1</v>
      </c>
      <c r="T117" s="1157">
        <v>-0.3</v>
      </c>
      <c r="U117" s="859"/>
      <c r="V117" s="649">
        <v>-0.28999999999999998</v>
      </c>
      <c r="W117" s="1157">
        <v>-0.5</v>
      </c>
      <c r="X117" s="1157">
        <v>0.3</v>
      </c>
      <c r="Y117" s="1157">
        <v>0.21</v>
      </c>
      <c r="Z117" s="1157">
        <v>-0.1</v>
      </c>
      <c r="AA117" s="1157">
        <v>0.3</v>
      </c>
      <c r="AB117" s="1157">
        <v>0</v>
      </c>
      <c r="AC117" s="1157">
        <v>0.1</v>
      </c>
      <c r="AD117" s="214"/>
    </row>
    <row r="118" spans="1:30" ht="14.4">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7">
        <v>0.8</v>
      </c>
      <c r="P118" s="1157">
        <v>-1.6</v>
      </c>
      <c r="Q118" s="1157">
        <v>-1.7</v>
      </c>
      <c r="R118" s="1157">
        <v>-2.1</v>
      </c>
      <c r="S118" s="1157">
        <v>-1.8</v>
      </c>
      <c r="T118" s="1157">
        <v>-0.3</v>
      </c>
      <c r="U118" s="859"/>
      <c r="V118" s="649">
        <v>-0.28000000000000003</v>
      </c>
      <c r="W118" s="1157">
        <v>-0.5</v>
      </c>
      <c r="X118" s="1157">
        <v>0.7</v>
      </c>
      <c r="Y118" s="1157">
        <v>0.39</v>
      </c>
      <c r="Z118" s="1157">
        <v>0.5</v>
      </c>
      <c r="AA118" s="1157">
        <v>-0.2</v>
      </c>
      <c r="AB118" s="1157">
        <v>0.3</v>
      </c>
      <c r="AC118" s="1157">
        <v>0.7</v>
      </c>
      <c r="AD118" s="214"/>
    </row>
    <row r="119" spans="1:30" ht="14.4">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7">
        <v>0.3</v>
      </c>
      <c r="P119" s="1157">
        <v>1.5</v>
      </c>
      <c r="Q119" s="1157">
        <v>1.3</v>
      </c>
      <c r="R119" s="1157">
        <v>0.4</v>
      </c>
      <c r="S119" s="1157">
        <v>1.5</v>
      </c>
      <c r="T119" s="1157">
        <v>0.4</v>
      </c>
      <c r="U119" s="859"/>
      <c r="V119" s="649">
        <v>-0.23</v>
      </c>
      <c r="W119" s="1157">
        <v>-0.1</v>
      </c>
      <c r="X119" s="1157">
        <v>0.7</v>
      </c>
      <c r="Y119" s="1157">
        <v>-0.61</v>
      </c>
      <c r="Z119" s="1157">
        <v>0.9</v>
      </c>
      <c r="AA119" s="1157">
        <v>0.4</v>
      </c>
      <c r="AB119" s="1157">
        <v>0.3</v>
      </c>
      <c r="AC119" s="1157">
        <v>-0.4</v>
      </c>
      <c r="AD119" s="214"/>
    </row>
    <row r="120" spans="1:30" ht="14.4">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7">
        <v>-0.1</v>
      </c>
      <c r="P120" s="1157">
        <v>-0.3</v>
      </c>
      <c r="Q120" s="1157">
        <v>0.1</v>
      </c>
      <c r="R120" s="1157">
        <v>1</v>
      </c>
      <c r="S120" s="1157">
        <v>0.1</v>
      </c>
      <c r="T120" s="1157">
        <v>-0.5</v>
      </c>
      <c r="U120" s="859"/>
      <c r="V120" s="649">
        <v>-0.27</v>
      </c>
      <c r="W120" s="1157">
        <v>0.4</v>
      </c>
      <c r="X120" s="1157">
        <v>-0.5</v>
      </c>
      <c r="Y120" s="1157">
        <v>-0.15</v>
      </c>
      <c r="Z120" s="1157">
        <v>-0.4</v>
      </c>
      <c r="AA120" s="1157">
        <v>0</v>
      </c>
      <c r="AB120" s="1157">
        <v>0.2</v>
      </c>
      <c r="AC120" s="1157">
        <v>-0.4</v>
      </c>
      <c r="AD120" s="214"/>
    </row>
    <row r="121" spans="1:30" ht="14.4">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7">
        <v>0.4</v>
      </c>
      <c r="P121" s="1157">
        <v>-1.2</v>
      </c>
      <c r="Q121" s="1157">
        <v>0</v>
      </c>
      <c r="R121" s="1157">
        <v>1.1000000000000001</v>
      </c>
      <c r="S121" s="1157">
        <v>0.2</v>
      </c>
      <c r="T121" s="1157">
        <v>0</v>
      </c>
      <c r="U121" s="859"/>
      <c r="V121" s="649">
        <v>-0.25</v>
      </c>
      <c r="W121" s="1157">
        <v>0.4</v>
      </c>
      <c r="X121" s="1157">
        <v>-0.7</v>
      </c>
      <c r="Y121" s="1157">
        <v>0.83</v>
      </c>
      <c r="Z121" s="1157">
        <v>-0.7</v>
      </c>
      <c r="AA121" s="1157">
        <v>-0.1</v>
      </c>
      <c r="AB121" s="1157">
        <v>-0.3</v>
      </c>
      <c r="AC121" s="1157">
        <v>0.9</v>
      </c>
      <c r="AD121" s="214"/>
    </row>
    <row r="122" spans="1:30" ht="14.4">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7">
        <v>-1</v>
      </c>
      <c r="P122" s="1157">
        <v>-1.2</v>
      </c>
      <c r="Q122" s="1157">
        <v>-1.6</v>
      </c>
      <c r="R122" s="1157">
        <v>-1.2</v>
      </c>
      <c r="S122" s="1157">
        <v>-2</v>
      </c>
      <c r="T122" s="1157">
        <v>0.6</v>
      </c>
      <c r="U122" s="859"/>
      <c r="V122" s="649">
        <v>-0.21</v>
      </c>
      <c r="W122" s="1157">
        <v>0.2</v>
      </c>
      <c r="X122" s="1157">
        <v>0.3</v>
      </c>
      <c r="Y122" s="1157">
        <v>-0.53</v>
      </c>
      <c r="Z122" s="1157">
        <v>1</v>
      </c>
      <c r="AA122" s="1157">
        <v>0.4</v>
      </c>
      <c r="AB122" s="1157">
        <v>0.4</v>
      </c>
      <c r="AC122" s="1157">
        <v>-0.3</v>
      </c>
      <c r="AD122" s="214"/>
    </row>
    <row r="123" spans="1:30" ht="14.4">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7">
        <v>1.4</v>
      </c>
      <c r="P123" s="1157">
        <v>2.6</v>
      </c>
      <c r="Q123" s="1157">
        <v>2.2999999999999998</v>
      </c>
      <c r="R123" s="1157">
        <v>1.4</v>
      </c>
      <c r="S123" s="1157">
        <v>2.5</v>
      </c>
      <c r="T123" s="1157">
        <v>-0.7</v>
      </c>
      <c r="U123" s="859"/>
      <c r="V123" s="649">
        <v>-0.22</v>
      </c>
      <c r="W123" s="1157">
        <v>0.1</v>
      </c>
      <c r="X123" s="1157">
        <v>0.5</v>
      </c>
      <c r="Y123" s="1157">
        <v>0.65</v>
      </c>
      <c r="Z123" s="1157">
        <v>-0.2</v>
      </c>
      <c r="AA123" s="1157">
        <v>-0.4</v>
      </c>
      <c r="AB123" s="1157">
        <v>-0.1</v>
      </c>
      <c r="AC123" s="1157">
        <v>-0.3</v>
      </c>
      <c r="AD123" s="214"/>
    </row>
    <row r="124" spans="1:30" ht="14.4">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7">
        <v>0.1</v>
      </c>
      <c r="P124" s="1157">
        <v>-1</v>
      </c>
      <c r="Q124" s="1157">
        <v>-1</v>
      </c>
      <c r="R124" s="1157">
        <v>-1.3</v>
      </c>
      <c r="S124" s="1157">
        <v>-1</v>
      </c>
      <c r="T124" s="1157">
        <v>0.6</v>
      </c>
      <c r="U124" s="859"/>
      <c r="V124" s="649">
        <v>-0.15</v>
      </c>
      <c r="W124" s="1157">
        <v>-0.3</v>
      </c>
      <c r="X124" s="1157">
        <v>0.5</v>
      </c>
      <c r="Y124" s="1157">
        <v>0.39</v>
      </c>
      <c r="Z124" s="1157">
        <v>-0.2</v>
      </c>
      <c r="AA124" s="1157">
        <v>-0.2</v>
      </c>
      <c r="AB124" s="1157">
        <v>0.3</v>
      </c>
      <c r="AC124" s="1157">
        <v>0.6</v>
      </c>
      <c r="AD124" s="214"/>
    </row>
    <row r="125" spans="1:30" ht="14.4">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7">
        <v>0.2</v>
      </c>
      <c r="P125" s="1157">
        <v>0.5</v>
      </c>
      <c r="Q125" s="1157">
        <v>-0.1</v>
      </c>
      <c r="R125" s="1157">
        <v>0</v>
      </c>
      <c r="S125" s="1157">
        <v>0</v>
      </c>
      <c r="T125" s="1157">
        <v>0.1</v>
      </c>
      <c r="U125" s="859"/>
      <c r="V125" s="649">
        <v>-0.15</v>
      </c>
      <c r="W125" s="1157">
        <v>0.5</v>
      </c>
      <c r="X125" s="1157">
        <v>0.3</v>
      </c>
      <c r="Y125" s="1157">
        <v>1.25</v>
      </c>
      <c r="Z125" s="1157">
        <v>0.4</v>
      </c>
      <c r="AA125" s="1157">
        <v>0.7</v>
      </c>
      <c r="AB125" s="1157">
        <v>1</v>
      </c>
      <c r="AC125" s="1157">
        <v>-0.2</v>
      </c>
      <c r="AD125" s="214"/>
    </row>
    <row r="126" spans="1:30" ht="14.4">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7">
        <v>-0.5</v>
      </c>
      <c r="P126" s="1157">
        <v>0.1</v>
      </c>
      <c r="Q126" s="1157">
        <v>0</v>
      </c>
      <c r="R126" s="1157">
        <v>-0.5</v>
      </c>
      <c r="S126" s="1157">
        <v>0</v>
      </c>
      <c r="T126" s="1157">
        <v>0</v>
      </c>
      <c r="U126" s="859"/>
      <c r="V126" s="651">
        <v>-0.15</v>
      </c>
      <c r="W126" s="1157">
        <v>0.7</v>
      </c>
      <c r="X126" s="1157">
        <v>-0.1</v>
      </c>
      <c r="Y126" s="1157">
        <v>-0.87</v>
      </c>
      <c r="Z126" s="1157">
        <v>-0.9</v>
      </c>
      <c r="AA126" s="1157">
        <v>-0.5</v>
      </c>
      <c r="AB126" s="1157">
        <v>0.4</v>
      </c>
      <c r="AC126" s="1157">
        <v>-0.5</v>
      </c>
      <c r="AD126" s="214"/>
    </row>
    <row r="127" spans="1:30" ht="14.4">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8">
        <v>-1.5</v>
      </c>
      <c r="P127" s="1158">
        <v>-0.3</v>
      </c>
      <c r="Q127" s="1158">
        <v>-0.1</v>
      </c>
      <c r="R127" s="1158">
        <v>0.6</v>
      </c>
      <c r="S127" s="1158">
        <v>-0.2</v>
      </c>
      <c r="T127" s="1158">
        <v>-0.4</v>
      </c>
      <c r="U127" s="858"/>
      <c r="V127" s="648">
        <v>-0.1</v>
      </c>
      <c r="W127" s="1158">
        <v>0.8</v>
      </c>
      <c r="X127" s="1158">
        <v>-1.1000000000000001</v>
      </c>
      <c r="Y127" s="1158">
        <v>-0.13</v>
      </c>
      <c r="Z127" s="1158">
        <v>0.2</v>
      </c>
      <c r="AA127" s="1158">
        <v>0.4</v>
      </c>
      <c r="AB127" s="1158">
        <v>-0.2</v>
      </c>
      <c r="AC127" s="1158">
        <v>0.8</v>
      </c>
      <c r="AD127" s="214"/>
    </row>
    <row r="128" spans="1:30" ht="14.4">
      <c r="A128" s="499"/>
      <c r="B128" s="500" t="s">
        <v>141</v>
      </c>
      <c r="C128" s="501">
        <v>2</v>
      </c>
      <c r="D128" s="655">
        <v>-0.26</v>
      </c>
      <c r="E128" s="502">
        <v>1.2</v>
      </c>
      <c r="F128" s="502">
        <v>-0.5</v>
      </c>
      <c r="G128" s="502">
        <v>-0.3</v>
      </c>
      <c r="H128" s="502">
        <v>1.6</v>
      </c>
      <c r="I128" s="502">
        <v>-0.5</v>
      </c>
      <c r="J128" s="502">
        <v>-1.9</v>
      </c>
      <c r="K128" s="502">
        <v>-0.9</v>
      </c>
      <c r="L128" s="859"/>
      <c r="M128" s="502">
        <v>1.034</v>
      </c>
      <c r="N128" s="502">
        <v>0.2</v>
      </c>
      <c r="O128" s="1157">
        <v>1.1000000000000001</v>
      </c>
      <c r="P128" s="1157">
        <v>-0.7</v>
      </c>
      <c r="Q128" s="1157">
        <v>-0.6</v>
      </c>
      <c r="R128" s="1157">
        <v>0</v>
      </c>
      <c r="S128" s="1157">
        <v>-0.5</v>
      </c>
      <c r="T128" s="1157">
        <v>-0.2</v>
      </c>
      <c r="U128" s="859"/>
      <c r="V128" s="649">
        <v>-0.13</v>
      </c>
      <c r="W128" s="1157">
        <v>-0.1</v>
      </c>
      <c r="X128" s="1157">
        <v>-1</v>
      </c>
      <c r="Y128" s="1157">
        <v>1.52</v>
      </c>
      <c r="Z128" s="1157">
        <v>0.4</v>
      </c>
      <c r="AA128" s="1157">
        <v>-1.1000000000000001</v>
      </c>
      <c r="AB128" s="1157">
        <v>0.2</v>
      </c>
      <c r="AC128" s="1157">
        <v>1</v>
      </c>
      <c r="AD128" s="214"/>
    </row>
    <row r="129" spans="1:30" ht="14.4">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7">
        <v>0.1</v>
      </c>
      <c r="P129" s="1157">
        <v>1.6</v>
      </c>
      <c r="Q129" s="1157">
        <v>0.8</v>
      </c>
      <c r="R129" s="1157">
        <v>0.8</v>
      </c>
      <c r="S129" s="1157">
        <v>1.3</v>
      </c>
      <c r="T129" s="1157">
        <v>0.5</v>
      </c>
      <c r="U129" s="859"/>
      <c r="V129" s="649">
        <v>-0.06</v>
      </c>
      <c r="W129" s="1157">
        <v>-0.5</v>
      </c>
      <c r="X129" s="1157">
        <v>1.1000000000000001</v>
      </c>
      <c r="Y129" s="1157">
        <v>-1.1000000000000001</v>
      </c>
      <c r="Z129" s="1157">
        <v>-0.3</v>
      </c>
      <c r="AA129" s="1157">
        <v>1.1000000000000001</v>
      </c>
      <c r="AB129" s="1157">
        <v>0.3</v>
      </c>
      <c r="AC129" s="1157">
        <v>-1.6</v>
      </c>
      <c r="AD129" s="214"/>
    </row>
    <row r="130" spans="1:30" ht="14.4">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7">
        <v>-1.2</v>
      </c>
      <c r="P130" s="1157">
        <v>-2.5</v>
      </c>
      <c r="Q130" s="1157">
        <v>-0.7</v>
      </c>
      <c r="R130" s="1157">
        <v>-0.8</v>
      </c>
      <c r="S130" s="1157">
        <v>-0.9</v>
      </c>
      <c r="T130" s="1157">
        <v>-0.4</v>
      </c>
      <c r="U130" s="859"/>
      <c r="V130" s="649">
        <v>-0.09</v>
      </c>
      <c r="W130" s="1157">
        <v>-0.8</v>
      </c>
      <c r="X130" s="1157">
        <v>-1.3</v>
      </c>
      <c r="Y130" s="1157">
        <v>-0.04</v>
      </c>
      <c r="Z130" s="1157">
        <v>0.2</v>
      </c>
      <c r="AA130" s="1157">
        <v>1.5</v>
      </c>
      <c r="AB130" s="1157">
        <v>-0.1</v>
      </c>
      <c r="AC130" s="1157">
        <v>0.5</v>
      </c>
      <c r="AD130" s="214"/>
    </row>
    <row r="131" spans="1:30" ht="14.4">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7">
        <v>0.3</v>
      </c>
      <c r="P131" s="1157">
        <v>0.6</v>
      </c>
      <c r="Q131" s="1157">
        <v>0.3</v>
      </c>
      <c r="R131" s="1157">
        <v>0.7</v>
      </c>
      <c r="S131" s="1157">
        <v>0.2</v>
      </c>
      <c r="T131" s="1157">
        <v>1.6</v>
      </c>
      <c r="U131" s="859"/>
      <c r="V131" s="649">
        <v>0.05</v>
      </c>
      <c r="W131" s="1157">
        <v>0</v>
      </c>
      <c r="X131" s="1157">
        <v>1.1000000000000001</v>
      </c>
      <c r="Y131" s="1157">
        <v>0.34</v>
      </c>
      <c r="Z131" s="1157">
        <v>-0.2</v>
      </c>
      <c r="AA131" s="1157">
        <v>-1.9</v>
      </c>
      <c r="AB131" s="1157">
        <v>-0.4</v>
      </c>
      <c r="AC131" s="1157">
        <v>-1.1000000000000001</v>
      </c>
      <c r="AD131" s="214"/>
    </row>
    <row r="132" spans="1:30" ht="14.4">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7">
        <v>2.2999999999999998</v>
      </c>
      <c r="P132" s="1157">
        <v>1.1000000000000001</v>
      </c>
      <c r="Q132" s="1157">
        <v>0.1</v>
      </c>
      <c r="R132" s="1157">
        <v>-0.5</v>
      </c>
      <c r="S132" s="1157">
        <v>0</v>
      </c>
      <c r="T132" s="1157">
        <v>-1.2</v>
      </c>
      <c r="U132" s="859"/>
      <c r="V132" s="649">
        <v>-0.02</v>
      </c>
      <c r="W132" s="1157">
        <v>0.2</v>
      </c>
      <c r="X132" s="1157">
        <v>1.2</v>
      </c>
      <c r="Y132" s="1157">
        <v>0.47</v>
      </c>
      <c r="Z132" s="1157">
        <v>0.2</v>
      </c>
      <c r="AA132" s="1157">
        <v>1.2</v>
      </c>
      <c r="AB132" s="1157">
        <v>-0.5</v>
      </c>
      <c r="AC132" s="1157">
        <v>1.6</v>
      </c>
      <c r="AD132" s="214"/>
    </row>
    <row r="133" spans="1:30" ht="14.4">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7">
        <v>-1.4</v>
      </c>
      <c r="P133" s="1157">
        <v>0.2</v>
      </c>
      <c r="Q133" s="1157">
        <v>0.2</v>
      </c>
      <c r="R133" s="1157">
        <v>0.8</v>
      </c>
      <c r="S133" s="1157">
        <v>0</v>
      </c>
      <c r="T133" s="1157">
        <v>-0.4</v>
      </c>
      <c r="U133" s="859"/>
      <c r="V133" s="649">
        <v>-0.02</v>
      </c>
      <c r="W133" s="1157">
        <v>0</v>
      </c>
      <c r="X133" s="1157">
        <v>0.4</v>
      </c>
      <c r="Y133" s="1157">
        <v>1.34</v>
      </c>
      <c r="Z133" s="1157">
        <v>0</v>
      </c>
      <c r="AA133" s="1157">
        <v>-0.5</v>
      </c>
      <c r="AB133" s="1157">
        <v>1</v>
      </c>
      <c r="AC133" s="1157">
        <v>2.2999999999999998</v>
      </c>
      <c r="AD133" s="214"/>
    </row>
    <row r="134" spans="1:30" ht="14.4">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7">
        <v>-0.8</v>
      </c>
      <c r="P134" s="1157">
        <v>-0.5</v>
      </c>
      <c r="Q134" s="1157">
        <v>0.1</v>
      </c>
      <c r="R134" s="1157">
        <v>0.9</v>
      </c>
      <c r="S134" s="1157">
        <v>0.4</v>
      </c>
      <c r="T134" s="1157">
        <v>1.1000000000000001</v>
      </c>
      <c r="U134" s="859"/>
      <c r="V134" s="649">
        <v>0.09</v>
      </c>
      <c r="W134" s="1157">
        <v>0.7</v>
      </c>
      <c r="X134" s="1157">
        <v>-0.6</v>
      </c>
      <c r="Y134" s="1157">
        <v>0.96</v>
      </c>
      <c r="Z134" s="1157">
        <v>-0.6</v>
      </c>
      <c r="AA134" s="1157">
        <v>0.6</v>
      </c>
      <c r="AB134" s="1157">
        <v>-0.6</v>
      </c>
      <c r="AC134" s="1157">
        <v>-2.4</v>
      </c>
      <c r="AD134" s="214"/>
    </row>
    <row r="135" spans="1:30" ht="14.4">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7">
        <v>0.1</v>
      </c>
      <c r="P135" s="1157">
        <v>1.1000000000000001</v>
      </c>
      <c r="Q135" s="1157">
        <v>0.9</v>
      </c>
      <c r="R135" s="1157">
        <v>0.3</v>
      </c>
      <c r="S135" s="1157">
        <v>1.1000000000000001</v>
      </c>
      <c r="T135" s="1157">
        <v>0.4</v>
      </c>
      <c r="U135" s="859"/>
      <c r="V135" s="649">
        <v>0.16</v>
      </c>
      <c r="W135" s="1157">
        <v>-0.4</v>
      </c>
      <c r="X135" s="1157">
        <v>1.3</v>
      </c>
      <c r="Y135" s="1157">
        <v>-0.4</v>
      </c>
      <c r="Z135" s="1157">
        <v>0.3</v>
      </c>
      <c r="AA135" s="1157">
        <v>-0.3</v>
      </c>
      <c r="AB135" s="1157">
        <v>1</v>
      </c>
      <c r="AC135" s="1157">
        <v>0.2</v>
      </c>
      <c r="AD135" s="214"/>
    </row>
    <row r="136" spans="1:30" ht="14.4">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7">
        <v>0.9</v>
      </c>
      <c r="P136" s="1157">
        <v>-0.2</v>
      </c>
      <c r="Q136" s="1157">
        <v>0.4</v>
      </c>
      <c r="R136" s="1157">
        <v>0.4</v>
      </c>
      <c r="S136" s="1157">
        <v>0.7</v>
      </c>
      <c r="T136" s="1157">
        <v>0</v>
      </c>
      <c r="U136" s="859"/>
      <c r="V136" s="649">
        <v>0.08</v>
      </c>
      <c r="W136" s="1157">
        <v>0.6</v>
      </c>
      <c r="X136" s="1157">
        <v>-0.7</v>
      </c>
      <c r="Y136" s="1157">
        <v>0.61</v>
      </c>
      <c r="Z136" s="1157">
        <v>0.6</v>
      </c>
      <c r="AA136" s="1157">
        <v>0.2</v>
      </c>
      <c r="AB136" s="1157">
        <v>-0.9</v>
      </c>
      <c r="AC136" s="1157">
        <v>-0.2</v>
      </c>
      <c r="AD136" s="214"/>
    </row>
    <row r="137" spans="1:30" ht="14.4">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7">
        <v>0.9</v>
      </c>
      <c r="P137" s="1157">
        <v>-0.3</v>
      </c>
      <c r="Q137" s="1157">
        <v>0.1</v>
      </c>
      <c r="R137" s="1157">
        <v>-0.4</v>
      </c>
      <c r="S137" s="1157">
        <v>0.1</v>
      </c>
      <c r="T137" s="1157">
        <v>-0.5</v>
      </c>
      <c r="U137" s="859"/>
      <c r="V137" s="649">
        <v>0.17</v>
      </c>
      <c r="W137" s="1157">
        <v>0.3</v>
      </c>
      <c r="X137" s="1157">
        <v>-0.2</v>
      </c>
      <c r="Y137" s="1157">
        <v>-7.0000000000000007E-2</v>
      </c>
      <c r="Z137" s="1157">
        <v>-0.8</v>
      </c>
      <c r="AA137" s="1157">
        <v>-0.2</v>
      </c>
      <c r="AB137" s="1157">
        <v>-0.3</v>
      </c>
      <c r="AC137" s="1157">
        <v>0.3</v>
      </c>
      <c r="AD137" s="214"/>
    </row>
    <row r="138" spans="1:30" ht="14.4">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9">
        <v>-1.9</v>
      </c>
      <c r="P138" s="1159">
        <v>0.6</v>
      </c>
      <c r="Q138" s="1159">
        <v>0.5</v>
      </c>
      <c r="R138" s="1159">
        <v>1.5</v>
      </c>
      <c r="S138" s="1159">
        <v>0.3</v>
      </c>
      <c r="T138" s="1159">
        <v>1</v>
      </c>
      <c r="U138" s="860"/>
      <c r="V138" s="650">
        <v>0.15</v>
      </c>
      <c r="W138" s="1159">
        <v>0.2</v>
      </c>
      <c r="X138" s="1159">
        <v>0.7</v>
      </c>
      <c r="Y138" s="1159">
        <v>1.53</v>
      </c>
      <c r="Z138" s="1159">
        <v>0.1</v>
      </c>
      <c r="AA138" s="1159">
        <v>-0.6</v>
      </c>
      <c r="AB138" s="1159">
        <v>-0.3</v>
      </c>
      <c r="AC138" s="1159">
        <v>-0.1</v>
      </c>
      <c r="AD138" s="214"/>
    </row>
    <row r="139" spans="1:30" ht="14.4">
      <c r="A139" s="499" t="s">
        <v>374</v>
      </c>
      <c r="B139" s="500">
        <v>2004</v>
      </c>
      <c r="C139" s="501">
        <v>1</v>
      </c>
      <c r="D139" s="657">
        <v>0.19</v>
      </c>
      <c r="E139" s="502">
        <v>0.3</v>
      </c>
      <c r="F139" s="502">
        <v>1.7</v>
      </c>
      <c r="G139" s="502">
        <v>-0.7</v>
      </c>
      <c r="H139" s="502">
        <v>0.3</v>
      </c>
      <c r="I139" s="502">
        <v>-2.1</v>
      </c>
      <c r="J139" s="502">
        <v>-0.8</v>
      </c>
      <c r="K139" s="502">
        <v>1.1000000000000001</v>
      </c>
      <c r="L139" s="859"/>
      <c r="M139" s="502">
        <v>-0.59899999999999998</v>
      </c>
      <c r="N139" s="502">
        <v>0.5</v>
      </c>
      <c r="O139" s="1157">
        <v>-2.1</v>
      </c>
      <c r="P139" s="1157">
        <v>1.4</v>
      </c>
      <c r="Q139" s="1157">
        <v>-0.8</v>
      </c>
      <c r="R139" s="1157">
        <v>-2.1</v>
      </c>
      <c r="S139" s="1157">
        <v>0</v>
      </c>
      <c r="T139" s="1157">
        <v>0</v>
      </c>
      <c r="U139" s="859"/>
      <c r="V139" s="651">
        <v>0.17</v>
      </c>
      <c r="W139" s="1157">
        <v>-1.1000000000000001</v>
      </c>
      <c r="X139" s="1157">
        <v>0.8</v>
      </c>
      <c r="Y139" s="1157">
        <v>0.12</v>
      </c>
      <c r="Z139" s="1157">
        <v>0.4</v>
      </c>
      <c r="AA139" s="1157">
        <v>0.2</v>
      </c>
      <c r="AB139" s="1157">
        <v>0.7</v>
      </c>
      <c r="AC139" s="1157">
        <v>-0.4</v>
      </c>
      <c r="AD139" s="214"/>
    </row>
    <row r="140" spans="1:30" ht="14.4">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7">
        <v>-1.1000000000000001</v>
      </c>
      <c r="P140" s="1157">
        <v>0</v>
      </c>
      <c r="Q140" s="1157">
        <v>0.5</v>
      </c>
      <c r="R140" s="1157">
        <v>1.3</v>
      </c>
      <c r="S140" s="1157">
        <v>0.8</v>
      </c>
      <c r="T140" s="1157">
        <v>-0.1</v>
      </c>
      <c r="U140" s="859"/>
      <c r="V140" s="649">
        <v>0.21</v>
      </c>
      <c r="W140" s="1157">
        <v>-0.8</v>
      </c>
      <c r="X140" s="1157">
        <v>0.3</v>
      </c>
      <c r="Y140" s="1157">
        <v>-0.34</v>
      </c>
      <c r="Z140" s="1157">
        <v>0.3</v>
      </c>
      <c r="AA140" s="1157">
        <v>0.9</v>
      </c>
      <c r="AB140" s="1157">
        <v>-0.2</v>
      </c>
      <c r="AC140" s="1157">
        <v>0.9</v>
      </c>
      <c r="AD140" s="214"/>
    </row>
    <row r="141" spans="1:30" ht="14.4">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7">
        <v>0.6</v>
      </c>
      <c r="P141" s="1157">
        <v>0.9</v>
      </c>
      <c r="Q141" s="1157">
        <v>0.1</v>
      </c>
      <c r="R141" s="1157">
        <v>0</v>
      </c>
      <c r="S141" s="1157">
        <v>-0.1</v>
      </c>
      <c r="T141" s="1157">
        <v>0.1</v>
      </c>
      <c r="U141" s="859"/>
      <c r="V141" s="649">
        <v>0.13</v>
      </c>
      <c r="W141" s="1157">
        <v>1</v>
      </c>
      <c r="X141" s="1157">
        <v>0.4</v>
      </c>
      <c r="Y141" s="1157">
        <v>1.55</v>
      </c>
      <c r="Z141" s="1157">
        <v>-1.1000000000000001</v>
      </c>
      <c r="AA141" s="1157">
        <v>-0.8</v>
      </c>
      <c r="AB141" s="1157">
        <v>-0.5</v>
      </c>
      <c r="AC141" s="1157">
        <v>0.6</v>
      </c>
      <c r="AD141" s="214"/>
    </row>
    <row r="142" spans="1:30" ht="14.4">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7">
        <v>1.1000000000000001</v>
      </c>
      <c r="P142" s="1157">
        <v>-0.4</v>
      </c>
      <c r="Q142" s="1157">
        <v>1.2</v>
      </c>
      <c r="R142" s="1157">
        <v>0.1</v>
      </c>
      <c r="S142" s="1157">
        <v>0.5</v>
      </c>
      <c r="T142" s="1157">
        <v>0.5</v>
      </c>
      <c r="U142" s="859"/>
      <c r="V142" s="649">
        <v>0.21</v>
      </c>
      <c r="W142" s="1157">
        <v>1.2</v>
      </c>
      <c r="X142" s="1157">
        <v>0.1</v>
      </c>
      <c r="Y142" s="1157">
        <v>-0.23</v>
      </c>
      <c r="Z142" s="1157">
        <v>0</v>
      </c>
      <c r="AA142" s="1157">
        <v>0.6</v>
      </c>
      <c r="AB142" s="1157">
        <v>-0.3</v>
      </c>
      <c r="AC142" s="1157">
        <v>-1.2</v>
      </c>
      <c r="AD142" s="214"/>
    </row>
    <row r="143" spans="1:30" ht="14.4">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7">
        <v>-0.6</v>
      </c>
      <c r="P143" s="1157">
        <v>-0.1</v>
      </c>
      <c r="Q143" s="1157">
        <v>-0.3</v>
      </c>
      <c r="R143" s="1157">
        <v>-0.5</v>
      </c>
      <c r="S143" s="1157">
        <v>0.3</v>
      </c>
      <c r="T143" s="1157">
        <v>0.2</v>
      </c>
      <c r="U143" s="859"/>
      <c r="V143" s="649">
        <v>0.21</v>
      </c>
      <c r="W143" s="1157">
        <v>0.7</v>
      </c>
      <c r="X143" s="1157">
        <v>-0.2</v>
      </c>
      <c r="Y143" s="1157">
        <v>0.95</v>
      </c>
      <c r="Z143" s="1157">
        <v>-0.1</v>
      </c>
      <c r="AA143" s="1157">
        <v>-0.2</v>
      </c>
      <c r="AB143" s="1157">
        <v>0.6</v>
      </c>
      <c r="AC143" s="1157">
        <v>-0.3</v>
      </c>
      <c r="AD143" s="214"/>
    </row>
    <row r="144" spans="1:30" ht="14.4">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7">
        <v>0.3</v>
      </c>
      <c r="P144" s="1157">
        <v>-0.2</v>
      </c>
      <c r="Q144" s="1157">
        <v>0.3</v>
      </c>
      <c r="R144" s="1157">
        <v>1.1000000000000001</v>
      </c>
      <c r="S144" s="1157">
        <v>-0.3</v>
      </c>
      <c r="T144" s="1157">
        <v>-0.1</v>
      </c>
      <c r="U144" s="859"/>
      <c r="V144" s="649">
        <v>0.2</v>
      </c>
      <c r="W144" s="1157">
        <v>-0.4</v>
      </c>
      <c r="X144" s="1157">
        <v>0</v>
      </c>
      <c r="Y144" s="1157">
        <v>-0.33</v>
      </c>
      <c r="Z144" s="1157">
        <v>0.1</v>
      </c>
      <c r="AA144" s="1157">
        <v>-1.6</v>
      </c>
      <c r="AB144" s="1157">
        <v>1.1000000000000001</v>
      </c>
      <c r="AC144" s="1157">
        <v>0.7</v>
      </c>
      <c r="AD144" s="214"/>
    </row>
    <row r="145" spans="1:30" ht="14.4">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7">
        <v>-0.6</v>
      </c>
      <c r="P145" s="1157">
        <v>0.5</v>
      </c>
      <c r="Q145" s="1157">
        <v>0.2</v>
      </c>
      <c r="R145" s="1157">
        <v>-0.8</v>
      </c>
      <c r="S145" s="1157">
        <v>0.5</v>
      </c>
      <c r="T145" s="1157">
        <v>0.3</v>
      </c>
      <c r="U145" s="859"/>
      <c r="V145" s="649">
        <v>0.25</v>
      </c>
      <c r="W145" s="1157">
        <v>0.1</v>
      </c>
      <c r="X145" s="1157">
        <v>0.6</v>
      </c>
      <c r="Y145" s="1157">
        <v>-1.36</v>
      </c>
      <c r="Z145" s="1157">
        <v>1.3</v>
      </c>
      <c r="AA145" s="1157">
        <v>1.1000000000000001</v>
      </c>
      <c r="AB145" s="1157">
        <v>-0.5</v>
      </c>
      <c r="AC145" s="1157">
        <v>-0.1</v>
      </c>
      <c r="AD145" s="214"/>
    </row>
    <row r="146" spans="1:30" ht="14.4">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7">
        <v>0.7</v>
      </c>
      <c r="P146" s="1157">
        <v>0.2</v>
      </c>
      <c r="Q146" s="1157">
        <v>-0.2</v>
      </c>
      <c r="R146" s="1157">
        <v>-1.2</v>
      </c>
      <c r="S146" s="1157">
        <v>-0.2</v>
      </c>
      <c r="T146" s="1157">
        <v>-0.2</v>
      </c>
      <c r="U146" s="859"/>
      <c r="V146" s="649">
        <v>0.2</v>
      </c>
      <c r="W146" s="1157">
        <v>-0.7</v>
      </c>
      <c r="X146" s="1157">
        <v>0.1</v>
      </c>
      <c r="Y146" s="1157">
        <v>0.74</v>
      </c>
      <c r="Z146" s="1157">
        <v>0</v>
      </c>
      <c r="AA146" s="1157">
        <v>0</v>
      </c>
      <c r="AB146" s="1157">
        <v>0.2</v>
      </c>
      <c r="AC146" s="1157">
        <v>0.5</v>
      </c>
      <c r="AD146" s="214"/>
    </row>
    <row r="147" spans="1:30" ht="14.4">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7">
        <v>-0.7</v>
      </c>
      <c r="P147" s="1157">
        <v>-0.8</v>
      </c>
      <c r="Q147" s="1157">
        <v>-0.6</v>
      </c>
      <c r="R147" s="1157">
        <v>0.4</v>
      </c>
      <c r="S147" s="1157">
        <v>-0.8</v>
      </c>
      <c r="T147" s="1157">
        <v>-0.4</v>
      </c>
      <c r="U147" s="859"/>
      <c r="V147" s="649">
        <v>0.16</v>
      </c>
      <c r="W147" s="1157">
        <v>0.8</v>
      </c>
      <c r="X147" s="1157">
        <v>-0.9</v>
      </c>
      <c r="Y147" s="1157">
        <v>1.4</v>
      </c>
      <c r="Z147" s="1157">
        <v>-0.2</v>
      </c>
      <c r="AA147" s="1157">
        <v>-0.3</v>
      </c>
      <c r="AB147" s="1157">
        <v>0</v>
      </c>
      <c r="AC147" s="1157">
        <v>0</v>
      </c>
      <c r="AD147" s="214"/>
    </row>
    <row r="148" spans="1:30" ht="14.4">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7">
        <v>-0.6</v>
      </c>
      <c r="P148" s="1157">
        <v>-0.9</v>
      </c>
      <c r="Q148" s="1157">
        <v>-1.7</v>
      </c>
      <c r="R148" s="1157">
        <v>-0.7</v>
      </c>
      <c r="S148" s="1157">
        <v>-1.7</v>
      </c>
      <c r="T148" s="1157">
        <v>-0.1</v>
      </c>
      <c r="U148" s="859"/>
      <c r="V148" s="649">
        <v>0.13</v>
      </c>
      <c r="W148" s="1157">
        <v>-0.5</v>
      </c>
      <c r="X148" s="1157">
        <v>-0.5</v>
      </c>
      <c r="Y148" s="1157">
        <v>0.24</v>
      </c>
      <c r="Z148" s="1157">
        <v>0.2</v>
      </c>
      <c r="AA148" s="1157">
        <v>-0.1</v>
      </c>
      <c r="AB148" s="1157">
        <v>0.5</v>
      </c>
      <c r="AC148" s="1157">
        <v>-0.3</v>
      </c>
      <c r="AD148" s="214"/>
    </row>
    <row r="149" spans="1:30" ht="14.4">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7">
        <v>-0.4</v>
      </c>
      <c r="P149" s="1157">
        <v>-1</v>
      </c>
      <c r="Q149" s="1157">
        <v>0.9</v>
      </c>
      <c r="R149" s="1157">
        <v>1</v>
      </c>
      <c r="S149" s="1157">
        <v>1.3</v>
      </c>
      <c r="T149" s="1157">
        <v>0.1</v>
      </c>
      <c r="U149" s="859"/>
      <c r="V149" s="649">
        <v>0.15</v>
      </c>
      <c r="W149" s="1157">
        <v>-0.4</v>
      </c>
      <c r="X149" s="1157">
        <v>-0.7</v>
      </c>
      <c r="Y149" s="1157">
        <v>0.65</v>
      </c>
      <c r="Z149" s="1157">
        <v>-1</v>
      </c>
      <c r="AA149" s="1157">
        <v>-0.3</v>
      </c>
      <c r="AB149" s="1157">
        <v>0.6</v>
      </c>
      <c r="AC149" s="1157">
        <v>-0.5</v>
      </c>
      <c r="AD149" s="214"/>
    </row>
    <row r="150" spans="1:30" ht="14.4">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7">
        <v>0.6</v>
      </c>
      <c r="P150" s="1157">
        <v>2.1</v>
      </c>
      <c r="Q150" s="1157">
        <v>0.2</v>
      </c>
      <c r="R150" s="1157">
        <v>-0.2</v>
      </c>
      <c r="S150" s="1157">
        <v>0.1</v>
      </c>
      <c r="T150" s="1157">
        <v>0.8</v>
      </c>
      <c r="U150" s="859"/>
      <c r="V150" s="651">
        <v>0.12</v>
      </c>
      <c r="W150" s="1157">
        <v>-0.9</v>
      </c>
      <c r="X150" s="1157">
        <v>1.3</v>
      </c>
      <c r="Y150" s="1157">
        <v>0.3</v>
      </c>
      <c r="Z150" s="1157">
        <v>1</v>
      </c>
      <c r="AA150" s="1157">
        <v>0.3</v>
      </c>
      <c r="AB150" s="1157">
        <v>-0.9</v>
      </c>
      <c r="AC150" s="1157">
        <v>0.2</v>
      </c>
      <c r="AD150" s="214"/>
    </row>
    <row r="151" spans="1:30" ht="14.4">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8">
        <v>0.4</v>
      </c>
      <c r="P151" s="1158">
        <v>-1</v>
      </c>
      <c r="Q151" s="1158">
        <v>0.8</v>
      </c>
      <c r="R151" s="1158">
        <v>0</v>
      </c>
      <c r="S151" s="1158">
        <v>-0.6</v>
      </c>
      <c r="T151" s="1158">
        <v>-0.6</v>
      </c>
      <c r="U151" s="858"/>
      <c r="V151" s="648">
        <v>0.17</v>
      </c>
      <c r="W151" s="1158">
        <v>2.1</v>
      </c>
      <c r="X151" s="1158">
        <v>-0.6</v>
      </c>
      <c r="Y151" s="1158">
        <v>-0.03</v>
      </c>
      <c r="Z151" s="1158">
        <v>0.1</v>
      </c>
      <c r="AA151" s="1158">
        <v>-0.5</v>
      </c>
      <c r="AB151" s="1158">
        <v>-0.9</v>
      </c>
      <c r="AC151" s="1158">
        <v>2.1</v>
      </c>
      <c r="AD151" s="214"/>
    </row>
    <row r="152" spans="1:30" ht="14.4">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7">
        <v>-0.9</v>
      </c>
      <c r="P152" s="1157">
        <v>0</v>
      </c>
      <c r="Q152" s="1157">
        <v>-0.1</v>
      </c>
      <c r="R152" s="1157">
        <v>0.1</v>
      </c>
      <c r="S152" s="1157">
        <v>0</v>
      </c>
      <c r="T152" s="1157">
        <v>0.6</v>
      </c>
      <c r="U152" s="859"/>
      <c r="V152" s="649">
        <v>0.15</v>
      </c>
      <c r="W152" s="1157">
        <v>0.1</v>
      </c>
      <c r="X152" s="1157">
        <v>1</v>
      </c>
      <c r="Y152" s="1157">
        <v>-1.2</v>
      </c>
      <c r="Z152" s="1157">
        <v>-0.6</v>
      </c>
      <c r="AA152" s="1157">
        <v>0.3</v>
      </c>
      <c r="AB152" s="1157">
        <v>-0.3</v>
      </c>
      <c r="AC152" s="1157">
        <v>-2.5</v>
      </c>
      <c r="AD152" s="214"/>
    </row>
    <row r="153" spans="1:30" ht="14.4">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7">
        <v>0.7</v>
      </c>
      <c r="P153" s="1157">
        <v>-0.4</v>
      </c>
      <c r="Q153" s="1157">
        <v>-1.4</v>
      </c>
      <c r="R153" s="1157">
        <v>-0.7</v>
      </c>
      <c r="S153" s="1157">
        <v>-1.5</v>
      </c>
      <c r="T153" s="1157">
        <v>0.5</v>
      </c>
      <c r="U153" s="859"/>
      <c r="V153" s="649">
        <v>0.13</v>
      </c>
      <c r="W153" s="1157">
        <v>-0.6</v>
      </c>
      <c r="X153" s="1157">
        <v>-0.6</v>
      </c>
      <c r="Y153" s="1157">
        <v>0.77</v>
      </c>
      <c r="Z153" s="1157">
        <v>0.3</v>
      </c>
      <c r="AA153" s="1157">
        <v>0.5</v>
      </c>
      <c r="AB153" s="1157">
        <v>0.2</v>
      </c>
      <c r="AC153" s="1157">
        <v>0</v>
      </c>
      <c r="AD153" s="214"/>
    </row>
    <row r="154" spans="1:30" ht="14.4">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7">
        <v>0.4</v>
      </c>
      <c r="P154" s="1157">
        <v>-0.1</v>
      </c>
      <c r="Q154" s="1157">
        <v>-0.2</v>
      </c>
      <c r="R154" s="1157">
        <v>0.3</v>
      </c>
      <c r="S154" s="1157">
        <v>-0.2</v>
      </c>
      <c r="T154" s="1157">
        <v>-0.1</v>
      </c>
      <c r="U154" s="859"/>
      <c r="V154" s="649">
        <v>0.12</v>
      </c>
      <c r="W154" s="1157">
        <v>0.7</v>
      </c>
      <c r="X154" s="1157">
        <v>-0.4</v>
      </c>
      <c r="Y154" s="1157">
        <v>0.28999999999999998</v>
      </c>
      <c r="Z154" s="1157">
        <v>0.6</v>
      </c>
      <c r="AA154" s="1157">
        <v>-0.8</v>
      </c>
      <c r="AB154" s="1157">
        <v>0.8</v>
      </c>
      <c r="AC154" s="1157">
        <v>-0.4</v>
      </c>
      <c r="AD154" s="214"/>
    </row>
    <row r="155" spans="1:30" ht="14.4">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7">
        <v>0.9</v>
      </c>
      <c r="P155" s="1157">
        <v>0.4</v>
      </c>
      <c r="Q155" s="1157">
        <v>0.4</v>
      </c>
      <c r="R155" s="1157">
        <v>0.2</v>
      </c>
      <c r="S155" s="1157">
        <v>0.4</v>
      </c>
      <c r="T155" s="1157">
        <v>-0.7</v>
      </c>
      <c r="U155" s="859"/>
      <c r="V155" s="649">
        <v>0.03</v>
      </c>
      <c r="W155" s="1157">
        <v>-0.4</v>
      </c>
      <c r="X155" s="1157">
        <v>0</v>
      </c>
      <c r="Y155" s="1157">
        <v>-0.35</v>
      </c>
      <c r="Z155" s="1157">
        <v>0</v>
      </c>
      <c r="AA155" s="1157">
        <v>0.5</v>
      </c>
      <c r="AB155" s="1157">
        <v>-0.9</v>
      </c>
      <c r="AC155" s="1157">
        <v>0.7</v>
      </c>
      <c r="AD155" s="214"/>
    </row>
    <row r="156" spans="1:30" ht="14.4">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7">
        <v>-0.3</v>
      </c>
      <c r="P156" s="1157">
        <v>0.3</v>
      </c>
      <c r="Q156" s="1157">
        <v>-0.3</v>
      </c>
      <c r="R156" s="1157">
        <v>-0.9</v>
      </c>
      <c r="S156" s="1157">
        <v>-0.3</v>
      </c>
      <c r="T156" s="1157">
        <v>1.5</v>
      </c>
      <c r="U156" s="859"/>
      <c r="V156" s="649">
        <v>0.13</v>
      </c>
      <c r="W156" s="1157">
        <v>-0.2</v>
      </c>
      <c r="X156" s="1157">
        <v>1.4</v>
      </c>
      <c r="Y156" s="1157">
        <v>1.87</v>
      </c>
      <c r="Z156" s="1157">
        <v>-0.2</v>
      </c>
      <c r="AA156" s="1157">
        <v>-0.2</v>
      </c>
      <c r="AB156" s="1157">
        <v>-0.7</v>
      </c>
      <c r="AC156" s="1157">
        <v>-0.5</v>
      </c>
      <c r="AD156" s="214"/>
    </row>
    <row r="157" spans="1:30" ht="14.4">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7">
        <v>0.3</v>
      </c>
      <c r="P157" s="1157">
        <v>-0.5</v>
      </c>
      <c r="Q157" s="1157">
        <v>0</v>
      </c>
      <c r="R157" s="1157">
        <v>-0.4</v>
      </c>
      <c r="S157" s="1157">
        <v>0</v>
      </c>
      <c r="T157" s="1157">
        <v>-0.6</v>
      </c>
      <c r="U157" s="859"/>
      <c r="V157" s="649">
        <v>0</v>
      </c>
      <c r="W157" s="1157">
        <v>0</v>
      </c>
      <c r="X157" s="1157">
        <v>-1.8</v>
      </c>
      <c r="Y157" s="1157">
        <v>-1.37</v>
      </c>
      <c r="Z157" s="1157">
        <v>-0.1</v>
      </c>
      <c r="AA157" s="1157">
        <v>0</v>
      </c>
      <c r="AB157" s="1157">
        <v>0.5</v>
      </c>
      <c r="AC157" s="1157">
        <v>0.2</v>
      </c>
      <c r="AD157" s="214"/>
    </row>
    <row r="158" spans="1:30" ht="14.4">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7">
        <v>0.3</v>
      </c>
      <c r="P158" s="1157">
        <v>0.4</v>
      </c>
      <c r="Q158" s="1157">
        <v>0.7</v>
      </c>
      <c r="R158" s="1157">
        <v>1.1000000000000001</v>
      </c>
      <c r="S158" s="1157">
        <v>0.9</v>
      </c>
      <c r="T158" s="1157">
        <v>0.2</v>
      </c>
      <c r="U158" s="859"/>
      <c r="V158" s="649">
        <v>0.05</v>
      </c>
      <c r="W158" s="1157">
        <v>0.7</v>
      </c>
      <c r="X158" s="1157">
        <v>0.7</v>
      </c>
      <c r="Y158" s="1157">
        <v>0.95</v>
      </c>
      <c r="Z158" s="1157">
        <v>0.2</v>
      </c>
      <c r="AA158" s="1157">
        <v>-0.3</v>
      </c>
      <c r="AB158" s="1157">
        <v>0</v>
      </c>
      <c r="AC158" s="1157">
        <v>-0.4</v>
      </c>
      <c r="AD158" s="214"/>
    </row>
    <row r="159" spans="1:30" ht="14.4">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7">
        <v>0.2</v>
      </c>
      <c r="P159" s="1157">
        <v>-0.5</v>
      </c>
      <c r="Q159" s="1157">
        <v>-1.4</v>
      </c>
      <c r="R159" s="1157">
        <v>-0.2</v>
      </c>
      <c r="S159" s="1157">
        <v>-1.5</v>
      </c>
      <c r="T159" s="1157">
        <v>-0.2</v>
      </c>
      <c r="U159" s="859"/>
      <c r="V159" s="649">
        <v>0.04</v>
      </c>
      <c r="W159" s="1157">
        <v>-0.7</v>
      </c>
      <c r="X159" s="1157">
        <v>-0.7</v>
      </c>
      <c r="Y159" s="1157">
        <v>0.86</v>
      </c>
      <c r="Z159" s="1157">
        <v>-0.1</v>
      </c>
      <c r="AA159" s="1157">
        <v>0.6</v>
      </c>
      <c r="AB159" s="1157">
        <v>0.2</v>
      </c>
      <c r="AC159" s="1157">
        <v>-0.2</v>
      </c>
      <c r="AD159" s="214"/>
    </row>
    <row r="160" spans="1:30" ht="14.4">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7">
        <v>0.2</v>
      </c>
      <c r="P160" s="1157">
        <v>1.3</v>
      </c>
      <c r="Q160" s="1157">
        <v>1.8</v>
      </c>
      <c r="R160" s="1157">
        <v>0.4</v>
      </c>
      <c r="S160" s="1157">
        <v>1.9</v>
      </c>
      <c r="T160" s="1157">
        <v>-0.6</v>
      </c>
      <c r="U160" s="859"/>
      <c r="V160" s="649">
        <v>0</v>
      </c>
      <c r="W160" s="1157">
        <v>0.5</v>
      </c>
      <c r="X160" s="1157">
        <v>0.4</v>
      </c>
      <c r="Y160" s="1157">
        <v>-1.87</v>
      </c>
      <c r="Z160" s="1157">
        <v>-0.3</v>
      </c>
      <c r="AA160" s="1157">
        <v>-0.1</v>
      </c>
      <c r="AB160" s="1157">
        <v>0.1</v>
      </c>
      <c r="AC160" s="1157">
        <v>0.3</v>
      </c>
      <c r="AD160" s="214"/>
    </row>
    <row r="161" spans="1:30" ht="14.4">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7">
        <v>-0.4</v>
      </c>
      <c r="P161" s="1157">
        <v>-0.4</v>
      </c>
      <c r="Q161" s="1157">
        <v>0.8</v>
      </c>
      <c r="R161" s="1157">
        <v>0.7</v>
      </c>
      <c r="S161" s="1157">
        <v>0.6</v>
      </c>
      <c r="T161" s="1157">
        <v>1.8</v>
      </c>
      <c r="U161" s="859"/>
      <c r="V161" s="649">
        <v>0.12</v>
      </c>
      <c r="W161" s="1157">
        <v>-0.5</v>
      </c>
      <c r="X161" s="1157">
        <v>1.2</v>
      </c>
      <c r="Y161" s="1157">
        <v>-0.87</v>
      </c>
      <c r="Z161" s="1157">
        <v>1.6</v>
      </c>
      <c r="AA161" s="1157">
        <v>-0.5</v>
      </c>
      <c r="AB161" s="1157">
        <v>-0.5</v>
      </c>
      <c r="AC161" s="1157">
        <v>0.5</v>
      </c>
      <c r="AD161" s="214"/>
    </row>
    <row r="162" spans="1:30" ht="14.4">
      <c r="A162" s="507"/>
      <c r="B162" s="508" t="s">
        <v>141</v>
      </c>
      <c r="C162" s="509">
        <v>12</v>
      </c>
      <c r="D162" s="656">
        <v>0.04</v>
      </c>
      <c r="E162" s="510">
        <v>1.3</v>
      </c>
      <c r="F162" s="510">
        <v>-0.5</v>
      </c>
      <c r="G162" s="510">
        <v>2.8</v>
      </c>
      <c r="H162" s="510">
        <v>-1.6</v>
      </c>
      <c r="I162" s="510">
        <v>-2</v>
      </c>
      <c r="J162" s="510">
        <v>-0.4</v>
      </c>
      <c r="K162" s="510">
        <v>1.3</v>
      </c>
      <c r="L162" s="860"/>
      <c r="M162" s="510">
        <v>2.7050000000000001</v>
      </c>
      <c r="N162" s="510">
        <v>0.4</v>
      </c>
      <c r="O162" s="1159">
        <v>-0.6</v>
      </c>
      <c r="P162" s="1159">
        <v>-0.6</v>
      </c>
      <c r="Q162" s="1159">
        <v>-0.5</v>
      </c>
      <c r="R162" s="1159">
        <v>-0.4</v>
      </c>
      <c r="S162" s="1159">
        <v>-0.7</v>
      </c>
      <c r="T162" s="1159">
        <v>-0.7</v>
      </c>
      <c r="U162" s="860"/>
      <c r="V162" s="650">
        <v>0.09</v>
      </c>
      <c r="W162" s="1159">
        <v>-0.3</v>
      </c>
      <c r="X162" s="1159">
        <v>-1.5</v>
      </c>
      <c r="Y162" s="1159">
        <v>1.2</v>
      </c>
      <c r="Z162" s="1159">
        <v>-0.6</v>
      </c>
      <c r="AA162" s="1159">
        <v>0.4</v>
      </c>
      <c r="AB162" s="1159">
        <v>0.8</v>
      </c>
      <c r="AC162" s="1159">
        <v>-0.2</v>
      </c>
      <c r="AD162" s="214"/>
    </row>
    <row r="163" spans="1:30" ht="14.4">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7">
        <v>0.6</v>
      </c>
      <c r="P163" s="1157">
        <v>0.2</v>
      </c>
      <c r="Q163" s="1157">
        <v>0.4</v>
      </c>
      <c r="R163" s="1157">
        <v>-0.7</v>
      </c>
      <c r="S163" s="1157">
        <v>0</v>
      </c>
      <c r="T163" s="1157">
        <v>0.8</v>
      </c>
      <c r="U163" s="859"/>
      <c r="V163" s="651">
        <v>0.1</v>
      </c>
      <c r="W163" s="1157">
        <v>0.9</v>
      </c>
      <c r="X163" s="1157">
        <v>0.5</v>
      </c>
      <c r="Y163" s="1157">
        <v>-0.4</v>
      </c>
      <c r="Z163" s="1157">
        <v>-0.2</v>
      </c>
      <c r="AA163" s="1157">
        <v>0.3</v>
      </c>
      <c r="AB163" s="1157">
        <v>1</v>
      </c>
      <c r="AC163" s="1157">
        <v>-0.2</v>
      </c>
      <c r="AD163" s="214"/>
    </row>
    <row r="164" spans="1:30" ht="14.4">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7">
        <v>-0.2</v>
      </c>
      <c r="P164" s="1157">
        <v>-0.4</v>
      </c>
      <c r="Q164" s="1157">
        <v>0.1</v>
      </c>
      <c r="R164" s="1157">
        <v>0.8</v>
      </c>
      <c r="S164" s="1157">
        <v>-0.1</v>
      </c>
      <c r="T164" s="1157">
        <v>0.7</v>
      </c>
      <c r="U164" s="859"/>
      <c r="V164" s="649">
        <v>0.21</v>
      </c>
      <c r="W164" s="1157">
        <v>1</v>
      </c>
      <c r="X164" s="1157">
        <v>-0.9</v>
      </c>
      <c r="Y164" s="1157">
        <v>2.44</v>
      </c>
      <c r="Z164" s="1157">
        <v>0.2</v>
      </c>
      <c r="AA164" s="1157">
        <v>-1.1000000000000001</v>
      </c>
      <c r="AB164" s="1157">
        <v>0.3</v>
      </c>
      <c r="AC164" s="1157">
        <v>-0.3</v>
      </c>
      <c r="AD164" s="214"/>
    </row>
    <row r="165" spans="1:30" ht="14.4">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7">
        <v>0</v>
      </c>
      <c r="P165" s="1157">
        <v>0.4</v>
      </c>
      <c r="Q165" s="1157">
        <v>0.4</v>
      </c>
      <c r="R165" s="1157">
        <v>0</v>
      </c>
      <c r="S165" s="1157">
        <v>0.2</v>
      </c>
      <c r="T165" s="1157">
        <v>-0.7</v>
      </c>
      <c r="U165" s="859"/>
      <c r="V165" s="649">
        <v>0.27</v>
      </c>
      <c r="W165" s="1157">
        <v>-0.2</v>
      </c>
      <c r="X165" s="1157">
        <v>0.6</v>
      </c>
      <c r="Y165" s="1157">
        <v>-0.27</v>
      </c>
      <c r="Z165" s="1157">
        <v>0.8</v>
      </c>
      <c r="AA165" s="1157">
        <v>0.3</v>
      </c>
      <c r="AB165" s="1157">
        <v>-0.1</v>
      </c>
      <c r="AC165" s="1157">
        <v>0.5</v>
      </c>
      <c r="AD165" s="214"/>
    </row>
    <row r="166" spans="1:30" ht="14.4">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7">
        <v>-0.4</v>
      </c>
      <c r="P166" s="1157">
        <v>1.1000000000000001</v>
      </c>
      <c r="Q166" s="1157">
        <v>0.6</v>
      </c>
      <c r="R166" s="1157">
        <v>1.3</v>
      </c>
      <c r="S166" s="1157">
        <v>0.7</v>
      </c>
      <c r="T166" s="1157">
        <v>0.7</v>
      </c>
      <c r="U166" s="859"/>
      <c r="V166" s="649">
        <v>0.19</v>
      </c>
      <c r="W166" s="1157">
        <v>-0.4</v>
      </c>
      <c r="X166" s="1157">
        <v>0.3</v>
      </c>
      <c r="Y166" s="1157">
        <v>0.16</v>
      </c>
      <c r="Z166" s="1157">
        <v>-0.7</v>
      </c>
      <c r="AA166" s="1157">
        <v>1</v>
      </c>
      <c r="AB166" s="1157">
        <v>-0.6</v>
      </c>
      <c r="AC166" s="1157">
        <v>0.2</v>
      </c>
      <c r="AD166" s="214"/>
    </row>
    <row r="167" spans="1:30" ht="14.4">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7">
        <v>0.2</v>
      </c>
      <c r="P167" s="1157">
        <v>-0.3</v>
      </c>
      <c r="Q167" s="1157">
        <v>-0.7</v>
      </c>
      <c r="R167" s="1157">
        <v>-0.4</v>
      </c>
      <c r="S167" s="1157">
        <v>-0.7</v>
      </c>
      <c r="T167" s="1157">
        <v>-1.4</v>
      </c>
      <c r="U167" s="859"/>
      <c r="V167" s="649">
        <v>0.2</v>
      </c>
      <c r="W167" s="1157">
        <v>0.4</v>
      </c>
      <c r="X167" s="1157">
        <v>0.3</v>
      </c>
      <c r="Y167" s="1157">
        <v>0.14000000000000001</v>
      </c>
      <c r="Z167" s="1157">
        <v>0.5</v>
      </c>
      <c r="AA167" s="1157">
        <v>-0.8</v>
      </c>
      <c r="AB167" s="1157">
        <v>0.3</v>
      </c>
      <c r="AC167" s="1157">
        <v>1.2</v>
      </c>
      <c r="AD167" s="214"/>
    </row>
    <row r="168" spans="1:30" ht="14.4">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7">
        <v>0</v>
      </c>
      <c r="P168" s="1157">
        <v>0</v>
      </c>
      <c r="Q168" s="1157">
        <v>0.7</v>
      </c>
      <c r="R168" s="1157">
        <v>0.8</v>
      </c>
      <c r="S168" s="1157">
        <v>1</v>
      </c>
      <c r="T168" s="1157">
        <v>0.9</v>
      </c>
      <c r="U168" s="859"/>
      <c r="V168" s="649">
        <v>0.27</v>
      </c>
      <c r="W168" s="1157">
        <v>-0.9</v>
      </c>
      <c r="X168" s="1157">
        <v>0.1</v>
      </c>
      <c r="Y168" s="1157">
        <v>-1.55</v>
      </c>
      <c r="Z168" s="1157">
        <v>-0.8</v>
      </c>
      <c r="AA168" s="1157">
        <v>-0.2</v>
      </c>
      <c r="AB168" s="1157">
        <v>0.3</v>
      </c>
      <c r="AC168" s="1157">
        <v>-0.7</v>
      </c>
      <c r="AD168" s="214"/>
    </row>
    <row r="169" spans="1:30" ht="14.4">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7">
        <v>0.6</v>
      </c>
      <c r="P169" s="1157">
        <v>0.1</v>
      </c>
      <c r="Q169" s="1157">
        <v>0</v>
      </c>
      <c r="R169" s="1157">
        <v>-0.1</v>
      </c>
      <c r="S169" s="1157">
        <v>0.2</v>
      </c>
      <c r="T169" s="1157">
        <v>0.6</v>
      </c>
      <c r="U169" s="859"/>
      <c r="V169" s="649">
        <v>0.44</v>
      </c>
      <c r="W169" s="1157">
        <v>-0.2</v>
      </c>
      <c r="X169" s="1157">
        <v>-0.3</v>
      </c>
      <c r="Y169" s="1157">
        <v>0.94</v>
      </c>
      <c r="Z169" s="1157">
        <v>0.6</v>
      </c>
      <c r="AA169" s="1157">
        <v>0.6</v>
      </c>
      <c r="AB169" s="1157">
        <v>-1</v>
      </c>
      <c r="AC169" s="1157">
        <v>-0.3</v>
      </c>
      <c r="AD169" s="214"/>
    </row>
    <row r="170" spans="1:30" ht="14.4">
      <c r="A170" s="499"/>
      <c r="B170" s="500" t="s">
        <v>141</v>
      </c>
      <c r="C170" s="501">
        <v>8</v>
      </c>
      <c r="D170" s="655">
        <v>0.53</v>
      </c>
      <c r="E170" s="502">
        <v>1</v>
      </c>
      <c r="F170" s="502">
        <v>0.8</v>
      </c>
      <c r="G170" s="502">
        <v>-0.8</v>
      </c>
      <c r="H170" s="502">
        <v>-1.3</v>
      </c>
      <c r="I170" s="502">
        <v>-0.5</v>
      </c>
      <c r="J170" s="502">
        <v>-0.4</v>
      </c>
      <c r="K170" s="502">
        <v>0.2</v>
      </c>
      <c r="L170" s="859"/>
      <c r="M170" s="502">
        <v>-1.635</v>
      </c>
      <c r="N170" s="502">
        <v>-0.7</v>
      </c>
      <c r="O170" s="1157">
        <v>-0.8</v>
      </c>
      <c r="P170" s="1157">
        <v>0.5</v>
      </c>
      <c r="Q170" s="1157">
        <v>-0.1</v>
      </c>
      <c r="R170" s="1157">
        <v>0.4</v>
      </c>
      <c r="S170" s="1157">
        <v>-0.3</v>
      </c>
      <c r="T170" s="1157">
        <v>0.5</v>
      </c>
      <c r="U170" s="859"/>
      <c r="V170" s="649">
        <v>0.44</v>
      </c>
      <c r="W170" s="1157">
        <v>-0.1</v>
      </c>
      <c r="X170" s="1157">
        <v>0.3</v>
      </c>
      <c r="Y170" s="1157">
        <v>0.04</v>
      </c>
      <c r="Z170" s="1157">
        <v>0.2</v>
      </c>
      <c r="AA170" s="1157">
        <v>0.6</v>
      </c>
      <c r="AB170" s="1157">
        <v>0.6</v>
      </c>
      <c r="AC170" s="1157">
        <v>-0.4</v>
      </c>
      <c r="AD170" s="214"/>
    </row>
    <row r="171" spans="1:30" ht="14.4">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7">
        <v>-0.9</v>
      </c>
      <c r="P171" s="1157">
        <v>0.4</v>
      </c>
      <c r="Q171" s="1157">
        <v>-0.6</v>
      </c>
      <c r="R171" s="1157">
        <v>-0.3</v>
      </c>
      <c r="S171" s="1157">
        <v>-0.4</v>
      </c>
      <c r="T171" s="1157">
        <v>-0.6</v>
      </c>
      <c r="U171" s="859"/>
      <c r="V171" s="649">
        <v>0.28999999999999998</v>
      </c>
      <c r="W171" s="1157">
        <v>1.2</v>
      </c>
      <c r="X171" s="1157">
        <v>0</v>
      </c>
      <c r="Y171" s="1157">
        <v>-0.18</v>
      </c>
      <c r="Z171" s="1157">
        <v>-1</v>
      </c>
      <c r="AA171" s="1157">
        <v>1.3</v>
      </c>
      <c r="AB171" s="1157">
        <v>-0.6</v>
      </c>
      <c r="AC171" s="1157">
        <v>0.5</v>
      </c>
      <c r="AD171" s="214"/>
    </row>
    <row r="172" spans="1:30" ht="14.4">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7">
        <v>0.8</v>
      </c>
      <c r="P172" s="1157">
        <v>-0.1</v>
      </c>
      <c r="Q172" s="1157">
        <v>1.2</v>
      </c>
      <c r="R172" s="1157">
        <v>1</v>
      </c>
      <c r="S172" s="1157">
        <v>0.9</v>
      </c>
      <c r="T172" s="1157">
        <v>1.1000000000000001</v>
      </c>
      <c r="U172" s="859"/>
      <c r="V172" s="649">
        <v>0.53</v>
      </c>
      <c r="W172" s="1157">
        <v>0.3</v>
      </c>
      <c r="X172" s="1157">
        <v>0.2</v>
      </c>
      <c r="Y172" s="1157">
        <v>0</v>
      </c>
      <c r="Z172" s="1157">
        <v>-0.2</v>
      </c>
      <c r="AA172" s="1157">
        <v>-2.2999999999999998</v>
      </c>
      <c r="AB172" s="1157">
        <v>-0.6</v>
      </c>
      <c r="AC172" s="1157">
        <v>0.1</v>
      </c>
      <c r="AD172" s="214"/>
    </row>
    <row r="173" spans="1:30" ht="14.4">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7">
        <v>1.3</v>
      </c>
      <c r="P173" s="1157">
        <v>1.3</v>
      </c>
      <c r="Q173" s="1157">
        <v>1.5</v>
      </c>
      <c r="R173" s="1157">
        <v>-0.5</v>
      </c>
      <c r="S173" s="1157">
        <v>1.5</v>
      </c>
      <c r="T173" s="1157">
        <v>-0.6</v>
      </c>
      <c r="U173" s="859"/>
      <c r="V173" s="649">
        <v>0.55000000000000004</v>
      </c>
      <c r="W173" s="1157">
        <v>1.3</v>
      </c>
      <c r="X173" s="1157">
        <v>-0.1</v>
      </c>
      <c r="Y173" s="1157">
        <v>0.52</v>
      </c>
      <c r="Z173" s="1157">
        <v>-0.1</v>
      </c>
      <c r="AA173" s="1157">
        <v>0.3</v>
      </c>
      <c r="AB173" s="1157">
        <v>-0.4</v>
      </c>
      <c r="AC173" s="1157">
        <v>0</v>
      </c>
      <c r="AD173" s="214"/>
    </row>
    <row r="174" spans="1:30" ht="14.4">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7">
        <v>-2</v>
      </c>
      <c r="P174" s="1157">
        <v>0</v>
      </c>
      <c r="Q174" s="1157">
        <v>0.1</v>
      </c>
      <c r="R174" s="1157">
        <v>0.7</v>
      </c>
      <c r="S174" s="1157">
        <v>-0.1</v>
      </c>
      <c r="T174" s="1157">
        <v>0.8</v>
      </c>
      <c r="U174" s="859"/>
      <c r="V174" s="651">
        <v>0.72</v>
      </c>
      <c r="W174" s="1157">
        <v>0.2</v>
      </c>
      <c r="X174" s="1157">
        <v>0.4</v>
      </c>
      <c r="Y174" s="1157">
        <v>-0.22</v>
      </c>
      <c r="Z174" s="1157">
        <v>0.4</v>
      </c>
      <c r="AA174" s="1157">
        <v>1.2</v>
      </c>
      <c r="AB174" s="1157">
        <v>-0.6</v>
      </c>
      <c r="AC174" s="1157">
        <v>0.9</v>
      </c>
      <c r="AD174" s="214"/>
    </row>
    <row r="175" spans="1:30" ht="14.4">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8">
        <v>2.4</v>
      </c>
      <c r="P175" s="1158">
        <v>-0.8</v>
      </c>
      <c r="Q175" s="1158">
        <v>0.1</v>
      </c>
      <c r="R175" s="1158">
        <v>0.4</v>
      </c>
      <c r="S175" s="1158">
        <v>1.8</v>
      </c>
      <c r="T175" s="1158">
        <v>0.2</v>
      </c>
      <c r="U175" s="858"/>
      <c r="V175" s="648">
        <v>0.67</v>
      </c>
      <c r="W175" s="1158">
        <v>-2.9</v>
      </c>
      <c r="X175" s="1158">
        <v>-0.6</v>
      </c>
      <c r="Y175" s="1158">
        <v>-0.37</v>
      </c>
      <c r="Z175" s="1158">
        <v>0</v>
      </c>
      <c r="AA175" s="1158">
        <v>-2</v>
      </c>
      <c r="AB175" s="1158">
        <v>-0.6</v>
      </c>
      <c r="AC175" s="1158">
        <v>-1.3</v>
      </c>
      <c r="AD175" s="214"/>
    </row>
    <row r="176" spans="1:30" ht="14.4">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7">
        <v>0.6</v>
      </c>
      <c r="P176" s="1157">
        <v>1.2</v>
      </c>
      <c r="Q176" s="1157">
        <v>0.5</v>
      </c>
      <c r="R176" s="1157">
        <v>-0.3</v>
      </c>
      <c r="S176" s="1157">
        <v>0.1</v>
      </c>
      <c r="T176" s="1157">
        <v>0.5</v>
      </c>
      <c r="U176" s="859"/>
      <c r="V176" s="649">
        <v>0.66</v>
      </c>
      <c r="W176" s="1157">
        <v>1.1000000000000001</v>
      </c>
      <c r="X176" s="1157">
        <v>-0.6</v>
      </c>
      <c r="Y176" s="1157">
        <v>-0.19</v>
      </c>
      <c r="Z176" s="1157">
        <v>0.4</v>
      </c>
      <c r="AA176" s="1157">
        <v>-0.9</v>
      </c>
      <c r="AB176" s="1157">
        <v>-1.1000000000000001</v>
      </c>
      <c r="AC176" s="1157">
        <v>0.1</v>
      </c>
      <c r="AD176" s="214"/>
    </row>
    <row r="177" spans="1:30" ht="14.4">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7">
        <v>0.6</v>
      </c>
      <c r="P177" s="1157">
        <v>-0.9</v>
      </c>
      <c r="Q177" s="1157">
        <v>-1</v>
      </c>
      <c r="R177" s="1157">
        <v>0.7</v>
      </c>
      <c r="S177" s="1157">
        <v>-1</v>
      </c>
      <c r="T177" s="1157">
        <v>-0.5</v>
      </c>
      <c r="U177" s="859"/>
      <c r="V177" s="649">
        <v>0.59</v>
      </c>
      <c r="W177" s="1157">
        <v>-0.3</v>
      </c>
      <c r="X177" s="1157">
        <v>0.1</v>
      </c>
      <c r="Y177" s="1157">
        <v>-0.1</v>
      </c>
      <c r="Z177" s="1157">
        <v>-1.3</v>
      </c>
      <c r="AA177" s="1157">
        <v>2.4</v>
      </c>
      <c r="AB177" s="1157">
        <v>0.2</v>
      </c>
      <c r="AC177" s="1157">
        <v>1.1000000000000001</v>
      </c>
      <c r="AD177" s="214"/>
    </row>
    <row r="178" spans="1:30" ht="14.4">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7">
        <v>-0.2</v>
      </c>
      <c r="P178" s="1157">
        <v>0.3</v>
      </c>
      <c r="Q178" s="1157">
        <v>0.3</v>
      </c>
      <c r="R178" s="1157">
        <v>-0.6</v>
      </c>
      <c r="S178" s="1157">
        <v>0.4</v>
      </c>
      <c r="T178" s="1157">
        <v>1.1000000000000001</v>
      </c>
      <c r="U178" s="859"/>
      <c r="V178" s="649">
        <v>0.64</v>
      </c>
      <c r="W178" s="1157">
        <v>-0.3</v>
      </c>
      <c r="X178" s="1157">
        <v>0.3</v>
      </c>
      <c r="Y178" s="1157">
        <v>1.31</v>
      </c>
      <c r="Z178" s="1157">
        <v>-0.2</v>
      </c>
      <c r="AA178" s="1157">
        <v>-2</v>
      </c>
      <c r="AB178" s="1157">
        <v>-0.5</v>
      </c>
      <c r="AC178" s="1157">
        <v>-1.5</v>
      </c>
      <c r="AD178" s="214"/>
    </row>
    <row r="179" spans="1:30" ht="14.4">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7">
        <v>-1.7</v>
      </c>
      <c r="P179" s="1157">
        <v>0.1</v>
      </c>
      <c r="Q179" s="1157">
        <v>0.3</v>
      </c>
      <c r="R179" s="1157">
        <v>0.8</v>
      </c>
      <c r="S179" s="1157">
        <v>0.6</v>
      </c>
      <c r="T179" s="1157">
        <v>-0.3</v>
      </c>
      <c r="U179" s="859"/>
      <c r="V179" s="649">
        <v>0.51</v>
      </c>
      <c r="W179" s="1157">
        <v>-0.2</v>
      </c>
      <c r="X179" s="1157">
        <v>-0.3</v>
      </c>
      <c r="Y179" s="1157">
        <v>0.3</v>
      </c>
      <c r="Z179" s="1157">
        <v>0.6</v>
      </c>
      <c r="AA179" s="1157">
        <v>0.8</v>
      </c>
      <c r="AB179" s="1157">
        <v>0.5</v>
      </c>
      <c r="AC179" s="1157">
        <v>1.9</v>
      </c>
      <c r="AD179" s="214"/>
    </row>
    <row r="180" spans="1:30" ht="14.4">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7">
        <v>1.9</v>
      </c>
      <c r="P180" s="1157">
        <v>-0.7</v>
      </c>
      <c r="Q180" s="1157">
        <v>0.5</v>
      </c>
      <c r="R180" s="1157">
        <v>0.6</v>
      </c>
      <c r="S180" s="1157">
        <v>0.3</v>
      </c>
      <c r="T180" s="1157">
        <v>0.4</v>
      </c>
      <c r="U180" s="859"/>
      <c r="V180" s="649">
        <v>0.56000000000000005</v>
      </c>
      <c r="W180" s="1157">
        <v>1.7</v>
      </c>
      <c r="X180" s="1157">
        <v>-0.4</v>
      </c>
      <c r="Y180" s="1157">
        <v>0.93</v>
      </c>
      <c r="Z180" s="1157">
        <v>0.4</v>
      </c>
      <c r="AA180" s="1157">
        <v>0</v>
      </c>
      <c r="AB180" s="1157">
        <v>-0.5</v>
      </c>
      <c r="AC180" s="1157">
        <v>-1.4</v>
      </c>
      <c r="AD180" s="214"/>
    </row>
    <row r="181" spans="1:30" ht="14.4">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7">
        <v>-0.8</v>
      </c>
      <c r="P181" s="1157">
        <v>0.8</v>
      </c>
      <c r="Q181" s="1157">
        <v>0.4</v>
      </c>
      <c r="R181" s="1157">
        <v>1.1000000000000001</v>
      </c>
      <c r="S181" s="1157">
        <v>0.6</v>
      </c>
      <c r="T181" s="1157">
        <v>0.3</v>
      </c>
      <c r="U181" s="859"/>
      <c r="V181" s="649">
        <v>0.52</v>
      </c>
      <c r="W181" s="1157">
        <v>0.2</v>
      </c>
      <c r="X181" s="1157">
        <v>0.4</v>
      </c>
      <c r="Y181" s="1157">
        <v>0.19</v>
      </c>
      <c r="Z181" s="1157">
        <v>-1.5</v>
      </c>
      <c r="AA181" s="1157">
        <v>0.4</v>
      </c>
      <c r="AB181" s="1157">
        <v>0.6</v>
      </c>
      <c r="AC181" s="1157">
        <v>-1.3</v>
      </c>
      <c r="AD181" s="214"/>
    </row>
    <row r="182" spans="1:30" ht="14.4">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7">
        <v>0</v>
      </c>
      <c r="P182" s="1157">
        <v>-0.6</v>
      </c>
      <c r="Q182" s="1157">
        <v>0.5</v>
      </c>
      <c r="R182" s="1157">
        <v>0.6</v>
      </c>
      <c r="S182" s="1157">
        <v>0.4</v>
      </c>
      <c r="T182" s="1157">
        <v>0</v>
      </c>
      <c r="U182" s="859"/>
      <c r="V182" s="649">
        <v>0.47</v>
      </c>
      <c r="W182" s="1157">
        <v>-0.2</v>
      </c>
      <c r="X182" s="1157">
        <v>-0.3</v>
      </c>
      <c r="Y182" s="1157">
        <v>-1.39</v>
      </c>
      <c r="Z182" s="1157">
        <v>1.3</v>
      </c>
      <c r="AA182" s="1157">
        <v>-1.1000000000000001</v>
      </c>
      <c r="AB182" s="1157">
        <v>-0.2</v>
      </c>
      <c r="AC182" s="1157">
        <v>2</v>
      </c>
      <c r="AD182" s="214"/>
    </row>
    <row r="183" spans="1:30" ht="14.4">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7">
        <v>0.8</v>
      </c>
      <c r="P183" s="1157">
        <v>-0.2</v>
      </c>
      <c r="Q183" s="1157">
        <v>-0.1</v>
      </c>
      <c r="R183" s="1157">
        <v>0.1</v>
      </c>
      <c r="S183" s="1157">
        <v>0.1</v>
      </c>
      <c r="T183" s="1157">
        <v>0.1</v>
      </c>
      <c r="U183" s="859"/>
      <c r="V183" s="649">
        <v>0.47</v>
      </c>
      <c r="W183" s="1157">
        <v>-0.7</v>
      </c>
      <c r="X183" s="1157">
        <v>0.3</v>
      </c>
      <c r="Y183" s="1157">
        <v>-2.17</v>
      </c>
      <c r="Z183" s="1157">
        <v>-0.2</v>
      </c>
      <c r="AA183" s="1157">
        <v>0.5</v>
      </c>
      <c r="AB183" s="1157">
        <v>-0.2</v>
      </c>
      <c r="AC183" s="1157">
        <v>-0.4</v>
      </c>
      <c r="AD183" s="214"/>
    </row>
    <row r="184" spans="1:30" ht="14.4">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7">
        <v>-0.4</v>
      </c>
      <c r="P184" s="1157">
        <v>1.3</v>
      </c>
      <c r="Q184" s="1157">
        <v>0.3</v>
      </c>
      <c r="R184" s="1157">
        <v>-0.5</v>
      </c>
      <c r="S184" s="1157">
        <v>0.6</v>
      </c>
      <c r="T184" s="1157">
        <v>-0.1</v>
      </c>
      <c r="U184" s="859"/>
      <c r="V184" s="649">
        <v>0.44</v>
      </c>
      <c r="W184" s="1157">
        <v>-0.5</v>
      </c>
      <c r="X184" s="1157">
        <v>-0.1</v>
      </c>
      <c r="Y184" s="1157">
        <v>-0.57999999999999996</v>
      </c>
      <c r="Z184" s="1157">
        <v>0.3</v>
      </c>
      <c r="AA184" s="1157">
        <v>0.8</v>
      </c>
      <c r="AB184" s="1157">
        <v>-0.3</v>
      </c>
      <c r="AC184" s="1157">
        <v>-0.1</v>
      </c>
      <c r="AD184" s="214"/>
    </row>
    <row r="185" spans="1:30" ht="14.4">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7">
        <v>-0.2</v>
      </c>
      <c r="P185" s="1157">
        <v>-0.4</v>
      </c>
      <c r="Q185" s="1157">
        <v>-1</v>
      </c>
      <c r="R185" s="1157">
        <v>-1.8</v>
      </c>
      <c r="S185" s="1157">
        <v>-0.8</v>
      </c>
      <c r="T185" s="1157">
        <v>0.5</v>
      </c>
      <c r="U185" s="859"/>
      <c r="V185" s="649">
        <v>0.42</v>
      </c>
      <c r="W185" s="1157">
        <v>-1.6</v>
      </c>
      <c r="X185" s="1157">
        <v>0.8</v>
      </c>
      <c r="Y185" s="1157">
        <v>1.27</v>
      </c>
      <c r="Z185" s="1157">
        <v>0.7</v>
      </c>
      <c r="AA185" s="1157">
        <v>0.3</v>
      </c>
      <c r="AB185" s="1157">
        <v>1.9</v>
      </c>
      <c r="AC185" s="1157">
        <v>-0.2</v>
      </c>
      <c r="AD185" s="214"/>
    </row>
    <row r="186" spans="1:30" ht="14.4">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9">
        <v>1</v>
      </c>
      <c r="P186" s="1159">
        <v>0.9</v>
      </c>
      <c r="Q186" s="1159">
        <v>-0.1</v>
      </c>
      <c r="R186" s="1159">
        <v>0.9</v>
      </c>
      <c r="S186" s="1159">
        <v>-0.3</v>
      </c>
      <c r="T186" s="1159">
        <v>-0.3</v>
      </c>
      <c r="U186" s="860"/>
      <c r="V186" s="650">
        <v>0.42</v>
      </c>
      <c r="W186" s="1159">
        <v>-0.3</v>
      </c>
      <c r="X186" s="1159">
        <v>-1.2</v>
      </c>
      <c r="Y186" s="1159">
        <v>0.4</v>
      </c>
      <c r="Z186" s="1159">
        <v>-0.5</v>
      </c>
      <c r="AA186" s="1159">
        <v>-0.8</v>
      </c>
      <c r="AB186" s="1159">
        <v>1.3</v>
      </c>
      <c r="AC186" s="1159">
        <v>-0.8</v>
      </c>
      <c r="AD186" s="214"/>
    </row>
    <row r="187" spans="1:30" ht="14.4">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7">
        <v>-1</v>
      </c>
      <c r="P187" s="1157">
        <v>-1.6</v>
      </c>
      <c r="Q187" s="1157">
        <v>-1.3</v>
      </c>
      <c r="R187" s="1157">
        <v>0.1</v>
      </c>
      <c r="S187" s="1157">
        <v>-1</v>
      </c>
      <c r="T187" s="1157">
        <v>-0.2</v>
      </c>
      <c r="U187" s="859"/>
      <c r="V187" s="651">
        <v>0.43</v>
      </c>
      <c r="W187" s="1157">
        <v>0.5</v>
      </c>
      <c r="X187" s="1157">
        <v>-0.1</v>
      </c>
      <c r="Y187" s="1157">
        <v>-1.9</v>
      </c>
      <c r="Z187" s="1157">
        <v>-0.1</v>
      </c>
      <c r="AA187" s="1157">
        <v>-0.7</v>
      </c>
      <c r="AB187" s="1157">
        <v>-0.6</v>
      </c>
      <c r="AC187" s="1157">
        <v>1</v>
      </c>
      <c r="AD187" s="214"/>
    </row>
    <row r="188" spans="1:30" ht="14.4">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7">
        <v>1.3</v>
      </c>
      <c r="P188" s="1157">
        <v>0</v>
      </c>
      <c r="Q188" s="1157">
        <v>0.2</v>
      </c>
      <c r="R188" s="1157">
        <v>-0.1</v>
      </c>
      <c r="S188" s="1157">
        <v>-0.1</v>
      </c>
      <c r="T188" s="1157">
        <v>0.7</v>
      </c>
      <c r="U188" s="859"/>
      <c r="V188" s="649">
        <v>0.54</v>
      </c>
      <c r="W188" s="1157">
        <v>2.2999999999999998</v>
      </c>
      <c r="X188" s="1157">
        <v>0.2</v>
      </c>
      <c r="Y188" s="1157">
        <v>-1.04</v>
      </c>
      <c r="Z188" s="1157">
        <v>0.6</v>
      </c>
      <c r="AA188" s="1157">
        <v>0.8</v>
      </c>
      <c r="AB188" s="1157">
        <v>1.1000000000000001</v>
      </c>
      <c r="AC188" s="1157">
        <v>0.5</v>
      </c>
      <c r="AD188" s="214"/>
    </row>
    <row r="189" spans="1:30" ht="14.4">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7">
        <v>-1.1000000000000001</v>
      </c>
      <c r="P189" s="1157">
        <v>0.4</v>
      </c>
      <c r="Q189" s="1157">
        <v>-0.4</v>
      </c>
      <c r="R189" s="1157">
        <v>-0.3</v>
      </c>
      <c r="S189" s="1157">
        <v>0.1</v>
      </c>
      <c r="T189" s="1157">
        <v>0.2</v>
      </c>
      <c r="U189" s="859"/>
      <c r="V189" s="649">
        <v>0.46</v>
      </c>
      <c r="W189" s="1157">
        <v>-1.8</v>
      </c>
      <c r="X189" s="1157">
        <v>0</v>
      </c>
      <c r="Y189" s="1157">
        <v>1.39</v>
      </c>
      <c r="Z189" s="1157">
        <v>0.8</v>
      </c>
      <c r="AA189" s="1157">
        <v>-0.8</v>
      </c>
      <c r="AB189" s="1157">
        <v>0.9</v>
      </c>
      <c r="AC189" s="1157">
        <v>-0.6</v>
      </c>
      <c r="AD189" s="214"/>
    </row>
    <row r="190" spans="1:30" ht="14.4">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7">
        <v>-0.8</v>
      </c>
      <c r="P190" s="1157">
        <v>-1.9</v>
      </c>
      <c r="Q190" s="1157">
        <v>-0.2</v>
      </c>
      <c r="R190" s="1157">
        <v>-0.2</v>
      </c>
      <c r="S190" s="1157">
        <v>-0.3</v>
      </c>
      <c r="T190" s="1157">
        <v>-0.7</v>
      </c>
      <c r="U190" s="859"/>
      <c r="V190" s="649">
        <v>0.45</v>
      </c>
      <c r="W190" s="1157">
        <v>2.1</v>
      </c>
      <c r="X190" s="1157">
        <v>-1.9</v>
      </c>
      <c r="Y190" s="1157">
        <v>-1.1100000000000001</v>
      </c>
      <c r="Z190" s="1157">
        <v>-1.1000000000000001</v>
      </c>
      <c r="AA190" s="1157">
        <v>-0.3</v>
      </c>
      <c r="AB190" s="1157">
        <v>0</v>
      </c>
      <c r="AC190" s="1157">
        <v>0.2</v>
      </c>
      <c r="AD190" s="214"/>
    </row>
    <row r="191" spans="1:30" ht="14.4">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7">
        <v>-1.2</v>
      </c>
      <c r="P191" s="1157">
        <v>0.1</v>
      </c>
      <c r="Q191" s="1157">
        <v>-0.6</v>
      </c>
      <c r="R191" s="1157">
        <v>-0.6</v>
      </c>
      <c r="S191" s="1157">
        <v>-0.3</v>
      </c>
      <c r="T191" s="1157">
        <v>0</v>
      </c>
      <c r="U191" s="859"/>
      <c r="V191" s="649">
        <v>0.28000000000000003</v>
      </c>
      <c r="W191" s="1157">
        <v>1.5</v>
      </c>
      <c r="X191" s="1157">
        <v>0</v>
      </c>
      <c r="Y191" s="1157">
        <v>-0.43</v>
      </c>
      <c r="Z191" s="1157">
        <v>-0.4</v>
      </c>
      <c r="AA191" s="1157">
        <v>-0.8</v>
      </c>
      <c r="AB191" s="1157">
        <v>0.9</v>
      </c>
      <c r="AC191" s="1157">
        <v>-0.8</v>
      </c>
      <c r="AD191" s="214"/>
    </row>
    <row r="192" spans="1:30" ht="14.4">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7">
        <v>-0.4</v>
      </c>
      <c r="P192" s="1157">
        <v>0.1</v>
      </c>
      <c r="Q192" s="1157">
        <v>-1.2</v>
      </c>
      <c r="R192" s="1157">
        <v>-0.4</v>
      </c>
      <c r="S192" s="1157">
        <v>-0.5</v>
      </c>
      <c r="T192" s="1157">
        <v>0.5</v>
      </c>
      <c r="U192" s="859"/>
      <c r="V192" s="649">
        <v>0.3</v>
      </c>
      <c r="W192" s="1157">
        <v>-0.2</v>
      </c>
      <c r="X192" s="1157">
        <v>0.1</v>
      </c>
      <c r="Y192" s="1157">
        <v>-0.61</v>
      </c>
      <c r="Z192" s="1157">
        <v>-0.7</v>
      </c>
      <c r="AA192" s="1157">
        <v>0.1</v>
      </c>
      <c r="AB192" s="1157">
        <v>1.9</v>
      </c>
      <c r="AC192" s="1157">
        <v>0.5</v>
      </c>
      <c r="AD192" s="214"/>
    </row>
    <row r="193" spans="1:30" ht="14.4">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7">
        <v>0.2</v>
      </c>
      <c r="P193" s="1157">
        <v>-0.1</v>
      </c>
      <c r="Q193" s="1157">
        <v>0.5</v>
      </c>
      <c r="R193" s="1157">
        <v>0</v>
      </c>
      <c r="S193" s="1157">
        <v>1</v>
      </c>
      <c r="T193" s="1157">
        <v>0</v>
      </c>
      <c r="U193" s="859"/>
      <c r="V193" s="649">
        <v>0.33</v>
      </c>
      <c r="W193" s="1157">
        <v>-2.2000000000000002</v>
      </c>
      <c r="X193" s="1157">
        <v>0.1</v>
      </c>
      <c r="Y193" s="1157">
        <v>0.28000000000000003</v>
      </c>
      <c r="Z193" s="1157">
        <v>1.5</v>
      </c>
      <c r="AA193" s="1157">
        <v>0.2</v>
      </c>
      <c r="AB193" s="1157">
        <v>0.7</v>
      </c>
      <c r="AC193" s="1157">
        <v>-0.4</v>
      </c>
      <c r="AD193" s="214"/>
    </row>
    <row r="194" spans="1:30" ht="14.4">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7">
        <v>-0.9</v>
      </c>
      <c r="P194" s="1157">
        <v>-1.2</v>
      </c>
      <c r="Q194" s="1157">
        <v>-1.5</v>
      </c>
      <c r="R194" s="1157">
        <v>-1.5</v>
      </c>
      <c r="S194" s="1157">
        <v>-1.1000000000000001</v>
      </c>
      <c r="T194" s="1157">
        <v>-0.7</v>
      </c>
      <c r="U194" s="859"/>
      <c r="V194" s="649">
        <v>0.15</v>
      </c>
      <c r="W194" s="1157">
        <v>0.2</v>
      </c>
      <c r="X194" s="1157">
        <v>-1.8</v>
      </c>
      <c r="Y194" s="1157">
        <v>-1.32</v>
      </c>
      <c r="Z194" s="1157">
        <v>-0.5</v>
      </c>
      <c r="AA194" s="1157">
        <v>0.6</v>
      </c>
      <c r="AB194" s="1157">
        <v>-0.3</v>
      </c>
      <c r="AC194" s="1157">
        <v>-0.1</v>
      </c>
      <c r="AD194" s="214"/>
    </row>
    <row r="195" spans="1:30" ht="14.4">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7">
        <v>0.4</v>
      </c>
      <c r="P195" s="1157">
        <v>0.2</v>
      </c>
      <c r="Q195" s="1157">
        <v>0.4</v>
      </c>
      <c r="R195" s="1157">
        <v>0.5</v>
      </c>
      <c r="S195" s="1157">
        <v>0.5</v>
      </c>
      <c r="T195" s="1157">
        <v>1.6</v>
      </c>
      <c r="U195" s="859"/>
      <c r="V195" s="649">
        <v>0.16</v>
      </c>
      <c r="W195" s="1157">
        <v>-0.2</v>
      </c>
      <c r="X195" s="1157">
        <v>0.8</v>
      </c>
      <c r="Y195" s="1157">
        <v>0.67</v>
      </c>
      <c r="Z195" s="1157">
        <v>-0.5</v>
      </c>
      <c r="AA195" s="1157">
        <v>-0.7</v>
      </c>
      <c r="AB195" s="1157">
        <v>0.1</v>
      </c>
      <c r="AC195" s="1157">
        <v>0.6</v>
      </c>
      <c r="AD195" s="214"/>
    </row>
    <row r="196" spans="1:30" ht="14.4">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7">
        <v>-0.9</v>
      </c>
      <c r="P196" s="1157">
        <v>0.7</v>
      </c>
      <c r="Q196" s="1157">
        <v>0.5</v>
      </c>
      <c r="R196" s="1157">
        <v>-0.1</v>
      </c>
      <c r="S196" s="1157">
        <v>0.1</v>
      </c>
      <c r="T196" s="1157">
        <v>-0.3</v>
      </c>
      <c r="U196" s="859"/>
      <c r="V196" s="649">
        <v>0.15</v>
      </c>
      <c r="W196" s="1157">
        <v>-0.3</v>
      </c>
      <c r="X196" s="1157">
        <v>0.5</v>
      </c>
      <c r="Y196" s="1157">
        <v>1.51</v>
      </c>
      <c r="Z196" s="1157">
        <v>-0.5</v>
      </c>
      <c r="AA196" s="1157">
        <v>-0.1</v>
      </c>
      <c r="AB196" s="1157">
        <v>-0.9</v>
      </c>
      <c r="AC196" s="1157">
        <v>-1.7</v>
      </c>
      <c r="AD196" s="214"/>
    </row>
    <row r="197" spans="1:30" ht="14.4">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7">
        <v>0.2</v>
      </c>
      <c r="P197" s="1157">
        <v>-0.8</v>
      </c>
      <c r="Q197" s="1157">
        <v>-2</v>
      </c>
      <c r="R197" s="1157">
        <v>-1.4</v>
      </c>
      <c r="S197" s="1157">
        <v>-1.7</v>
      </c>
      <c r="T197" s="1157">
        <v>0.2</v>
      </c>
      <c r="U197" s="859"/>
      <c r="V197" s="649">
        <v>0.12</v>
      </c>
      <c r="W197" s="1157">
        <v>-3</v>
      </c>
      <c r="X197" s="1157">
        <v>-0.8</v>
      </c>
      <c r="Y197" s="1157">
        <v>-2.0099999999999998</v>
      </c>
      <c r="Z197" s="1157">
        <v>1.1000000000000001</v>
      </c>
      <c r="AA197" s="1157">
        <v>0.3</v>
      </c>
      <c r="AB197" s="1157">
        <v>-2.4</v>
      </c>
      <c r="AC197" s="1157">
        <v>1.5</v>
      </c>
      <c r="AD197" s="214"/>
    </row>
    <row r="198" spans="1:30" ht="14.4">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7">
        <v>-1</v>
      </c>
      <c r="P198" s="1157">
        <v>-0.7</v>
      </c>
      <c r="Q198" s="1157">
        <v>-2.2000000000000002</v>
      </c>
      <c r="R198" s="1157">
        <v>-2.7</v>
      </c>
      <c r="S198" s="1157">
        <v>-2.2999999999999998</v>
      </c>
      <c r="T198" s="1157">
        <v>-1.3</v>
      </c>
      <c r="U198" s="859"/>
      <c r="V198" s="651">
        <v>-0.08</v>
      </c>
      <c r="W198" s="1157">
        <v>1.9</v>
      </c>
      <c r="X198" s="1157">
        <v>-0.3</v>
      </c>
      <c r="Y198" s="1157">
        <v>-2.86</v>
      </c>
      <c r="Z198" s="1157">
        <v>-1.3</v>
      </c>
      <c r="AA198" s="1157">
        <v>0.3</v>
      </c>
      <c r="AB198" s="1157">
        <v>-2.1</v>
      </c>
      <c r="AC198" s="1157">
        <v>0.4</v>
      </c>
      <c r="AD198" s="214"/>
    </row>
    <row r="199" spans="1:30" ht="14.4">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60">
        <v>-3.4</v>
      </c>
      <c r="P199" s="1160">
        <v>-0.3</v>
      </c>
      <c r="Q199" s="1160">
        <v>-1.2</v>
      </c>
      <c r="R199" s="1160">
        <v>-1.6</v>
      </c>
      <c r="S199" s="1160">
        <v>-2.7</v>
      </c>
      <c r="T199" s="1160">
        <v>-1.1000000000000001</v>
      </c>
      <c r="U199" s="858"/>
      <c r="V199" s="424">
        <v>-0.21</v>
      </c>
      <c r="W199" s="1160">
        <v>-2.5</v>
      </c>
      <c r="X199" s="1160">
        <v>-0.4</v>
      </c>
      <c r="Y199" s="1160">
        <v>0.82</v>
      </c>
      <c r="Z199" s="1160">
        <v>0.5</v>
      </c>
      <c r="AA199" s="1160">
        <v>1.1000000000000001</v>
      </c>
      <c r="AB199" s="1160">
        <v>-0.7</v>
      </c>
      <c r="AC199" s="1160">
        <v>-2</v>
      </c>
      <c r="AD199" s="214"/>
    </row>
    <row r="200" spans="1:30" ht="14.4">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4">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4">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4">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4">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4">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61">
        <v>1.4</v>
      </c>
      <c r="P205" s="1161">
        <v>0</v>
      </c>
      <c r="Q205" s="1161">
        <v>0</v>
      </c>
      <c r="R205" s="1161">
        <v>-0.3</v>
      </c>
      <c r="S205" s="1161">
        <v>0.2</v>
      </c>
      <c r="T205" s="1161">
        <v>0.4</v>
      </c>
      <c r="U205" s="844"/>
      <c r="V205" s="863">
        <v>-0.24</v>
      </c>
      <c r="W205" s="1161">
        <v>-0.5</v>
      </c>
      <c r="X205" s="1161">
        <v>-0.3</v>
      </c>
      <c r="Y205" s="1161">
        <v>-1.59</v>
      </c>
      <c r="Z205" s="1161">
        <v>-0.1</v>
      </c>
      <c r="AA205" s="1161">
        <v>-0.9</v>
      </c>
      <c r="AB205" s="1161">
        <v>-0.9</v>
      </c>
      <c r="AC205" s="1161">
        <v>0.2</v>
      </c>
      <c r="AD205" s="214"/>
    </row>
    <row r="206" spans="1:30" ht="14.4">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61">
        <v>1.9</v>
      </c>
      <c r="P206" s="1161">
        <v>0.2</v>
      </c>
      <c r="Q206" s="1161">
        <v>0.3</v>
      </c>
      <c r="R206" s="1161">
        <v>0.3</v>
      </c>
      <c r="S206" s="1161">
        <v>-0.1</v>
      </c>
      <c r="T206" s="1161">
        <v>-0.3</v>
      </c>
      <c r="U206" s="844"/>
      <c r="V206" s="863">
        <v>-0.24</v>
      </c>
      <c r="W206" s="1161">
        <v>1.2</v>
      </c>
      <c r="X206" s="1161">
        <v>0.3</v>
      </c>
      <c r="Y206" s="1161">
        <v>0.68</v>
      </c>
      <c r="Z206" s="1161">
        <v>-0.2</v>
      </c>
      <c r="AA206" s="1161">
        <v>0</v>
      </c>
      <c r="AB206" s="1161">
        <v>0.2</v>
      </c>
      <c r="AC206" s="1161">
        <v>-0.2</v>
      </c>
      <c r="AD206" s="214"/>
    </row>
    <row r="207" spans="1:30" ht="14.4">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61">
        <v>0</v>
      </c>
      <c r="P207" s="1161">
        <v>-0.2</v>
      </c>
      <c r="Q207" s="1161">
        <v>0.8</v>
      </c>
      <c r="R207" s="1161">
        <v>0.9</v>
      </c>
      <c r="S207" s="1161">
        <v>0.4</v>
      </c>
      <c r="T207" s="1161">
        <v>-0.3</v>
      </c>
      <c r="U207" s="844"/>
      <c r="V207" s="863">
        <v>-0.21</v>
      </c>
      <c r="W207" s="1161">
        <v>-0.2</v>
      </c>
      <c r="X207" s="1161">
        <v>0.1</v>
      </c>
      <c r="Y207" s="1161">
        <v>0.26</v>
      </c>
      <c r="Z207" s="1161">
        <v>0.5</v>
      </c>
      <c r="AA207" s="1161">
        <v>-0.2</v>
      </c>
      <c r="AB207" s="1161">
        <v>-0.1</v>
      </c>
      <c r="AC207" s="1161">
        <v>-0.4</v>
      </c>
      <c r="AD207" s="214"/>
    </row>
    <row r="208" spans="1:30" ht="14.4">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62">
        <v>0.8</v>
      </c>
      <c r="P208" s="1162">
        <v>0.6</v>
      </c>
      <c r="Q208" s="1162">
        <v>0.8</v>
      </c>
      <c r="R208" s="1162">
        <v>0.4</v>
      </c>
      <c r="S208" s="1162">
        <v>0.8</v>
      </c>
      <c r="T208" s="1162">
        <v>-0.4</v>
      </c>
      <c r="U208" s="844"/>
      <c r="V208" s="863">
        <v>-0.15</v>
      </c>
      <c r="W208" s="1162">
        <v>0.3</v>
      </c>
      <c r="X208" s="1162">
        <v>0.7</v>
      </c>
      <c r="Y208" s="1162">
        <v>1.22</v>
      </c>
      <c r="Z208" s="1162">
        <v>-0.2</v>
      </c>
      <c r="AA208" s="1162">
        <v>1.6</v>
      </c>
      <c r="AB208" s="1162">
        <v>-0.1</v>
      </c>
      <c r="AC208" s="1162">
        <v>0.5</v>
      </c>
      <c r="AD208" s="214"/>
    </row>
    <row r="209" spans="1:30" ht="14.4">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62">
        <v>-0.6</v>
      </c>
      <c r="P209" s="1162">
        <v>-0.1</v>
      </c>
      <c r="Q209" s="1162">
        <v>0.3</v>
      </c>
      <c r="R209" s="1162">
        <v>0.5</v>
      </c>
      <c r="S209" s="1162">
        <v>0.1</v>
      </c>
      <c r="T209" s="1162">
        <v>0.6</v>
      </c>
      <c r="U209" s="844"/>
      <c r="V209" s="863">
        <v>-0.13</v>
      </c>
      <c r="W209" s="1162">
        <v>0.9</v>
      </c>
      <c r="X209" s="1162">
        <v>-0.2</v>
      </c>
      <c r="Y209" s="1162">
        <v>-0.19</v>
      </c>
      <c r="Z209" s="1162">
        <v>-0.5</v>
      </c>
      <c r="AA209" s="1162">
        <v>-1.7</v>
      </c>
      <c r="AB209" s="1162">
        <v>1</v>
      </c>
      <c r="AC209" s="1162">
        <v>0.3</v>
      </c>
      <c r="AD209" s="214"/>
    </row>
    <row r="210" spans="1:30" ht="14.4">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4">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4">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4">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4">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4">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4">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4">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4">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4">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4">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4">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-3.363</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-0.11700000000000001</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-2.1989999999999998</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41">
        <v>-0.6</v>
      </c>
      <c r="T287" s="889">
        <v>-0.2</v>
      </c>
      <c r="U287" s="426"/>
      <c r="V287" s="843">
        <v>0.27</v>
      </c>
      <c r="W287" s="1141">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-1.304</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2.2690000000000001</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-1.2549999999999999</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820</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2.097</v>
      </c>
      <c r="N393" s="889">
        <v>0.4</v>
      </c>
      <c r="O393" s="889">
        <v>0.3</v>
      </c>
      <c r="P393" s="889">
        <v>3.1</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v>0.56000000000000005</v>
      </c>
      <c r="E397" s="891">
        <v>-0.3</v>
      </c>
      <c r="F397" s="891">
        <v>-2.9</v>
      </c>
      <c r="G397" s="891">
        <v>-2.5</v>
      </c>
      <c r="H397" s="891">
        <v>-0.7</v>
      </c>
      <c r="I397" s="891">
        <v>-1.3</v>
      </c>
      <c r="J397" s="891">
        <v>1</v>
      </c>
      <c r="K397" s="891">
        <v>-0.8</v>
      </c>
      <c r="L397" s="426"/>
      <c r="M397" s="889">
        <v>-2.7320000000000002</v>
      </c>
      <c r="N397" s="889">
        <v>-0.9</v>
      </c>
      <c r="O397" s="889">
        <v>-1.3</v>
      </c>
      <c r="P397" s="889">
        <v>-2.9</v>
      </c>
      <c r="Q397" s="889">
        <v>-1.2</v>
      </c>
      <c r="R397" s="889">
        <v>0.6</v>
      </c>
      <c r="S397" s="889">
        <v>-0.1</v>
      </c>
      <c r="T397" s="889">
        <v>0.6</v>
      </c>
      <c r="U397" s="426"/>
      <c r="V397" s="843">
        <v>0.51</v>
      </c>
      <c r="W397" s="889">
        <v>0.4</v>
      </c>
      <c r="X397" s="889">
        <v>-2.4</v>
      </c>
      <c r="Y397" s="889">
        <v>1.3</v>
      </c>
      <c r="Z397" s="889">
        <v>0.9</v>
      </c>
      <c r="AA397" s="889">
        <v>3.1</v>
      </c>
      <c r="AB397" s="889">
        <v>-0.6</v>
      </c>
      <c r="AC397" s="889">
        <v>-1.9</v>
      </c>
      <c r="AD397" s="214"/>
    </row>
    <row r="398" spans="1:30" ht="15" customHeight="1">
      <c r="A398" s="762"/>
      <c r="B398" s="763"/>
      <c r="C398" s="764">
        <v>8</v>
      </c>
      <c r="D398" s="840">
        <v>0.5</v>
      </c>
      <c r="E398" s="891">
        <v>-1</v>
      </c>
      <c r="F398" s="891">
        <v>-1.4</v>
      </c>
      <c r="G398" s="891">
        <v>0.4</v>
      </c>
      <c r="H398" s="891">
        <v>-1.6</v>
      </c>
      <c r="I398" s="891">
        <v>0</v>
      </c>
      <c r="J398" s="891">
        <v>1.4</v>
      </c>
      <c r="K398" s="891">
        <v>-0.7</v>
      </c>
      <c r="L398" s="426"/>
      <c r="M398" s="889">
        <v>-3.2149999999999999</v>
      </c>
      <c r="N398" s="889">
        <v>-1.3</v>
      </c>
      <c r="O398" s="889">
        <v>0.7</v>
      </c>
      <c r="P398" s="889">
        <v>2.2000000000000002</v>
      </c>
      <c r="Q398" s="889">
        <v>0.2</v>
      </c>
      <c r="R398" s="889">
        <v>-0.3</v>
      </c>
      <c r="S398" s="889">
        <v>0.5</v>
      </c>
      <c r="T398" s="889">
        <v>-0.9</v>
      </c>
      <c r="U398" s="426"/>
      <c r="V398" s="843">
        <v>0.44</v>
      </c>
      <c r="W398" s="889">
        <v>-1.7</v>
      </c>
      <c r="X398" s="889">
        <v>1.3</v>
      </c>
      <c r="Y398" s="889">
        <v>-2.0699999999999998</v>
      </c>
      <c r="Z398" s="889">
        <v>-1.2</v>
      </c>
      <c r="AA398" s="889">
        <v>-3.7</v>
      </c>
      <c r="AB398" s="889">
        <v>-1</v>
      </c>
      <c r="AC398" s="889">
        <v>1.6</v>
      </c>
      <c r="AD398" s="214"/>
    </row>
    <row r="399" spans="1:30" ht="15" customHeight="1">
      <c r="A399" s="762"/>
      <c r="B399" s="763"/>
      <c r="C399" s="764">
        <v>9</v>
      </c>
      <c r="D399" s="840">
        <v>0.55000000000000004</v>
      </c>
      <c r="E399" s="891">
        <v>1.5</v>
      </c>
      <c r="F399" s="891">
        <v>0.8</v>
      </c>
      <c r="G399" s="891">
        <v>-0.4</v>
      </c>
      <c r="H399" s="891">
        <v>1.9</v>
      </c>
      <c r="I399" s="891">
        <v>1.6</v>
      </c>
      <c r="J399" s="891">
        <v>-0.9</v>
      </c>
      <c r="K399" s="891">
        <v>-0.7</v>
      </c>
      <c r="L399" s="426"/>
      <c r="M399" s="889">
        <v>-0.69099999999999995</v>
      </c>
      <c r="N399" s="889">
        <v>-1.1000000000000001</v>
      </c>
      <c r="O399" s="889">
        <v>-1</v>
      </c>
      <c r="P399" s="889">
        <v>-0.8</v>
      </c>
      <c r="Q399" s="889">
        <v>1.3</v>
      </c>
      <c r="R399" s="889">
        <v>1.9</v>
      </c>
      <c r="S399" s="889">
        <v>0.6</v>
      </c>
      <c r="T399" s="889">
        <v>0.6</v>
      </c>
      <c r="U399" s="426"/>
      <c r="V399" s="843">
        <v>0.49</v>
      </c>
      <c r="W399" s="889">
        <v>-0.9</v>
      </c>
      <c r="X399" s="889">
        <v>-0.9</v>
      </c>
      <c r="Y399" s="889">
        <v>-0.05</v>
      </c>
      <c r="Z399" s="889">
        <v>-0.5</v>
      </c>
      <c r="AA399" s="889">
        <v>2.2000000000000002</v>
      </c>
      <c r="AB399" s="889">
        <v>1.9</v>
      </c>
      <c r="AC399" s="889">
        <v>-0.9</v>
      </c>
      <c r="AD399" s="214"/>
    </row>
    <row r="400" spans="1:30" ht="15" customHeight="1">
      <c r="A400" s="762"/>
      <c r="B400" s="763"/>
      <c r="C400" s="764">
        <v>10</v>
      </c>
      <c r="D400" s="840"/>
      <c r="E400" s="891"/>
      <c r="F400" s="891"/>
      <c r="G400" s="891"/>
      <c r="H400" s="891"/>
      <c r="I400" s="891"/>
      <c r="J400" s="891"/>
      <c r="K400" s="891"/>
      <c r="L400" s="426"/>
      <c r="M400" s="889"/>
      <c r="N400" s="889"/>
      <c r="O400" s="889"/>
      <c r="P400" s="889"/>
      <c r="Q400" s="889"/>
      <c r="R400" s="889"/>
      <c r="S400" s="889"/>
      <c r="T400" s="889"/>
      <c r="U400" s="426"/>
      <c r="V400" s="843"/>
      <c r="W400" s="889"/>
      <c r="X400" s="889"/>
      <c r="Y400" s="889"/>
      <c r="Z400" s="889"/>
      <c r="AA400" s="889"/>
      <c r="AB400" s="889"/>
      <c r="AC400" s="889"/>
      <c r="AD400" s="214"/>
    </row>
    <row r="401" spans="1:31" ht="15" customHeight="1">
      <c r="A401" s="762"/>
      <c r="B401" s="763"/>
      <c r="C401" s="764">
        <v>11</v>
      </c>
      <c r="D401" s="840"/>
      <c r="E401" s="891"/>
      <c r="F401" s="891"/>
      <c r="G401" s="891"/>
      <c r="H401" s="891"/>
      <c r="I401" s="891"/>
      <c r="J401" s="891"/>
      <c r="K401" s="891"/>
      <c r="L401" s="426"/>
      <c r="M401" s="889"/>
      <c r="N401" s="889"/>
      <c r="O401" s="889"/>
      <c r="P401" s="889"/>
      <c r="Q401" s="889"/>
      <c r="R401" s="889"/>
      <c r="S401" s="889"/>
      <c r="T401" s="889"/>
      <c r="U401" s="426"/>
      <c r="V401" s="843"/>
      <c r="W401" s="889"/>
      <c r="X401" s="889"/>
      <c r="Y401" s="889"/>
      <c r="Z401" s="889"/>
      <c r="AA401" s="889"/>
      <c r="AB401" s="889"/>
      <c r="AC401" s="889"/>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739</v>
      </c>
      <c r="W403" s="214"/>
      <c r="X403" s="214"/>
      <c r="Y403" s="214"/>
      <c r="Z403" s="426"/>
      <c r="AA403" s="426"/>
      <c r="AB403" s="426"/>
      <c r="AC403" s="426"/>
      <c r="AD403" s="214"/>
    </row>
    <row r="404" spans="1:31" ht="14.4">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41" t="s">
        <v>312</v>
      </c>
      <c r="B406" s="1742"/>
      <c r="C406" s="1742"/>
      <c r="D406" s="756">
        <f ca="1">INDIRECT("R"&amp;(初期登録!$B$10+30)*12+初期登録!$D$10+5-64&amp;"C"&amp;COLUMN(),FALSE)</f>
        <v>0.37</v>
      </c>
      <c r="E406" s="205">
        <f ca="1">INDIRECT("R"&amp;(初期登録!$B$10+30)*12+初期登録!$D$10+5-64&amp;"C"&amp;COLUMN(),FALSE)</f>
        <v>1.6</v>
      </c>
      <c r="F406" s="204">
        <f ca="1">INDIRECT("R"&amp;(初期登録!$B$10+30)*12+初期登録!$D$10+5-64&amp;"C"&amp;COLUMN(),FALSE)</f>
        <v>1.8</v>
      </c>
      <c r="G406" s="204">
        <f ca="1">INDIRECT("R"&amp;(初期登録!$B$10+30)*12+初期登録!$D$10+5-64&amp;"C"&amp;COLUMN(),FALSE)</f>
        <v>-1.8</v>
      </c>
      <c r="H406" s="204">
        <f ca="1">INDIRECT("R"&amp;(初期登録!$B$10+30)*12+初期登録!$D$10+5-64&amp;"C"&amp;COLUMN(),FALSE)</f>
        <v>3.6</v>
      </c>
      <c r="I406" s="204">
        <f ca="1">INDIRECT("R"&amp;(初期登録!$B$10+30)*12+初期登録!$D$10+5-64&amp;"C"&amp;COLUMN(),FALSE)</f>
        <v>-1.1000000000000001</v>
      </c>
      <c r="J406" s="204">
        <f ca="1">INDIRECT("R"&amp;(初期登録!$B$10+30)*12+初期登録!$D$10+5-64&amp;"C"&amp;COLUMN(),FALSE)</f>
        <v>0.5</v>
      </c>
      <c r="K406" s="204">
        <f ca="1">INDIRECT("R"&amp;(初期登録!$B$10+30)*12+初期登録!$D$10+5-64&amp;"C"&amp;COLUMN(),FALSE)</f>
        <v>0</v>
      </c>
      <c r="L406" s="862"/>
      <c r="M406" s="204">
        <f ca="1">INDIRECT("R"&amp;(初期登録!$B$10+30)*12+初期登録!$D$10+5-64&amp;"C"&amp;COLUMN(),FALSE)</f>
        <v>-1.4550000000000001</v>
      </c>
      <c r="N406" s="204">
        <f ca="1">INDIRECT("R"&amp;(初期登録!$B$10+30)*12+初期登録!$D$10+5-64&amp;"C"&amp;COLUMN(),FALSE)</f>
        <v>-0.5</v>
      </c>
      <c r="O406" s="204">
        <f ca="1">INDIRECT("R"&amp;(初期登録!$B$10+30)*12+初期登録!$D$10+5-64&amp;"C"&amp;COLUMN(),FALSE)</f>
        <v>0</v>
      </c>
      <c r="P406" s="204">
        <f ca="1">INDIRECT("R"&amp;(初期登録!$B$10+30)*12+初期登録!$D$10+5-64&amp;"C"&amp;COLUMN(),FALSE)</f>
        <v>-4.3</v>
      </c>
      <c r="Q406" s="204">
        <f ca="1">INDIRECT("R"&amp;(初期登録!$B$10+30)*12+初期登録!$D$10+5-64&amp;"C"&amp;COLUMN(),FALSE)</f>
        <v>-3.2</v>
      </c>
      <c r="R406" s="204">
        <f ca="1">INDIRECT("R"&amp;(初期登録!$B$10+30)*12+初期登録!$D$10+5-64&amp;"C"&amp;COLUMN(),FALSE)</f>
        <v>-0.5</v>
      </c>
      <c r="S406" s="204">
        <f ca="1">INDIRECT("R"&amp;(初期登録!$B$10+30)*12+初期登録!$D$10+5-64&amp;"C"&amp;COLUMN(),FALSE)</f>
        <v>-3.2</v>
      </c>
      <c r="T406" s="204">
        <f ca="1">INDIRECT("R"&amp;(初期登録!$B$10+30)*12+初期登録!$D$10+5-64&amp;"C"&amp;COLUMN(),FALSE)</f>
        <v>-1.7</v>
      </c>
      <c r="U406" s="862"/>
      <c r="V406" s="757">
        <f ca="1">INDIRECT("R"&amp;(初期登録!$B$10+30)*12+初期登録!$D$10+5-64&amp;"C"&amp;COLUMN(),FALSE)</f>
        <v>0.37</v>
      </c>
      <c r="W406" s="205">
        <f ca="1">INDIRECT("R"&amp;(初期登録!$B$10+30)*12+初期登録!$D$10+5-64&amp;"C"&amp;COLUMN(),FALSE)</f>
        <v>0.1</v>
      </c>
      <c r="X406" s="204">
        <f ca="1">INDIRECT("R"&amp;(初期登録!$B$10+30)*12+初期登録!$D$10+5-64&amp;"C"&amp;COLUMN(),FALSE)</f>
        <v>-2.9</v>
      </c>
      <c r="Y406" s="204">
        <f ca="1">INDIRECT("R"&amp;(初期登録!$B$10+30)*12+初期登録!$D$10+5-64&amp;"C"&amp;COLUMN(),FALSE)</f>
        <v>-0.01</v>
      </c>
      <c r="Z406" s="204">
        <f ca="1">INDIRECT("R"&amp;(初期登録!$B$10+30)*12+初期登録!$D$10+5-64&amp;"C"&amp;COLUMN(),FALSE)</f>
        <v>-0.3</v>
      </c>
      <c r="AA406" s="204">
        <f ca="1">INDIRECT("R"&amp;(初期登録!$B$10+30)*12+初期登録!$D$10+5-64&amp;"C"&amp;COLUMN(),FALSE)</f>
        <v>-0.1</v>
      </c>
      <c r="AB406" s="204">
        <f ca="1">INDIRECT("R"&amp;(初期登録!$B$10+30)*12+初期登録!$D$10+5-64&amp;"C"&amp;COLUMN(),FALSE)</f>
        <v>-0.8</v>
      </c>
      <c r="AC406" s="204">
        <f ca="1">INDIRECT("R"&amp;(初期登録!$B$10+30)*12+初期登録!$D$10+5-64&amp;"C"&amp;COLUMN(),FALSE)</f>
        <v>1.4</v>
      </c>
      <c r="AD406" s="214"/>
      <c r="AE406">
        <v>-59</v>
      </c>
    </row>
    <row r="407" spans="1:31" ht="15" thickBot="1">
      <c r="A407" s="1741" t="s">
        <v>311</v>
      </c>
      <c r="B407" s="1742"/>
      <c r="C407" s="1742"/>
      <c r="D407" s="756">
        <f ca="1">INDIRECT("R"&amp;(初期登録!$B$10+30)*12+初期登録!$D$10+5-63&amp;"C"&amp;COLUMN(),FALSE)</f>
        <v>0.69</v>
      </c>
      <c r="E407" s="205">
        <f ca="1">INDIRECT("R"&amp;(初期登録!$B$10+30)*12+初期登録!$D$10+5-63&amp;"C"&amp;COLUMN(),FALSE)</f>
        <v>-0.3</v>
      </c>
      <c r="F407" s="204">
        <f ca="1">INDIRECT("R"&amp;(初期登録!$B$10+30)*12+初期登録!$D$10+5-63&amp;"C"&amp;COLUMN(),FALSE)</f>
        <v>1.5</v>
      </c>
      <c r="G407" s="204">
        <f ca="1">INDIRECT("R"&amp;(初期登録!$B$10+30)*12+初期登録!$D$10+5-63&amp;"C"&amp;COLUMN(),FALSE)</f>
        <v>-0.9</v>
      </c>
      <c r="H407" s="204">
        <f ca="1">INDIRECT("R"&amp;(初期登録!$B$10+30)*12+初期登録!$D$10+5-63&amp;"C"&amp;COLUMN(),FALSE)</f>
        <v>-2.2999999999999998</v>
      </c>
      <c r="I407" s="204">
        <f ca="1">INDIRECT("R"&amp;(初期登録!$B$10+30)*12+初期登録!$D$10+5-63&amp;"C"&amp;COLUMN(),FALSE)</f>
        <v>-5.4</v>
      </c>
      <c r="J407" s="204">
        <f ca="1">INDIRECT("R"&amp;(初期登録!$B$10+30)*12+初期登録!$D$10+5-63&amp;"C"&amp;COLUMN(),FALSE)</f>
        <v>-2.2999999999999998</v>
      </c>
      <c r="K407" s="204">
        <f ca="1">INDIRECT("R"&amp;(初期登録!$B$10+30)*12+初期登録!$D$10+5-63&amp;"C"&amp;COLUMN(),FALSE)</f>
        <v>-0.1</v>
      </c>
      <c r="M407" s="204">
        <f ca="1">INDIRECT("R"&amp;(初期登録!$B$10+30)*12+初期登録!$D$10+5-63&amp;"C"&amp;COLUMN(),FALSE)</f>
        <v>-0.186</v>
      </c>
      <c r="N407" s="204">
        <f ca="1">INDIRECT("R"&amp;(初期登録!$B$10+30)*12+初期登録!$D$10+5-63&amp;"C"&amp;COLUMN(),FALSE)</f>
        <v>-0.2</v>
      </c>
      <c r="O407" s="204">
        <f ca="1">INDIRECT("R"&amp;(初期登録!$B$10+30)*12+初期登録!$D$10+5-63&amp;"C"&amp;COLUMN(),FALSE)</f>
        <v>0.5</v>
      </c>
      <c r="P407" s="204">
        <f ca="1">INDIRECT("R"&amp;(初期登録!$B$10+30)*12+初期登録!$D$10+5-63&amp;"C"&amp;COLUMN(),FALSE)</f>
        <v>0.9</v>
      </c>
      <c r="Q407" s="204">
        <f ca="1">INDIRECT("R"&amp;(初期登録!$B$10+30)*12+初期登録!$D$10+5-63&amp;"C"&amp;COLUMN(),FALSE)</f>
        <v>0.2</v>
      </c>
      <c r="R407" s="204">
        <f ca="1">INDIRECT("R"&amp;(初期登録!$B$10+30)*12+初期登録!$D$10+5-63&amp;"C"&amp;COLUMN(),FALSE)</f>
        <v>0.4</v>
      </c>
      <c r="S407" s="204">
        <f ca="1">INDIRECT("R"&amp;(初期登録!$B$10+30)*12+初期登録!$D$10+5-63&amp;"C"&amp;COLUMN(),FALSE)</f>
        <v>0.2</v>
      </c>
      <c r="T407" s="204">
        <f ca="1">INDIRECT("R"&amp;(初期登録!$B$10+30)*12+初期登録!$D$10+5-63&amp;"C"&amp;COLUMN(),FALSE)</f>
        <v>0.5</v>
      </c>
      <c r="V407" s="757">
        <f ca="1">INDIRECT("R"&amp;(初期登録!$B$10+30)*12+初期登録!$D$10+5-63&amp;"C"&amp;COLUMN(),FALSE)</f>
        <v>0.66</v>
      </c>
      <c r="W407" s="205">
        <f ca="1">INDIRECT("R"&amp;(初期登録!$B$10+30)*12+初期登録!$D$10+5-63&amp;"C"&amp;COLUMN(),FALSE)</f>
        <v>-0.5</v>
      </c>
      <c r="X407" s="204">
        <f ca="1">INDIRECT("R"&amp;(初期登録!$B$10+30)*12+初期登録!$D$10+5-63&amp;"C"&amp;COLUMN(),FALSE)</f>
        <v>0.7</v>
      </c>
      <c r="Y407" s="204">
        <f ca="1">INDIRECT("R"&amp;(初期登録!$B$10+30)*12+初期登録!$D$10+5-63&amp;"C"&amp;COLUMN(),FALSE)</f>
        <v>-0.04</v>
      </c>
      <c r="Z407" s="204">
        <f ca="1">INDIRECT("R"&amp;(初期登録!$B$10+30)*12+初期登録!$D$10+5-63&amp;"C"&amp;COLUMN(),FALSE)</f>
        <v>-0.7</v>
      </c>
      <c r="AA407" s="204">
        <f ca="1">INDIRECT("R"&amp;(初期登録!$B$10+30)*12+初期登録!$D$10+5-63&amp;"C"&amp;COLUMN(),FALSE)</f>
        <v>-1.1000000000000001</v>
      </c>
      <c r="AB407" s="204">
        <f ca="1">INDIRECT("R"&amp;(初期登録!$B$10+30)*12+初期登録!$D$10+5-63&amp;"C"&amp;COLUMN(),FALSE)</f>
        <v>-0.3</v>
      </c>
      <c r="AC407" s="204">
        <f ca="1">INDIRECT("R"&amp;(初期登録!$B$10+30)*12+初期登録!$D$10+5-63&amp;"C"&amp;COLUMN(),FALSE)</f>
        <v>0.1</v>
      </c>
      <c r="AD407" s="214"/>
      <c r="AE407">
        <v>-58</v>
      </c>
    </row>
    <row r="408" spans="1:31" ht="15" thickBot="1">
      <c r="A408" s="1741" t="s">
        <v>310</v>
      </c>
      <c r="B408" s="1742"/>
      <c r="C408" s="1742"/>
      <c r="D408" s="756">
        <f ca="1">INDIRECT("R"&amp;(初期登録!$B$10+30)*12+初期登録!$D$10+5-62&amp;"C"&amp;COLUMN(),FALSE)</f>
        <v>0.71</v>
      </c>
      <c r="E408" s="205">
        <f ca="1">INDIRECT("R"&amp;(初期登録!$B$10+30)*12+初期登録!$D$10+5-62&amp;"C"&amp;COLUMN(),FALSE)</f>
        <v>-1.8</v>
      </c>
      <c r="F408" s="204">
        <f ca="1">INDIRECT("R"&amp;(初期登録!$B$10+30)*12+初期登録!$D$10+5-62&amp;"C"&amp;COLUMN(),FALSE)</f>
        <v>5.7</v>
      </c>
      <c r="G408" s="204">
        <f ca="1">INDIRECT("R"&amp;(初期登録!$B$10+30)*12+初期登録!$D$10+5-62&amp;"C"&amp;COLUMN(),FALSE)</f>
        <v>5.2</v>
      </c>
      <c r="H408" s="204">
        <f ca="1">INDIRECT("R"&amp;(初期登録!$B$10+30)*12+初期登録!$D$10+5-62&amp;"C"&amp;COLUMN(),FALSE)</f>
        <v>0.1</v>
      </c>
      <c r="I408" s="204">
        <f ca="1">INDIRECT("R"&amp;(初期登録!$B$10+30)*12+初期登録!$D$10+5-62&amp;"C"&amp;COLUMN(),FALSE)</f>
        <v>3.3</v>
      </c>
      <c r="J408" s="204">
        <f ca="1">INDIRECT("R"&amp;(初期登録!$B$10+30)*12+初期登録!$D$10+5-62&amp;"C"&amp;COLUMN(),FALSE)</f>
        <v>1.5</v>
      </c>
      <c r="K408" s="204">
        <f ca="1">INDIRECT("R"&amp;(初期登録!$B$10+30)*12+初期登録!$D$10+5-62&amp;"C"&amp;COLUMN(),FALSE)</f>
        <v>-0.2</v>
      </c>
      <c r="M408" s="204">
        <f ca="1">INDIRECT("R"&amp;(初期登録!$B$10+30)*12+初期登録!$D$10+5-62&amp;"C"&amp;COLUMN(),FALSE)</f>
        <v>-0.187</v>
      </c>
      <c r="N408" s="204">
        <f ca="1">INDIRECT("R"&amp;(初期登録!$B$10+30)*12+初期登録!$D$10+5-62&amp;"C"&amp;COLUMN(),FALSE)</f>
        <v>-1.9</v>
      </c>
      <c r="O408" s="204">
        <f ca="1">INDIRECT("R"&amp;(初期登録!$B$10+30)*12+初期登録!$D$10+5-62&amp;"C"&amp;COLUMN(),FALSE)</f>
        <v>-0.8</v>
      </c>
      <c r="P408" s="204">
        <f ca="1">INDIRECT("R"&amp;(初期登録!$B$10+30)*12+初期登録!$D$10+5-62&amp;"C"&amp;COLUMN(),FALSE)</f>
        <v>2.2000000000000002</v>
      </c>
      <c r="Q408" s="204">
        <f ca="1">INDIRECT("R"&amp;(初期登録!$B$10+30)*12+初期登録!$D$10+5-62&amp;"C"&amp;COLUMN(),FALSE)</f>
        <v>1.1000000000000001</v>
      </c>
      <c r="R408" s="204">
        <f ca="1">INDIRECT("R"&amp;(初期登録!$B$10+30)*12+初期登録!$D$10+5-62&amp;"C"&amp;COLUMN(),FALSE)</f>
        <v>-0.4</v>
      </c>
      <c r="S408" s="204">
        <f ca="1">INDIRECT("R"&amp;(初期登録!$B$10+30)*12+初期登録!$D$10+5-62&amp;"C"&amp;COLUMN(),FALSE)</f>
        <v>0.5</v>
      </c>
      <c r="T408" s="204">
        <f ca="1">INDIRECT("R"&amp;(初期登録!$B$10+30)*12+初期登録!$D$10+5-62&amp;"C"&amp;COLUMN(),FALSE)</f>
        <v>-0.3</v>
      </c>
      <c r="V408" s="757">
        <f ca="1">INDIRECT("R"&amp;(初期登録!$B$10+30)*12+初期登録!$D$10+5-62&amp;"C"&amp;COLUMN(),FALSE)</f>
        <v>0.68</v>
      </c>
      <c r="W408" s="205">
        <f ca="1">INDIRECT("R"&amp;(初期登録!$B$10+30)*12+初期登録!$D$10+5-62&amp;"C"&amp;COLUMN(),FALSE)</f>
        <v>-0.8</v>
      </c>
      <c r="X408" s="204">
        <f ca="1">INDIRECT("R"&amp;(初期登録!$B$10+30)*12+初期登録!$D$10+5-62&amp;"C"&amp;COLUMN(),FALSE)</f>
        <v>1.4</v>
      </c>
      <c r="Y408" s="204">
        <f ca="1">INDIRECT("R"&amp;(初期登録!$B$10+30)*12+初期登録!$D$10+5-62&amp;"C"&amp;COLUMN(),FALSE)</f>
        <v>-0.04</v>
      </c>
      <c r="Z408" s="204">
        <f ca="1">INDIRECT("R"&amp;(初期登録!$B$10+30)*12+初期登録!$D$10+5-62&amp;"C"&amp;COLUMN(),FALSE)</f>
        <v>0.6</v>
      </c>
      <c r="AA408" s="204">
        <f ca="1">INDIRECT("R"&amp;(初期登録!$B$10+30)*12+初期登録!$D$10+5-62&amp;"C"&amp;COLUMN(),FALSE)</f>
        <v>-0.5</v>
      </c>
      <c r="AB408" s="204">
        <f ca="1">INDIRECT("R"&amp;(初期登録!$B$10+30)*12+初期登録!$D$10+5-62&amp;"C"&amp;COLUMN(),FALSE)</f>
        <v>-0.1</v>
      </c>
      <c r="AC408" s="204">
        <f ca="1">INDIRECT("R"&amp;(初期登録!$B$10+30)*12+初期登録!$D$10+5-62&amp;"C"&amp;COLUMN(),FALSE)</f>
        <v>-1.2</v>
      </c>
      <c r="AD408" s="214"/>
      <c r="AE408">
        <v>-57</v>
      </c>
    </row>
    <row r="409" spans="1:31" ht="15" thickBot="1">
      <c r="A409" s="1741" t="s">
        <v>309</v>
      </c>
      <c r="B409" s="1742"/>
      <c r="C409" s="1742"/>
      <c r="D409" s="756">
        <f ca="1">INDIRECT("R"&amp;(初期登録!$B$10+30)*12+初期登録!$D$10+5-61&amp;"C"&amp;COLUMN(),FALSE)</f>
        <v>0.56000000000000005</v>
      </c>
      <c r="E409" s="205">
        <f ca="1">INDIRECT("R"&amp;(初期登録!$B$10+30)*12+初期登録!$D$10+5-61&amp;"C"&amp;COLUMN(),FALSE)</f>
        <v>-0.3</v>
      </c>
      <c r="F409" s="204">
        <f ca="1">INDIRECT("R"&amp;(初期登録!$B$10+30)*12+初期登録!$D$10+5-61&amp;"C"&amp;COLUMN(),FALSE)</f>
        <v>-2.9</v>
      </c>
      <c r="G409" s="204">
        <f ca="1">INDIRECT("R"&amp;(初期登録!$B$10+30)*12+初期登録!$D$10+5-61&amp;"C"&amp;COLUMN(),FALSE)</f>
        <v>-2.5</v>
      </c>
      <c r="H409" s="204">
        <f ca="1">INDIRECT("R"&amp;(初期登録!$B$10+30)*12+初期登録!$D$10+5-61&amp;"C"&amp;COLUMN(),FALSE)</f>
        <v>-0.7</v>
      </c>
      <c r="I409" s="204">
        <f ca="1">INDIRECT("R"&amp;(初期登録!$B$10+30)*12+初期登録!$D$10+5-61&amp;"C"&amp;COLUMN(),FALSE)</f>
        <v>-1.3</v>
      </c>
      <c r="J409" s="204">
        <f ca="1">INDIRECT("R"&amp;(初期登録!$B$10+30)*12+初期登録!$D$10+5-61&amp;"C"&amp;COLUMN(),FALSE)</f>
        <v>1</v>
      </c>
      <c r="K409" s="204">
        <f ca="1">INDIRECT("R"&amp;(初期登録!$B$10+30)*12+初期登録!$D$10+5-61&amp;"C"&amp;COLUMN(),FALSE)</f>
        <v>-0.8</v>
      </c>
      <c r="M409" s="204">
        <f ca="1">INDIRECT("R"&amp;(初期登録!$B$10+30)*12+初期登録!$D$10+5-61&amp;"C"&amp;COLUMN(),FALSE)</f>
        <v>-2.7320000000000002</v>
      </c>
      <c r="N409" s="204">
        <f ca="1">INDIRECT("R"&amp;(初期登録!$B$10+30)*12+初期登録!$D$10+5-61&amp;"C"&amp;COLUMN(),FALSE)</f>
        <v>-0.9</v>
      </c>
      <c r="O409" s="204">
        <f ca="1">INDIRECT("R"&amp;(初期登録!$B$10+30)*12+初期登録!$D$10+5-61&amp;"C"&amp;COLUMN(),FALSE)</f>
        <v>-1.3</v>
      </c>
      <c r="P409" s="204">
        <f ca="1">INDIRECT("R"&amp;(初期登録!$B$10+30)*12+初期登録!$D$10+5-61&amp;"C"&amp;COLUMN(),FALSE)</f>
        <v>-2.9</v>
      </c>
      <c r="Q409" s="204">
        <f ca="1">INDIRECT("R"&amp;(初期登録!$B$10+30)*12+初期登録!$D$10+5-61&amp;"C"&amp;COLUMN(),FALSE)</f>
        <v>-1.2</v>
      </c>
      <c r="R409" s="204">
        <f ca="1">INDIRECT("R"&amp;(初期登録!$B$10+30)*12+初期登録!$D$10+5-61&amp;"C"&amp;COLUMN(),FALSE)</f>
        <v>0.6</v>
      </c>
      <c r="S409" s="204">
        <f ca="1">INDIRECT("R"&amp;(初期登録!$B$10+30)*12+初期登録!$D$10+5-61&amp;"C"&amp;COLUMN(),FALSE)</f>
        <v>-0.1</v>
      </c>
      <c r="T409" s="204">
        <f ca="1">INDIRECT("R"&amp;(初期登録!$B$10+30)*12+初期登録!$D$10+5-61&amp;"C"&amp;COLUMN(),FALSE)</f>
        <v>0.6</v>
      </c>
      <c r="V409" s="757">
        <f ca="1">INDIRECT("R"&amp;(初期登録!$B$10+30)*12+初期登録!$D$10+5-61&amp;"C"&amp;COLUMN(),FALSE)</f>
        <v>0.51</v>
      </c>
      <c r="W409" s="205">
        <f ca="1">INDIRECT("R"&amp;(初期登録!$B$10+30)*12+初期登録!$D$10+5-61&amp;"C"&amp;COLUMN(),FALSE)</f>
        <v>0.4</v>
      </c>
      <c r="X409" s="204">
        <f ca="1">INDIRECT("R"&amp;(初期登録!$B$10+30)*12+初期登録!$D$10+5-61&amp;"C"&amp;COLUMN(),FALSE)</f>
        <v>-2.4</v>
      </c>
      <c r="Y409" s="204">
        <f ca="1">INDIRECT("R"&amp;(初期登録!$B$10+30)*12+初期登録!$D$10+5-61&amp;"C"&amp;COLUMN(),FALSE)</f>
        <v>1.3</v>
      </c>
      <c r="Z409" s="204">
        <f ca="1">INDIRECT("R"&amp;(初期登録!$B$10+30)*12+初期登録!$D$10+5-61&amp;"C"&amp;COLUMN(),FALSE)</f>
        <v>0.9</v>
      </c>
      <c r="AA409" s="204">
        <f ca="1">INDIRECT("R"&amp;(初期登録!$B$10+30)*12+初期登録!$D$10+5-61&amp;"C"&amp;COLUMN(),FALSE)</f>
        <v>3.1</v>
      </c>
      <c r="AB409" s="204">
        <f ca="1">INDIRECT("R"&amp;(初期登録!$B$10+30)*12+初期登録!$D$10+5-61&amp;"C"&amp;COLUMN(),FALSE)</f>
        <v>-0.6</v>
      </c>
      <c r="AC409" s="204">
        <f ca="1">INDIRECT("R"&amp;(初期登録!$B$10+30)*12+初期登録!$D$10+5-61&amp;"C"&amp;COLUMN(),FALSE)</f>
        <v>-1.9</v>
      </c>
      <c r="AD409" s="214"/>
      <c r="AE409">
        <v>-56</v>
      </c>
    </row>
    <row r="410" spans="1:31" ht="15" thickBot="1">
      <c r="A410" s="1741" t="s">
        <v>308</v>
      </c>
      <c r="B410" s="1742"/>
      <c r="C410" s="1742"/>
      <c r="D410" s="756">
        <f ca="1">INDIRECT("R"&amp;(初期登録!$B$10+30)*12+初期登録!$D$10+5-60&amp;"C"&amp;COLUMN(),FALSE)</f>
        <v>0.5</v>
      </c>
      <c r="E410" s="205">
        <f ca="1">INDIRECT("R"&amp;(初期登録!$B$10+30)*12+初期登録!$D$10+5-60&amp;"C"&amp;COLUMN(),FALSE)</f>
        <v>-1</v>
      </c>
      <c r="F410" s="204">
        <f ca="1">INDIRECT("R"&amp;(初期登録!$B$10+30)*12+初期登録!$D$10+5-60&amp;"C"&amp;COLUMN(),FALSE)</f>
        <v>-1.4</v>
      </c>
      <c r="G410" s="204">
        <f ca="1">INDIRECT("R"&amp;(初期登録!$B$10+30)*12+初期登録!$D$10+5-60&amp;"C"&amp;COLUMN(),FALSE)</f>
        <v>0.4</v>
      </c>
      <c r="H410" s="204">
        <f ca="1">INDIRECT("R"&amp;(初期登録!$B$10+30)*12+初期登録!$D$10+5-60&amp;"C"&amp;COLUMN(),FALSE)</f>
        <v>-1.6</v>
      </c>
      <c r="I410" s="204">
        <f ca="1">INDIRECT("R"&amp;(初期登録!$B$10+30)*12+初期登録!$D$10+5-60&amp;"C"&amp;COLUMN(),FALSE)</f>
        <v>0</v>
      </c>
      <c r="J410" s="204">
        <f ca="1">INDIRECT("R"&amp;(初期登録!$B$10+30)*12+初期登録!$D$10+5-60&amp;"C"&amp;COLUMN(),FALSE)</f>
        <v>1.4</v>
      </c>
      <c r="K410" s="204">
        <f ca="1">INDIRECT("R"&amp;(初期登録!$B$10+30)*12+初期登録!$D$10+5-60&amp;"C"&amp;COLUMN(),FALSE)</f>
        <v>-0.7</v>
      </c>
      <c r="M410" s="204">
        <f ca="1">INDIRECT("R"&amp;(初期登録!$B$10+30)*12+初期登録!$D$10+5-60&amp;"C"&amp;COLUMN(),FALSE)</f>
        <v>-3.2149999999999999</v>
      </c>
      <c r="N410" s="204">
        <f ca="1">INDIRECT("R"&amp;(初期登録!$B$10+30)*12+初期登録!$D$10+5-60&amp;"C"&amp;COLUMN(),FALSE)</f>
        <v>-1.3</v>
      </c>
      <c r="O410" s="204">
        <f ca="1">INDIRECT("R"&amp;(初期登録!$B$10+30)*12+初期登録!$D$10+5-60&amp;"C"&amp;COLUMN(),FALSE)</f>
        <v>0.7</v>
      </c>
      <c r="P410" s="204">
        <f ca="1">INDIRECT("R"&amp;(初期登録!$B$10+30)*12+初期登録!$D$10+5-60&amp;"C"&amp;COLUMN(),FALSE)</f>
        <v>2.2000000000000002</v>
      </c>
      <c r="Q410" s="204">
        <f ca="1">INDIRECT("R"&amp;(初期登録!$B$10+30)*12+初期登録!$D$10+5-60&amp;"C"&amp;COLUMN(),FALSE)</f>
        <v>0.2</v>
      </c>
      <c r="R410" s="204">
        <f ca="1">INDIRECT("R"&amp;(初期登録!$B$10+30)*12+初期登録!$D$10+5-60&amp;"C"&amp;COLUMN(),FALSE)</f>
        <v>-0.3</v>
      </c>
      <c r="S410" s="204">
        <f ca="1">INDIRECT("R"&amp;(初期登録!$B$10+30)*12+初期登録!$D$10+5-60&amp;"C"&amp;COLUMN(),FALSE)</f>
        <v>0.5</v>
      </c>
      <c r="T410" s="204">
        <f ca="1">INDIRECT("R"&amp;(初期登録!$B$10+30)*12+初期登録!$D$10+5-60&amp;"C"&amp;COLUMN(),FALSE)</f>
        <v>-0.9</v>
      </c>
      <c r="V410" s="757">
        <f ca="1">INDIRECT("R"&amp;(初期登録!$B$10+30)*12+初期登録!$D$10+5-60&amp;"C"&amp;COLUMN(),FALSE)</f>
        <v>0.44</v>
      </c>
      <c r="W410" s="205">
        <f ca="1">INDIRECT("R"&amp;(初期登録!$B$10+30)*12+初期登録!$D$10+5-60&amp;"C"&amp;COLUMN(),FALSE)</f>
        <v>-1.7</v>
      </c>
      <c r="X410" s="204">
        <f ca="1">INDIRECT("R"&amp;(初期登録!$B$10+30)*12+初期登録!$D$10+5-60&amp;"C"&amp;COLUMN(),FALSE)</f>
        <v>1.3</v>
      </c>
      <c r="Y410" s="204">
        <f ca="1">INDIRECT("R"&amp;(初期登録!$B$10+30)*12+初期登録!$D$10+5-60&amp;"C"&amp;COLUMN(),FALSE)</f>
        <v>-2.0699999999999998</v>
      </c>
      <c r="Z410" s="204">
        <f ca="1">INDIRECT("R"&amp;(初期登録!$B$10+30)*12+初期登録!$D$10+5-60&amp;"C"&amp;COLUMN(),FALSE)</f>
        <v>-1.2</v>
      </c>
      <c r="AA410" s="204">
        <f ca="1">INDIRECT("R"&amp;(初期登録!$B$10+30)*12+初期登録!$D$10+5-60&amp;"C"&amp;COLUMN(),FALSE)</f>
        <v>-3.7</v>
      </c>
      <c r="AB410" s="204">
        <f ca="1">INDIRECT("R"&amp;(初期登録!$B$10+30)*12+初期登録!$D$10+5-60&amp;"C"&amp;COLUMN(),FALSE)</f>
        <v>-1</v>
      </c>
      <c r="AC410" s="204">
        <f ca="1">INDIRECT("R"&amp;(初期登録!$B$10+30)*12+初期登録!$D$10+5-60&amp;"C"&amp;COLUMN(),FALSE)</f>
        <v>1.6</v>
      </c>
      <c r="AD410" s="214"/>
      <c r="AE410">
        <v>-55</v>
      </c>
    </row>
    <row r="411" spans="1:31" ht="15" thickBot="1">
      <c r="A411" s="1743" t="s">
        <v>307</v>
      </c>
      <c r="B411" s="1744"/>
      <c r="C411" s="1744"/>
      <c r="D411" s="756">
        <f ca="1">INDIRECT("R"&amp;(初期登録!$B$10+30)*12+初期登録!$D$10+5-59&amp;"C"&amp;COLUMN(),FALSE)</f>
        <v>0.55000000000000004</v>
      </c>
      <c r="E411" s="754">
        <f ca="1">INDIRECT("R"&amp;(初期登録!$B$10+30)*12+初期登録!$D$10+5-59&amp;"C"&amp;COLUMN(),FALSE)</f>
        <v>1.5</v>
      </c>
      <c r="F411" s="209">
        <f ca="1">INDIRECT("R"&amp;(初期登録!$B$10+30)*12+初期登録!$D$10+5-59&amp;"C"&amp;COLUMN(),FALSE)</f>
        <v>0.8</v>
      </c>
      <c r="G411" s="209">
        <f ca="1">INDIRECT("R"&amp;(初期登録!$B$10+30)*12+初期登録!$D$10+5-59&amp;"C"&amp;COLUMN(),FALSE)</f>
        <v>-0.4</v>
      </c>
      <c r="H411" s="209">
        <f ca="1">INDIRECT("R"&amp;(初期登録!$B$10+30)*12+初期登録!$D$10+5-59&amp;"C"&amp;COLUMN(),FALSE)</f>
        <v>1.9</v>
      </c>
      <c r="I411" s="209">
        <f ca="1">INDIRECT("R"&amp;(初期登録!$B$10+30)*12+初期登録!$D$10+5-59&amp;"C"&amp;COLUMN(),FALSE)</f>
        <v>1.6</v>
      </c>
      <c r="J411" s="209">
        <f ca="1">INDIRECT("R"&amp;(初期登録!$B$10+30)*12+初期登録!$D$10+5-59&amp;"C"&amp;COLUMN(),FALSE)</f>
        <v>-0.9</v>
      </c>
      <c r="K411" s="209">
        <f ca="1">INDIRECT("R"&amp;(初期登録!$B$10+30)*12+初期登録!$D$10+5-59&amp;"C"&amp;COLUMN(),FALSE)</f>
        <v>-0.7</v>
      </c>
      <c r="M411" s="209">
        <f ca="1">INDIRECT("R"&amp;(初期登録!$B$10+30)*12+初期登録!$D$10+5-59&amp;"C"&amp;COLUMN(),FALSE)</f>
        <v>-0.69099999999999995</v>
      </c>
      <c r="N411" s="209">
        <f ca="1">INDIRECT("R"&amp;(初期登録!$B$10+30)*12+初期登録!$D$10+5-59&amp;"C"&amp;COLUMN(),FALSE)</f>
        <v>-1.1000000000000001</v>
      </c>
      <c r="O411" s="209">
        <f ca="1">INDIRECT("R"&amp;(初期登録!$B$10+30)*12+初期登録!$D$10+5-59&amp;"C"&amp;COLUMN(),FALSE)</f>
        <v>-1</v>
      </c>
      <c r="P411" s="209">
        <f ca="1">INDIRECT("R"&amp;(初期登録!$B$10+30)*12+初期登録!$D$10+5-59&amp;"C"&amp;COLUMN(),FALSE)</f>
        <v>-0.8</v>
      </c>
      <c r="Q411" s="209">
        <f ca="1">INDIRECT("R"&amp;(初期登録!$B$10+30)*12+初期登録!$D$10+5-59&amp;"C"&amp;COLUMN(),FALSE)</f>
        <v>1.3</v>
      </c>
      <c r="R411" s="209">
        <f ca="1">INDIRECT("R"&amp;(初期登録!$B$10+30)*12+初期登録!$D$10+5-59&amp;"C"&amp;COLUMN(),FALSE)</f>
        <v>1.9</v>
      </c>
      <c r="S411" s="209">
        <f ca="1">INDIRECT("R"&amp;(初期登録!$B$10+30)*12+初期登録!$D$10+5-59&amp;"C"&amp;COLUMN(),FALSE)</f>
        <v>0.6</v>
      </c>
      <c r="T411" s="209">
        <f ca="1">INDIRECT("R"&amp;(初期登録!$B$10+30)*12+初期登録!$D$10+5-59&amp;"C"&amp;COLUMN(),FALSE)</f>
        <v>0.6</v>
      </c>
      <c r="V411" s="757">
        <f ca="1">INDIRECT("R"&amp;(初期登録!$B$10+30)*12+初期登録!$D$10+5-59&amp;"C"&amp;COLUMN(),FALSE)</f>
        <v>0.49</v>
      </c>
      <c r="W411" s="754">
        <f ca="1">INDIRECT("R"&amp;(初期登録!$B$10+30)*12+初期登録!$D$10+5-59&amp;"C"&amp;COLUMN(),FALSE)</f>
        <v>-0.9</v>
      </c>
      <c r="X411" s="209">
        <f ca="1">INDIRECT("R"&amp;(初期登録!$B$10+30)*12+初期登録!$D$10+5-59&amp;"C"&amp;COLUMN(),FALSE)</f>
        <v>-0.9</v>
      </c>
      <c r="Y411" s="209">
        <f ca="1">INDIRECT("R"&amp;(初期登録!$B$10+30)*12+初期登録!$D$10+5-59&amp;"C"&amp;COLUMN(),FALSE)</f>
        <v>-0.05</v>
      </c>
      <c r="Z411" s="209">
        <f ca="1">INDIRECT("R"&amp;(初期登録!$B$10+30)*12+初期登録!$D$10+5-59&amp;"C"&amp;COLUMN(),FALSE)</f>
        <v>-0.5</v>
      </c>
      <c r="AA411" s="209">
        <f ca="1">INDIRECT("R"&amp;(初期登録!$B$10+30)*12+初期登録!$D$10+5-59&amp;"C"&amp;COLUMN(),FALSE)</f>
        <v>2.2000000000000002</v>
      </c>
      <c r="AB411" s="209">
        <f ca="1">INDIRECT("R"&amp;(初期登録!$B$10+30)*12+初期登録!$D$10+5-59&amp;"C"&amp;COLUMN(),FALSE)</f>
        <v>1.9</v>
      </c>
      <c r="AC411" s="209">
        <f ca="1">INDIRECT("R"&amp;(初期登録!$B$10+30)*12+初期登録!$D$10+5-59&amp;"C"&amp;COLUMN(),FALSE)</f>
        <v>-0.9</v>
      </c>
      <c r="AD411" s="214"/>
      <c r="AE411">
        <v>-54</v>
      </c>
    </row>
    <row r="412" spans="1:31" ht="14.4">
      <c r="D412" s="755"/>
      <c r="V412" s="755"/>
      <c r="AD412" s="214"/>
    </row>
    <row r="413" spans="1:31" ht="14.4">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246 M235:T282 M355:T366 M379:T389 W379:AC389 E379:K389 E398:K402 W398:AC402 M398:T402">
    <cfRule type="cellIs" dxfId="733" priority="48" stopIfTrue="1" operator="lessThan">
      <formula>0</formula>
    </cfRule>
  </conditionalFormatting>
  <conditionalFormatting sqref="W235:AC246">
    <cfRule type="cellIs" dxfId="732" priority="46" stopIfTrue="1" operator="lessThan">
      <formula>0</formula>
    </cfRule>
  </conditionalFormatting>
  <conditionalFormatting sqref="W355:AC366">
    <cfRule type="cellIs" dxfId="731" priority="44" stopIfTrue="1" operator="lessThan">
      <formula>0</formula>
    </cfRule>
  </conditionalFormatting>
  <conditionalFormatting sqref="E355:K366">
    <cfRule type="cellIs" dxfId="730" priority="42" stopIfTrue="1" operator="lessThan">
      <formula>0</formula>
    </cfRule>
  </conditionalFormatting>
  <conditionalFormatting sqref="W247:AC258">
    <cfRule type="cellIs" dxfId="729" priority="41" stopIfTrue="1" operator="lessThan">
      <formula>0</formula>
    </cfRule>
  </conditionalFormatting>
  <conditionalFormatting sqref="E247:K258">
    <cfRule type="cellIs" dxfId="728" priority="39" stopIfTrue="1" operator="lessThan">
      <formula>0</formula>
    </cfRule>
  </conditionalFormatting>
  <conditionalFormatting sqref="W259:AC270">
    <cfRule type="cellIs" dxfId="727" priority="38" stopIfTrue="1" operator="lessThan">
      <formula>0</formula>
    </cfRule>
  </conditionalFormatting>
  <conditionalFormatting sqref="E259:K270">
    <cfRule type="cellIs" dxfId="726" priority="36" stopIfTrue="1" operator="lessThan">
      <formula>0</formula>
    </cfRule>
  </conditionalFormatting>
  <conditionalFormatting sqref="W271:AC282">
    <cfRule type="cellIs" dxfId="725" priority="35" stopIfTrue="1" operator="lessThan">
      <formula>0</formula>
    </cfRule>
  </conditionalFormatting>
  <conditionalFormatting sqref="E271:K282">
    <cfRule type="cellIs" dxfId="724" priority="33" stopIfTrue="1" operator="lessThan">
      <formula>0</formula>
    </cfRule>
  </conditionalFormatting>
  <conditionalFormatting sqref="M283:T294">
    <cfRule type="cellIs" dxfId="723" priority="32" stopIfTrue="1" operator="lessThan">
      <formula>0</formula>
    </cfRule>
  </conditionalFormatting>
  <conditionalFormatting sqref="W283:AC294">
    <cfRule type="cellIs" dxfId="722" priority="31" stopIfTrue="1" operator="lessThan">
      <formula>0</formula>
    </cfRule>
  </conditionalFormatting>
  <conditionalFormatting sqref="E283:K294">
    <cfRule type="cellIs" dxfId="721" priority="30" stopIfTrue="1" operator="lessThan">
      <formula>0</formula>
    </cfRule>
  </conditionalFormatting>
  <conditionalFormatting sqref="M295:T306">
    <cfRule type="cellIs" dxfId="720" priority="29" stopIfTrue="1" operator="lessThan">
      <formula>0</formula>
    </cfRule>
  </conditionalFormatting>
  <conditionalFormatting sqref="W295:AC306">
    <cfRule type="cellIs" dxfId="719" priority="28" stopIfTrue="1" operator="lessThan">
      <formula>0</formula>
    </cfRule>
  </conditionalFormatting>
  <conditionalFormatting sqref="E295:K306">
    <cfRule type="cellIs" dxfId="718" priority="27" stopIfTrue="1" operator="lessThan">
      <formula>0</formula>
    </cfRule>
  </conditionalFormatting>
  <conditionalFormatting sqref="M307:T318">
    <cfRule type="cellIs" dxfId="717" priority="26" stopIfTrue="1" operator="lessThan">
      <formula>0</formula>
    </cfRule>
  </conditionalFormatting>
  <conditionalFormatting sqref="W307:AC318">
    <cfRule type="cellIs" dxfId="716" priority="25" stopIfTrue="1" operator="lessThan">
      <formula>0</formula>
    </cfRule>
  </conditionalFormatting>
  <conditionalFormatting sqref="E307:K318">
    <cfRule type="cellIs" dxfId="715" priority="24" stopIfTrue="1" operator="lessThan">
      <formula>0</formula>
    </cfRule>
  </conditionalFormatting>
  <conditionalFormatting sqref="M319:T330">
    <cfRule type="cellIs" dxfId="714" priority="23" stopIfTrue="1" operator="lessThan">
      <formula>0</formula>
    </cfRule>
  </conditionalFormatting>
  <conditionalFormatting sqref="W319:AC330">
    <cfRule type="cellIs" dxfId="713" priority="22" stopIfTrue="1" operator="lessThan">
      <formula>0</formula>
    </cfRule>
  </conditionalFormatting>
  <conditionalFormatting sqref="E319:K330">
    <cfRule type="cellIs" dxfId="712" priority="21" stopIfTrue="1" operator="lessThan">
      <formula>0</formula>
    </cfRule>
  </conditionalFormatting>
  <conditionalFormatting sqref="M331:T342">
    <cfRule type="cellIs" dxfId="711" priority="20" stopIfTrue="1" operator="lessThan">
      <formula>0</formula>
    </cfRule>
  </conditionalFormatting>
  <conditionalFormatting sqref="W331:AC342">
    <cfRule type="cellIs" dxfId="710" priority="19" stopIfTrue="1" operator="lessThan">
      <formula>0</formula>
    </cfRule>
  </conditionalFormatting>
  <conditionalFormatting sqref="E331:K342">
    <cfRule type="cellIs" dxfId="709" priority="18" stopIfTrue="1" operator="lessThan">
      <formula>0</formula>
    </cfRule>
  </conditionalFormatting>
  <conditionalFormatting sqref="M343:T354">
    <cfRule type="cellIs" dxfId="708" priority="17" stopIfTrue="1" operator="lessThan">
      <formula>0</formula>
    </cfRule>
  </conditionalFormatting>
  <conditionalFormatting sqref="W343:AC354">
    <cfRule type="cellIs" dxfId="707" priority="16" stopIfTrue="1" operator="lessThan">
      <formula>0</formula>
    </cfRule>
  </conditionalFormatting>
  <conditionalFormatting sqref="E343:K354">
    <cfRule type="cellIs" dxfId="706" priority="15" stopIfTrue="1" operator="lessThan">
      <formula>0</formula>
    </cfRule>
  </conditionalFormatting>
  <conditionalFormatting sqref="M367:T378">
    <cfRule type="cellIs" dxfId="705" priority="14" stopIfTrue="1" operator="lessThan">
      <formula>0</formula>
    </cfRule>
  </conditionalFormatting>
  <conditionalFormatting sqref="W367:AC378">
    <cfRule type="cellIs" dxfId="704" priority="13" stopIfTrue="1" operator="lessThan">
      <formula>0</formula>
    </cfRule>
  </conditionalFormatting>
  <conditionalFormatting sqref="E367:K378">
    <cfRule type="cellIs" dxfId="703" priority="12" stopIfTrue="1" operator="lessThan">
      <formula>0</formula>
    </cfRule>
  </conditionalFormatting>
  <conditionalFormatting sqref="M391:T397 W391:AC397 E391:K397">
    <cfRule type="cellIs" dxfId="702" priority="4" stopIfTrue="1" operator="lessThan">
      <formula>0</formula>
    </cfRule>
  </conditionalFormatting>
  <conditionalFormatting sqref="M390:T390">
    <cfRule type="cellIs" dxfId="701" priority="3" stopIfTrue="1" operator="lessThan">
      <formula>0</formula>
    </cfRule>
  </conditionalFormatting>
  <conditionalFormatting sqref="W390:AC390">
    <cfRule type="cellIs" dxfId="700" priority="2" stopIfTrue="1" operator="lessThan">
      <formula>0</formula>
    </cfRule>
  </conditionalFormatting>
  <conditionalFormatting sqref="E390:K390">
    <cfRule type="cellIs" dxfId="69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70"/>
  <sheetViews>
    <sheetView zoomScale="90" zoomScaleNormal="90" workbookViewId="0">
      <pane xSplit="3" ySplit="5" topLeftCell="J454" activePane="bottomRight" state="frozen"/>
      <selection activeCell="L387" sqref="L387"/>
      <selection pane="topRight" activeCell="L387" sqref="L387"/>
      <selection pane="bottomLeft" activeCell="L387" sqref="L387"/>
      <selection pane="bottomRight" activeCell="A458" sqref="A458"/>
    </sheetView>
  </sheetViews>
  <sheetFormatPr defaultColWidth="9.109375" defaultRowHeight="14.4"/>
  <cols>
    <col min="1" max="1" width="6" style="310" bestFit="1" customWidth="1"/>
    <col min="2" max="2" width="6.21875" style="310" bestFit="1" customWidth="1"/>
    <col min="3" max="3" width="6.88671875" style="214" customWidth="1"/>
    <col min="4" max="10" width="12.6640625" style="214" customWidth="1"/>
    <col min="11" max="11" width="5.6640625" style="214" customWidth="1"/>
    <col min="12" max="15" width="12.6640625" style="214" customWidth="1"/>
    <col min="16" max="17" width="13.109375" style="214" bestFit="1" customWidth="1"/>
    <col min="18" max="18" width="11.88671875" style="214" bestFit="1" customWidth="1"/>
    <col min="19" max="19" width="12.6640625" style="214" customWidth="1"/>
    <col min="20" max="20" width="5.6640625" style="214" customWidth="1"/>
    <col min="21" max="27" width="12.6640625" style="214" customWidth="1"/>
    <col min="28" max="16384" width="9.10937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768</v>
      </c>
      <c r="F3" s="668" t="s">
        <v>768</v>
      </c>
      <c r="G3" s="668" t="s">
        <v>177</v>
      </c>
      <c r="H3" s="668" t="s">
        <v>178</v>
      </c>
      <c r="I3" s="668" t="s">
        <v>9</v>
      </c>
      <c r="J3" s="668" t="s">
        <v>179</v>
      </c>
      <c r="K3" s="369"/>
      <c r="L3" s="669" t="s">
        <v>180</v>
      </c>
      <c r="M3" s="669" t="s">
        <v>12</v>
      </c>
      <c r="N3" s="669" t="s">
        <v>500</v>
      </c>
      <c r="O3" s="669" t="s">
        <v>768</v>
      </c>
      <c r="P3" s="669" t="s">
        <v>768</v>
      </c>
      <c r="Q3" s="669" t="s">
        <v>768</v>
      </c>
      <c r="R3" s="669" t="s">
        <v>176</v>
      </c>
      <c r="S3" s="669" t="s">
        <v>502</v>
      </c>
      <c r="T3" s="369"/>
      <c r="U3" s="670" t="s">
        <v>768</v>
      </c>
      <c r="V3" s="670" t="s">
        <v>768</v>
      </c>
      <c r="W3" s="670" t="s">
        <v>521</v>
      </c>
      <c r="X3" s="670" t="s">
        <v>521</v>
      </c>
      <c r="Y3" s="670" t="s">
        <v>181</v>
      </c>
      <c r="Z3" s="1165" t="s">
        <v>771</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4">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5">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5">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5">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5">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5">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5">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5">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5">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5">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5">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6">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7">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8">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9">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9">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9">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9">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9">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9">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9">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9">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9">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20">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21">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22">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22">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8">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8">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8">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8">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8">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8">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8">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8">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23">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8">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8">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8">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8">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8">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8">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8">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8">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8">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8">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8">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23">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7">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8">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8">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8">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8">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8">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8">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8">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8">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8">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8">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4">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21">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8">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8">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8">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8">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8">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8">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8">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8">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8">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8">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8">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21">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8">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8">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8">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40">
        <v>2.0999999999999943</v>
      </c>
      <c r="S346" s="1218">
        <v>-7.4911320868153704</v>
      </c>
      <c r="T346" s="351"/>
      <c r="U346" s="1140">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8">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8">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8">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8">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8">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8">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8">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21">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8">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8">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8">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8">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8">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8">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8">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8">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8">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8">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8">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21">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8">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8">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8">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8">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8">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8">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8">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8">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8">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8">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8">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21">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8">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8">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8">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8">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8">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8">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8">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8">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8">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8">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8">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21">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8">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8">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8">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8">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8">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8">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8">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8">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8">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8">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8">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21">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8">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8">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8">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8">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8">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8">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8">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8">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8">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8">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8">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21">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8">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8">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8">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8">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8">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8">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8">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8">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8">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8">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8">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21">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8">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8">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8">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8">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8">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8">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8">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8">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8">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8">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8">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21">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7">
        <v>-3.5</v>
      </c>
      <c r="S439" s="1218">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8">
        <v>-6.0310633213859024</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8">
        <v>-7.0816326530612246</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8">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8">
        <v>-12.061309713592498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5">
        <v>1.2000000000000028</v>
      </c>
      <c r="S444" s="1218">
        <v>-41.17195062319751</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5">
        <v>0.40000000000000568</v>
      </c>
      <c r="S445" s="1218">
        <v>2.1726700971984014</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5">
        <v>-1.9000000000000057</v>
      </c>
      <c r="S446" s="1218">
        <v>27.565223844204855</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5">
        <v>-6.2000000000000028</v>
      </c>
      <c r="S447" s="1218">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8">
        <v>11.217334518087116</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61">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8">
        <v>29.915775135992558</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7" t="s">
        <v>818</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21">
        <v>20.649213533015466</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7">
        <v>-2.5999999999999943</v>
      </c>
      <c r="S451" s="1218">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-4.0000000000000036E-2</v>
      </c>
      <c r="M456" s="347">
        <v>2.6648715151233824</v>
      </c>
      <c r="N456" s="347">
        <v>-4.8309178743961354</v>
      </c>
      <c r="O456" s="347">
        <v>-17.125688532799209</v>
      </c>
      <c r="P456" s="347">
        <v>-3.3871602993304433</v>
      </c>
      <c r="Q456" s="884">
        <v>2.6485568760611051</v>
      </c>
      <c r="R456" s="884">
        <v>0.10000000000000853</v>
      </c>
      <c r="S456" s="884">
        <v>11.2420425301368</v>
      </c>
      <c r="T456" s="353"/>
      <c r="U456" s="884">
        <v>0.19157088122605634</v>
      </c>
      <c r="V456" s="884">
        <v>-23.719676549865234</v>
      </c>
      <c r="W456" s="884">
        <v>-0.20000000000000018</v>
      </c>
      <c r="X456" s="884">
        <v>2.6</v>
      </c>
      <c r="Y456" s="884">
        <v>36.015580219894744</v>
      </c>
      <c r="Z456" s="884">
        <v>-0.19999999999999973</v>
      </c>
      <c r="AA456" s="884">
        <v>-34.701300679857546</v>
      </c>
    </row>
    <row r="457" spans="1:27" ht="14.25" customHeight="1">
      <c r="A457" s="777"/>
      <c r="B457" s="778"/>
      <c r="C457" s="779">
        <v>8</v>
      </c>
      <c r="D457" s="347">
        <v>-3.460057486848521</v>
      </c>
      <c r="E457" s="347">
        <v>-3.5000000000000142</v>
      </c>
      <c r="F457" s="347">
        <v>3.0719482619240077</v>
      </c>
      <c r="G457" s="347">
        <v>-4.9624927870744378</v>
      </c>
      <c r="H457" s="950">
        <v>-0.34423407917383819</v>
      </c>
      <c r="I457" s="950">
        <v>-3</v>
      </c>
      <c r="J457" s="347">
        <v>-0.59999999999999432</v>
      </c>
      <c r="K457" s="353"/>
      <c r="L457" s="347">
        <v>-4.9999999999999822E-2</v>
      </c>
      <c r="M457" s="347">
        <v>4.3014850098066608</v>
      </c>
      <c r="N457" s="347">
        <v>2.92682926829269</v>
      </c>
      <c r="O457" s="347">
        <v>17.400000000000006</v>
      </c>
      <c r="P457" s="347">
        <v>0.95693779904306442</v>
      </c>
      <c r="Q457" s="884">
        <v>-1.010441226002021</v>
      </c>
      <c r="R457" s="884">
        <v>-2</v>
      </c>
      <c r="S457" s="884">
        <v>-24.067045794672261</v>
      </c>
      <c r="T457" s="353"/>
      <c r="U457" s="884">
        <v>-0.67210753720595562</v>
      </c>
      <c r="V457" s="884">
        <v>25.600000000000009</v>
      </c>
      <c r="W457" s="884">
        <v>0.30000000000000027</v>
      </c>
      <c r="X457" s="884">
        <v>-3.7</v>
      </c>
      <c r="Y457" s="884">
        <v>-36.188266198222806</v>
      </c>
      <c r="Z457" s="884">
        <v>-0.39999999999999991</v>
      </c>
      <c r="AA457" s="884">
        <v>66.22279760803896</v>
      </c>
    </row>
    <row r="458" spans="1:27" ht="14.25" customHeight="1">
      <c r="A458" s="777"/>
      <c r="B458" s="778"/>
      <c r="C458" s="779">
        <v>9</v>
      </c>
      <c r="D458" s="347">
        <v>5.6002574831026681</v>
      </c>
      <c r="E458" s="347">
        <v>1.6403785488959135</v>
      </c>
      <c r="F458" s="347">
        <v>-2.4174053182917001</v>
      </c>
      <c r="G458" s="347">
        <v>5.9144415733563021</v>
      </c>
      <c r="H458" s="950">
        <v>20.710973724884081</v>
      </c>
      <c r="I458" s="950">
        <v>2</v>
      </c>
      <c r="J458" s="347">
        <v>-0.70000000000000284</v>
      </c>
      <c r="K458" s="353"/>
      <c r="L458" s="347">
        <v>-1.0000000000000009E-2</v>
      </c>
      <c r="M458" s="347">
        <v>3.7402698076032741</v>
      </c>
      <c r="N458" s="347">
        <v>-3.9215686274509842</v>
      </c>
      <c r="O458" s="347">
        <v>-4.9010367577756861</v>
      </c>
      <c r="P458" s="347">
        <v>8.4378563283922414</v>
      </c>
      <c r="Q458" s="884">
        <v>10.883482714468631</v>
      </c>
      <c r="R458" s="884">
        <v>-2.1000000000000085</v>
      </c>
      <c r="S458" s="884">
        <v>12.074940852995725</v>
      </c>
      <c r="T458" s="353"/>
      <c r="U458" s="884">
        <v>-0.38610038610037789</v>
      </c>
      <c r="V458" s="884">
        <v>-7.7773229635693815</v>
      </c>
      <c r="W458" s="884">
        <v>0</v>
      </c>
      <c r="X458" s="884">
        <v>-1.4999999999999998</v>
      </c>
      <c r="Y458" s="884">
        <v>31.437635822176912</v>
      </c>
      <c r="Z458" s="884">
        <v>0.89999999999999991</v>
      </c>
      <c r="AA458" s="884">
        <v>-16.955964731593347</v>
      </c>
    </row>
    <row r="459" spans="1:27" ht="14.25" customHeight="1">
      <c r="A459" s="777"/>
      <c r="B459" s="778"/>
      <c r="C459" s="779">
        <v>10</v>
      </c>
      <c r="D459" s="347"/>
      <c r="E459" s="347"/>
      <c r="F459" s="347"/>
      <c r="G459" s="347"/>
      <c r="H459" s="950"/>
      <c r="I459" s="950"/>
      <c r="J459" s="347"/>
      <c r="K459" s="353"/>
      <c r="L459" s="347"/>
      <c r="M459" s="347"/>
      <c r="N459" s="347"/>
      <c r="O459" s="347"/>
      <c r="P459" s="347"/>
      <c r="Q459" s="884"/>
      <c r="R459" s="884"/>
      <c r="S459" s="884"/>
      <c r="T459" s="353"/>
      <c r="U459" s="884"/>
      <c r="V459" s="884"/>
      <c r="W459" s="884"/>
      <c r="X459" s="884"/>
      <c r="Y459" s="884"/>
      <c r="Z459" s="884"/>
      <c r="AA459" s="884"/>
    </row>
    <row r="460" spans="1:27" ht="14.25" customHeight="1">
      <c r="A460" s="777"/>
      <c r="B460" s="778"/>
      <c r="C460" s="779">
        <v>11</v>
      </c>
      <c r="D460" s="347"/>
      <c r="E460" s="347"/>
      <c r="F460" s="347"/>
      <c r="G460" s="347"/>
      <c r="H460" s="950"/>
      <c r="I460" s="950"/>
      <c r="J460" s="347"/>
      <c r="K460" s="353"/>
      <c r="L460" s="347"/>
      <c r="M460" s="347"/>
      <c r="N460" s="347"/>
      <c r="O460" s="347"/>
      <c r="P460" s="347"/>
      <c r="Q460" s="884"/>
      <c r="R460" s="884"/>
      <c r="S460" s="884"/>
      <c r="T460" s="353"/>
      <c r="U460" s="884"/>
      <c r="V460" s="884"/>
      <c r="W460" s="884"/>
      <c r="X460" s="884"/>
      <c r="Y460" s="884"/>
      <c r="Z460" s="884"/>
      <c r="AA460" s="884"/>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45" t="s">
        <v>312</v>
      </c>
      <c r="B464" s="1744"/>
      <c r="C464" s="1746"/>
      <c r="D464" s="758">
        <f ca="1">INDIRECT("R"&amp;(初期登録!$B$10+30)*12+初期登録!$D$10+5-5&amp;"C"&amp;COLUMN(),FALSE)</f>
        <v>6.5878935903359928</v>
      </c>
      <c r="E464" s="315">
        <f ca="1">INDIRECT("R"&amp;(初期登録!$B$10+30)*12+初期登録!$D$10+5-5&amp;"C"&amp;COLUMN(),FALSE)</f>
        <v>3.8727524204702584</v>
      </c>
      <c r="F464" s="315">
        <f ca="1">INDIRECT("R"&amp;(初期登録!$B$10+30)*12+初期登録!$D$10+5-5&amp;"C"&amp;COLUMN(),FALSE)</f>
        <v>-12.19624025676295</v>
      </c>
      <c r="G464" s="315">
        <f ca="1">INDIRECT("R"&amp;(初期登録!$B$10+30)*12+初期登録!$D$10+5-5&amp;"C"&amp;COLUMN(),FALSE)</f>
        <v>11.318681318681319</v>
      </c>
      <c r="H464" s="315">
        <f ca="1">INDIRECT("R"&amp;(初期登録!$B$10+30)*12+初期登録!$D$10+5-5&amp;"C"&amp;COLUMN(),FALSE)</f>
        <v>-13.528336380255942</v>
      </c>
      <c r="I464" s="315">
        <f ca="1">INDIRECT("R"&amp;(初期登録!$B$10+30)*12+初期登録!$D$10+5-5&amp;"C"&amp;COLUMN(),FALSE)</f>
        <v>-1</v>
      </c>
      <c r="J464" s="315">
        <f ca="1">INDIRECT("R"&amp;(初期登録!$B$10+30)*12+初期登録!$D$10+5-5&amp;"C"&amp;COLUMN(),FALSE)</f>
        <v>0.29999999999999716</v>
      </c>
      <c r="L464" s="315">
        <f ca="1">INDIRECT("R"&amp;(初期登録!$B$10+30)*12+初期登録!$D$10+5-5&amp;"C"&amp;COLUMN(),FALSE)</f>
        <v>-2.0000000000000018E-2</v>
      </c>
      <c r="M464" s="315">
        <f ca="1">INDIRECT("R"&amp;(初期登録!$B$10+30)*12+初期登録!$D$10+5-5&amp;"C"&amp;COLUMN(),FALSE)</f>
        <v>1.3258695515441177</v>
      </c>
      <c r="N464" s="315">
        <f ca="1">INDIRECT("R"&amp;(初期登録!$B$10+30)*12+初期登録!$D$10+5-5&amp;"C"&amp;COLUMN(),FALSE)</f>
        <v>0</v>
      </c>
      <c r="O464" s="315">
        <f ca="1">INDIRECT("R"&amp;(初期登録!$B$10+30)*12+初期登録!$D$10+5-5&amp;"C"&amp;COLUMN(),FALSE)</f>
        <v>-36.856368563685635</v>
      </c>
      <c r="P464" s="315">
        <f ca="1">INDIRECT("R"&amp;(初期登録!$B$10+30)*12+初期登録!$D$10+5-5&amp;"C"&amp;COLUMN(),FALSE)</f>
        <v>-9.0909090909090757</v>
      </c>
      <c r="Q464" s="315">
        <f ca="1">INDIRECT("R"&amp;(初期登録!$B$10+30)*12+初期登録!$D$10+5-5&amp;"C"&amp;COLUMN(),FALSE)</f>
        <v>-1.5769626328419688</v>
      </c>
      <c r="R464" s="315">
        <f ca="1">INDIRECT("R"&amp;(初期登録!$B$10+30)*12+初期登録!$D$10+5-5&amp;"C"&amp;COLUMN(),FALSE)</f>
        <v>9.6000000000000085</v>
      </c>
      <c r="S464" s="315">
        <f ca="1">INDIRECT("R"&amp;(初期登録!$B$10+30)*12+初期登録!$D$10+5-5&amp;"C"&amp;COLUMN(),FALSE)</f>
        <v>-39.494054963032006</v>
      </c>
      <c r="U464" s="315">
        <f ca="1">INDIRECT("R"&amp;(初期登録!$B$10+30)*12+初期登録!$D$10+5-5&amp;"C"&amp;COLUMN(),FALSE)</f>
        <v>9.5465393794743975E-2</v>
      </c>
      <c r="V464" s="315">
        <f ca="1">INDIRECT("R"&amp;(初期登録!$B$10+30)*12+初期登録!$D$10+5-5&amp;"C"&amp;COLUMN(),FALSE)</f>
        <v>-49.331352154531942</v>
      </c>
      <c r="W464" s="315">
        <f ca="1">INDIRECT("R"&amp;(初期登録!$B$10+30)*12+初期登録!$D$10+5-5&amp;"C"&amp;COLUMN(),FALSE)</f>
        <v>0</v>
      </c>
      <c r="X464" s="315">
        <f ca="1">INDIRECT("R"&amp;(初期登録!$B$10+30)*12+初期登録!$D$10+5-5&amp;"C"&amp;COLUMN(),FALSE)</f>
        <v>-0.9</v>
      </c>
      <c r="Y464" s="315">
        <f ca="1">INDIRECT("R"&amp;(初期登録!$B$10+30)*12+初期登録!$D$10+5-5&amp;"C"&amp;COLUMN(),FALSE)</f>
        <v>-1.1614731356566173</v>
      </c>
      <c r="Z464" s="315">
        <f ca="1">INDIRECT("R"&amp;(初期登録!$B$10+30)*12+初期登録!$D$10+5-5&amp;"C"&amp;COLUMN(),FALSE)</f>
        <v>-0.30000000000000027</v>
      </c>
      <c r="AA464" s="315">
        <f ca="1">INDIRECT("R"&amp;(初期登録!$B$10+30)*12+初期登録!$D$10+5-5&amp;"C"&amp;COLUMN(),FALSE)</f>
        <v>23.181599229287091</v>
      </c>
    </row>
    <row r="465" spans="1:27" ht="15" thickBot="1">
      <c r="A465" s="1745" t="s">
        <v>311</v>
      </c>
      <c r="B465" s="1744"/>
      <c r="C465" s="1746"/>
      <c r="D465" s="758">
        <f ca="1">INDIRECT("R"&amp;(初期登録!$B$10+30)*12+初期登録!$D$10+5-4&amp;"C"&amp;COLUMN(),FALSE)</f>
        <v>-0.83746450401886408</v>
      </c>
      <c r="E465" s="315">
        <f ca="1">INDIRECT("R"&amp;(初期登録!$B$10+30)*12+初期登録!$D$10+5-4&amp;"C"&amp;COLUMN(),FALSE)</f>
        <v>3.2042723631508561</v>
      </c>
      <c r="F465" s="315">
        <f ca="1">INDIRECT("R"&amp;(初期登録!$B$10+30)*12+初期登録!$D$10+5-4&amp;"C"&amp;COLUMN(),FALSE)</f>
        <v>-6.0362173038229372</v>
      </c>
      <c r="G465" s="315">
        <f ca="1">INDIRECT("R"&amp;(初期登録!$B$10+30)*12+初期登録!$D$10+5-4&amp;"C"&amp;COLUMN(),FALSE)</f>
        <v>-6.6353257219610473</v>
      </c>
      <c r="H465" s="315">
        <f ca="1">INDIRECT("R"&amp;(初期登録!$B$10+30)*12+初期登録!$D$10+5-4&amp;"C"&amp;COLUMN(),FALSE)</f>
        <v>-78.308321964529327</v>
      </c>
      <c r="I465" s="315">
        <f ca="1">INDIRECT("R"&amp;(初期登録!$B$10+30)*12+初期登録!$D$10+5-4&amp;"C"&amp;COLUMN(),FALSE)</f>
        <v>5</v>
      </c>
      <c r="J465" s="315">
        <f ca="1">INDIRECT("R"&amp;(初期登録!$B$10+30)*12+初期登録!$D$10+5-4&amp;"C"&amp;COLUMN(),FALSE)</f>
        <v>0.40000000000000568</v>
      </c>
      <c r="L465" s="315">
        <f ca="1">INDIRECT("R"&amp;(初期登録!$B$10+30)*12+初期登録!$D$10+5-4&amp;"C"&amp;COLUMN(),FALSE)</f>
        <v>0</v>
      </c>
      <c r="M465" s="315">
        <f ca="1">INDIRECT("R"&amp;(初期登録!$B$10+30)*12+初期登録!$D$10+5-4&amp;"C"&amp;COLUMN(),FALSE)</f>
        <v>0.46379413524835206</v>
      </c>
      <c r="N465" s="315">
        <f ca="1">INDIRECT("R"&amp;(初期登録!$B$10+30)*12+初期登録!$D$10+5-4&amp;"C"&amp;COLUMN(),FALSE)</f>
        <v>1.8518518518518616</v>
      </c>
      <c r="O465" s="315">
        <f ca="1">INDIRECT("R"&amp;(初期登録!$B$10+30)*12+初期登録!$D$10+5-4&amp;"C"&amp;COLUMN(),FALSE)</f>
        <v>5.2830188679245342</v>
      </c>
      <c r="P465" s="315">
        <f ca="1">INDIRECT("R"&amp;(初期登録!$B$10+30)*12+初期登録!$D$10+5-4&amp;"C"&amp;COLUMN(),FALSE)</f>
        <v>0.64360418342718995</v>
      </c>
      <c r="Q465" s="315">
        <f ca="1">INDIRECT("R"&amp;(初期登録!$B$10+30)*12+初期登録!$D$10+5-4&amp;"C"&amp;COLUMN(),FALSE)</f>
        <v>1.5769626328419688</v>
      </c>
      <c r="R465" s="315">
        <f ca="1">INDIRECT("R"&amp;(初期登録!$B$10+30)*12+初期登録!$D$10+5-4&amp;"C"&amp;COLUMN(),FALSE)</f>
        <v>-0.70000000000000284</v>
      </c>
      <c r="S465" s="315">
        <f ca="1">INDIRECT("R"&amp;(初期登録!$B$10+30)*12+初期登録!$D$10+5-4&amp;"C"&amp;COLUMN(),FALSE)</f>
        <v>6.5474092351075033</v>
      </c>
      <c r="U465" s="315">
        <f ca="1">INDIRECT("R"&amp;(初期登録!$B$10+30)*12+初期登録!$D$10+5-4&amp;"C"&amp;COLUMN(),FALSE)</f>
        <v>-0.19102196752626827</v>
      </c>
      <c r="V465" s="315">
        <f ca="1">INDIRECT("R"&amp;(初期登録!$B$10+30)*12+初期登録!$D$10+5-4&amp;"C"&amp;COLUMN(),FALSE)</f>
        <v>6.8571428571428461</v>
      </c>
      <c r="W465" s="315">
        <f ca="1">INDIRECT("R"&amp;(初期登録!$B$10+30)*12+初期登録!$D$10+5-4&amp;"C"&amp;COLUMN(),FALSE)</f>
        <v>0</v>
      </c>
      <c r="X465" s="315">
        <f ca="1">INDIRECT("R"&amp;(初期登録!$B$10+30)*12+初期登録!$D$10+5-4&amp;"C"&amp;COLUMN(),FALSE)</f>
        <v>-2.2000000000000002</v>
      </c>
      <c r="Y465" s="315">
        <f ca="1">INDIRECT("R"&amp;(初期登録!$B$10+30)*12+初期登録!$D$10+5-4&amp;"C"&amp;COLUMN(),FALSE)</f>
        <v>-10.27742805353906</v>
      </c>
      <c r="Z465" s="315">
        <f ca="1">INDIRECT("R"&amp;(初期登録!$B$10+30)*12+初期登録!$D$10+5-4&amp;"C"&amp;COLUMN(),FALSE)</f>
        <v>-0.10000000000000009</v>
      </c>
      <c r="AA465" s="315">
        <f ca="1">INDIRECT("R"&amp;(初期登録!$B$10+30)*12+初期登録!$D$10+5-4&amp;"C"&amp;COLUMN(),FALSE)</f>
        <v>2.0295892752229876</v>
      </c>
    </row>
    <row r="466" spans="1:27" ht="15" thickBot="1">
      <c r="A466" s="1745" t="s">
        <v>310</v>
      </c>
      <c r="B466" s="1744"/>
      <c r="C466" s="1746"/>
      <c r="D466" s="758">
        <f ca="1">INDIRECT("R"&amp;(初期登録!$B$10+30)*12+初期登録!$D$10+5-3&amp;"C"&amp;COLUMN(),FALSE)</f>
        <v>-9.1501065631081104</v>
      </c>
      <c r="E466" s="315">
        <f ca="1">INDIRECT("R"&amp;(初期登録!$B$10+30)*12+初期登録!$D$10+5-3&amp;"C"&amp;COLUMN(),FALSE)</f>
        <v>13.480392156862745</v>
      </c>
      <c r="F466" s="315">
        <f ca="1">INDIRECT("R"&amp;(初期登録!$B$10+30)*12+初期登録!$D$10+5-3&amp;"C"&amp;COLUMN(),FALSE)</f>
        <v>39.333333333333329</v>
      </c>
      <c r="G466" s="315">
        <f ca="1">INDIRECT("R"&amp;(初期登録!$B$10+30)*12+初期登録!$D$10+5-3&amp;"C"&amp;COLUMN(),FALSE)</f>
        <v>0.63703088214928683</v>
      </c>
      <c r="H466" s="315">
        <f ca="1">INDIRECT("R"&amp;(初期登録!$B$10+30)*12+初期登録!$D$10+5-3&amp;"C"&amp;COLUMN(),FALSE)</f>
        <v>42.95774647887324</v>
      </c>
      <c r="I466" s="315">
        <f ca="1">INDIRECT("R"&amp;(初期登録!$B$10+30)*12+初期登録!$D$10+5-3&amp;"C"&amp;COLUMN(),FALSE)</f>
        <v>-3</v>
      </c>
      <c r="J466" s="315">
        <f ca="1">INDIRECT("R"&amp;(初期登録!$B$10+30)*12+初期登録!$D$10+5-3&amp;"C"&amp;COLUMN(),FALSE)</f>
        <v>0.29999999999999716</v>
      </c>
      <c r="L466" s="315">
        <f ca="1">INDIRECT("R"&amp;(初期登録!$B$10+30)*12+初期登録!$D$10+5-3&amp;"C"&amp;COLUMN(),FALSE)</f>
        <v>0</v>
      </c>
      <c r="M466" s="315">
        <f ca="1">INDIRECT("R"&amp;(初期登録!$B$10+30)*12+初期登録!$D$10+5-3&amp;"C"&amp;COLUMN(),FALSE)</f>
        <v>5.5814853328819174</v>
      </c>
      <c r="N466" s="315">
        <f ca="1">INDIRECT("R"&amp;(初期登録!$B$10+30)*12+初期登録!$D$10+5-3&amp;"C"&amp;COLUMN(),FALSE)</f>
        <v>-2.7906976744186114</v>
      </c>
      <c r="O466" s="315">
        <f ca="1">INDIRECT("R"&amp;(初期登録!$B$10+30)*12+初期登録!$D$10+5-3&amp;"C"&amp;COLUMN(),FALSE)</f>
        <v>12.966601178781927</v>
      </c>
      <c r="P466" s="315">
        <f ca="1">INDIRECT("R"&amp;(初期登録!$B$10+30)*12+初期登録!$D$10+5-3&amp;"C"&amp;COLUMN(),FALSE)</f>
        <v>3.4672970843183539</v>
      </c>
      <c r="Q466" s="315">
        <f ca="1">INDIRECT("R"&amp;(初期登録!$B$10+30)*12+初期登録!$D$10+5-3&amp;"C"&amp;COLUMN(),FALSE)</f>
        <v>-1.163188504960649</v>
      </c>
      <c r="R466" s="315">
        <f ca="1">INDIRECT("R"&amp;(初期登録!$B$10+30)*12+初期登録!$D$10+5-3&amp;"C"&amp;COLUMN(),FALSE)</f>
        <v>-1.9000000000000057</v>
      </c>
      <c r="S466" s="315">
        <f ca="1">INDIRECT("R"&amp;(初期登録!$B$10+30)*12+初期登録!$D$10+5-3&amp;"C"&amp;COLUMN(),FALSE)</f>
        <v>-11.433597185576076</v>
      </c>
      <c r="U466" s="315">
        <f ca="1">INDIRECT("R"&amp;(初期登録!$B$10+30)*12+初期登録!$D$10+5-3&amp;"C"&amp;COLUMN(),FALSE)</f>
        <v>-0.28721876495930798</v>
      </c>
      <c r="V466" s="315">
        <f ca="1">INDIRECT("R"&amp;(初期登録!$B$10+30)*12+初期登録!$D$10+5-3&amp;"C"&amp;COLUMN(),FALSE)</f>
        <v>13.642213642213646</v>
      </c>
      <c r="W466" s="315">
        <f ca="1">INDIRECT("R"&amp;(初期登録!$B$10+30)*12+初期登録!$D$10+5-3&amp;"C"&amp;COLUMN(),FALSE)</f>
        <v>0</v>
      </c>
      <c r="X466" s="315">
        <f ca="1">INDIRECT("R"&amp;(初期登録!$B$10+30)*12+初期登録!$D$10+5-3&amp;"C"&amp;COLUMN(),FALSE)</f>
        <v>1.6</v>
      </c>
      <c r="Y466" s="315">
        <f ca="1">INDIRECT("R"&amp;(初期登録!$B$10+30)*12+初期登録!$D$10+5-3&amp;"C"&amp;COLUMN(),FALSE)</f>
        <v>-5.3475646410505702</v>
      </c>
      <c r="Z466" s="315">
        <f ca="1">INDIRECT("R"&amp;(初期登録!$B$10+30)*12+初期登録!$D$10+5-3&amp;"C"&amp;COLUMN(),FALSE)</f>
        <v>0</v>
      </c>
      <c r="AA466" s="315">
        <f ca="1">INDIRECT("R"&amp;(初期登録!$B$10+30)*12+初期登録!$D$10+5-3&amp;"C"&amp;COLUMN(),FALSE)</f>
        <v>-20.440870084648221</v>
      </c>
    </row>
    <row r="467" spans="1:27" ht="15" thickBot="1">
      <c r="A467" s="1745" t="s">
        <v>309</v>
      </c>
      <c r="B467" s="1744"/>
      <c r="C467" s="1746"/>
      <c r="D467" s="758">
        <f ca="1">INDIRECT("R"&amp;(初期登録!$B$10+30)*12+初期登録!$D$10+5-2&amp;"C"&amp;COLUMN(),FALSE)</f>
        <v>-0.6465154588045664</v>
      </c>
      <c r="E467" s="315">
        <f ca="1">INDIRECT("R"&amp;(初期登録!$B$10+30)*12+初期登録!$D$10+5-2&amp;"C"&amp;COLUMN(),FALSE)</f>
        <v>-6.7655786350148235</v>
      </c>
      <c r="F467" s="315">
        <f ca="1">INDIRECT("R"&amp;(初期登録!$B$10+30)*12+初期登録!$D$10+5-2&amp;"C"&amp;COLUMN(),FALSE)</f>
        <v>-16.428033157498113</v>
      </c>
      <c r="G467" s="315">
        <f ca="1">INDIRECT("R"&amp;(初期登録!$B$10+30)*12+初期登録!$D$10+5-2&amp;"C"&amp;COLUMN(),FALSE)</f>
        <v>-1.9514914970727628</v>
      </c>
      <c r="H467" s="315">
        <f ca="1">INDIRECT("R"&amp;(初期登録!$B$10+30)*12+初期登録!$D$10+5-2&amp;"C"&amp;COLUMN(),FALSE)</f>
        <v>-16.981132075471699</v>
      </c>
      <c r="I467" s="315">
        <f ca="1">INDIRECT("R"&amp;(初期登録!$B$10+30)*12+初期登録!$D$10+5-2&amp;"C"&amp;COLUMN(),FALSE)</f>
        <v>-2</v>
      </c>
      <c r="J467" s="315">
        <f ca="1">INDIRECT("R"&amp;(初期登録!$B$10+30)*12+初期登録!$D$10+5-2&amp;"C"&amp;COLUMN(),FALSE)</f>
        <v>-0.70000000000000284</v>
      </c>
      <c r="L467" s="315">
        <f ca="1">INDIRECT("R"&amp;(初期登録!$B$10+30)*12+初期登録!$D$10+5-2&amp;"C"&amp;COLUMN(),FALSE)</f>
        <v>-4.0000000000000036E-2</v>
      </c>
      <c r="M467" s="315">
        <f ca="1">INDIRECT("R"&amp;(初期登録!$B$10+30)*12+初期登録!$D$10+5-2&amp;"C"&amp;COLUMN(),FALSE)</f>
        <v>2.6648715151233824</v>
      </c>
      <c r="N467" s="315">
        <f ca="1">INDIRECT("R"&amp;(初期登録!$B$10+30)*12+初期登録!$D$10+5-2&amp;"C"&amp;COLUMN(),FALSE)</f>
        <v>-4.8309178743961354</v>
      </c>
      <c r="O467" s="315">
        <f ca="1">INDIRECT("R"&amp;(初期登録!$B$10+30)*12+初期登録!$D$10+5-2&amp;"C"&amp;COLUMN(),FALSE)</f>
        <v>-17.125688532799209</v>
      </c>
      <c r="P467" s="315">
        <f ca="1">INDIRECT("R"&amp;(初期登録!$B$10+30)*12+初期登録!$D$10+5-2&amp;"C"&amp;COLUMN(),FALSE)</f>
        <v>-3.3871602993304433</v>
      </c>
      <c r="Q467" s="315">
        <f ca="1">INDIRECT("R"&amp;(初期登録!$B$10+30)*12+初期登録!$D$10+5-2&amp;"C"&amp;COLUMN(),FALSE)</f>
        <v>2.6485568760611051</v>
      </c>
      <c r="R467" s="315">
        <f ca="1">INDIRECT("R"&amp;(初期登録!$B$10+30)*12+初期登録!$D$10+5-2&amp;"C"&amp;COLUMN(),FALSE)</f>
        <v>0.10000000000000853</v>
      </c>
      <c r="S467" s="315">
        <f ca="1">INDIRECT("R"&amp;(初期登録!$B$10+30)*12+初期登録!$D$10+5-2&amp;"C"&amp;COLUMN(),FALSE)</f>
        <v>11.2420425301368</v>
      </c>
      <c r="U467" s="315">
        <f ca="1">INDIRECT("R"&amp;(初期登録!$B$10+30)*12+初期登録!$D$10+5-2&amp;"C"&amp;COLUMN(),FALSE)</f>
        <v>0.19157088122605634</v>
      </c>
      <c r="V467" s="315">
        <f ca="1">INDIRECT("R"&amp;(初期登録!$B$10+30)*12+初期登録!$D$10+5-2&amp;"C"&amp;COLUMN(),FALSE)</f>
        <v>-23.719676549865234</v>
      </c>
      <c r="W467" s="315">
        <f ca="1">INDIRECT("R"&amp;(初期登録!$B$10+30)*12+初期登録!$D$10+5-2&amp;"C"&amp;COLUMN(),FALSE)</f>
        <v>-0.20000000000000018</v>
      </c>
      <c r="X467" s="315">
        <f ca="1">INDIRECT("R"&amp;(初期登録!$B$10+30)*12+初期登録!$D$10+5-2&amp;"C"&amp;COLUMN(),FALSE)</f>
        <v>2.6</v>
      </c>
      <c r="Y467" s="315">
        <f ca="1">INDIRECT("R"&amp;(初期登録!$B$10+30)*12+初期登録!$D$10+5-2&amp;"C"&amp;COLUMN(),FALSE)</f>
        <v>36.015580219894744</v>
      </c>
      <c r="Z467" s="315">
        <f ca="1">INDIRECT("R"&amp;(初期登録!$B$10+30)*12+初期登録!$D$10+5-2&amp;"C"&amp;COLUMN(),FALSE)</f>
        <v>-0.19999999999999973</v>
      </c>
      <c r="AA467" s="315">
        <f ca="1">INDIRECT("R"&amp;(初期登録!$B$10+30)*12+初期登録!$D$10+5-2&amp;"C"&amp;COLUMN(),FALSE)</f>
        <v>-34.701300679857546</v>
      </c>
    </row>
    <row r="468" spans="1:27" ht="15" thickBot="1">
      <c r="A468" s="1745" t="s">
        <v>308</v>
      </c>
      <c r="B468" s="1744"/>
      <c r="C468" s="1746"/>
      <c r="D468" s="758">
        <f ca="1">INDIRECT("R"&amp;(初期登録!$B$10+30)*12+初期登録!$D$10+5-1&amp;"C"&amp;COLUMN(),FALSE)</f>
        <v>-3.460057486848521</v>
      </c>
      <c r="E468" s="315">
        <f ca="1">INDIRECT("R"&amp;(初期登録!$B$10+30)*12+初期登録!$D$10+5-1&amp;"C"&amp;COLUMN(),FALSE)</f>
        <v>-3.5000000000000142</v>
      </c>
      <c r="F468" s="315">
        <f ca="1">INDIRECT("R"&amp;(初期登録!$B$10+30)*12+初期登録!$D$10+5-1&amp;"C"&amp;COLUMN(),FALSE)</f>
        <v>3.0719482619240077</v>
      </c>
      <c r="G468" s="315">
        <f ca="1">INDIRECT("R"&amp;(初期登録!$B$10+30)*12+初期登録!$D$10+5-1&amp;"C"&amp;COLUMN(),FALSE)</f>
        <v>-4.9624927870744378</v>
      </c>
      <c r="H468" s="315">
        <f ca="1">INDIRECT("R"&amp;(初期登録!$B$10+30)*12+初期登録!$D$10+5-1&amp;"C"&amp;COLUMN(),FALSE)</f>
        <v>-0.34423407917383819</v>
      </c>
      <c r="I468" s="315">
        <f ca="1">INDIRECT("R"&amp;(初期登録!$B$10+30)*12+初期登録!$D$10+5-1&amp;"C"&amp;COLUMN(),FALSE)</f>
        <v>-3</v>
      </c>
      <c r="J468" s="315">
        <f ca="1">INDIRECT("R"&amp;(初期登録!$B$10+30)*12+初期登録!$D$10+5-1&amp;"C"&amp;COLUMN(),FALSE)</f>
        <v>-0.59999999999999432</v>
      </c>
      <c r="L468" s="315">
        <f ca="1">INDIRECT("R"&amp;(初期登録!$B$10+30)*12+初期登録!$D$10+5-1&amp;"C"&amp;COLUMN(),FALSE)</f>
        <v>-4.9999999999999822E-2</v>
      </c>
      <c r="M468" s="315">
        <f ca="1">INDIRECT("R"&amp;(初期登録!$B$10+30)*12+初期登録!$D$10+5-1&amp;"C"&amp;COLUMN(),FALSE)</f>
        <v>4.3014850098066608</v>
      </c>
      <c r="N468" s="315">
        <f ca="1">INDIRECT("R"&amp;(初期登録!$B$10+30)*12+初期登録!$D$10+5-1&amp;"C"&amp;COLUMN(),FALSE)</f>
        <v>2.92682926829269</v>
      </c>
      <c r="O468" s="315">
        <f ca="1">INDIRECT("R"&amp;(初期登録!$B$10+30)*12+初期登録!$D$10+5-1&amp;"C"&amp;COLUMN(),FALSE)</f>
        <v>17.400000000000006</v>
      </c>
      <c r="P468" s="315">
        <f ca="1">INDIRECT("R"&amp;(初期登録!$B$10+30)*12+初期登録!$D$10+5-1&amp;"C"&amp;COLUMN(),FALSE)</f>
        <v>0.95693779904306442</v>
      </c>
      <c r="Q468" s="315">
        <f ca="1">INDIRECT("R"&amp;(初期登録!$B$10+30)*12+初期登録!$D$10+5-1&amp;"C"&amp;COLUMN(),FALSE)</f>
        <v>-1.010441226002021</v>
      </c>
      <c r="R468" s="315">
        <f ca="1">INDIRECT("R"&amp;(初期登録!$B$10+30)*12+初期登録!$D$10+5-1&amp;"C"&amp;COLUMN(),FALSE)</f>
        <v>-2</v>
      </c>
      <c r="S468" s="315">
        <f ca="1">INDIRECT("R"&amp;(初期登録!$B$10+30)*12+初期登録!$D$10+5-1&amp;"C"&amp;COLUMN(),FALSE)</f>
        <v>-24.067045794672261</v>
      </c>
      <c r="U468" s="315">
        <f ca="1">INDIRECT("R"&amp;(初期登録!$B$10+30)*12+初期登録!$D$10+5-1&amp;"C"&amp;COLUMN(),FALSE)</f>
        <v>-0.67210753720595562</v>
      </c>
      <c r="V468" s="315">
        <f ca="1">INDIRECT("R"&amp;(初期登録!$B$10+30)*12+初期登録!$D$10+5-1&amp;"C"&amp;COLUMN(),FALSE)</f>
        <v>25.600000000000009</v>
      </c>
      <c r="W468" s="315">
        <f ca="1">INDIRECT("R"&amp;(初期登録!$B$10+30)*12+初期登録!$D$10+5-1&amp;"C"&amp;COLUMN(),FALSE)</f>
        <v>0.30000000000000027</v>
      </c>
      <c r="X468" s="315">
        <f ca="1">INDIRECT("R"&amp;(初期登録!$B$10+30)*12+初期登録!$D$10+5-1&amp;"C"&amp;COLUMN(),FALSE)</f>
        <v>-3.7</v>
      </c>
      <c r="Y468" s="315">
        <f ca="1">INDIRECT("R"&amp;(初期登録!$B$10+30)*12+初期登録!$D$10+5-1&amp;"C"&amp;COLUMN(),FALSE)</f>
        <v>-36.188266198222806</v>
      </c>
      <c r="Z468" s="315">
        <f ca="1">INDIRECT("R"&amp;(初期登録!$B$10+30)*12+初期登録!$D$10+5-1&amp;"C"&amp;COLUMN(),FALSE)</f>
        <v>-0.39999999999999991</v>
      </c>
      <c r="AA468" s="315">
        <f ca="1">INDIRECT("R"&amp;(初期登録!$B$10+30)*12+初期登録!$D$10+5-1&amp;"C"&amp;COLUMN(),FALSE)</f>
        <v>66.22279760803896</v>
      </c>
    </row>
    <row r="469" spans="1:27" ht="15" thickBot="1">
      <c r="A469" s="1743" t="s">
        <v>307</v>
      </c>
      <c r="B469" s="1747"/>
      <c r="C469" s="1748"/>
      <c r="D469" s="758">
        <f ca="1">INDIRECT("R"&amp;(初期登録!$B$10+30)*12+初期登録!$D$10+5&amp;"C"&amp;COLUMN(),FALSE)</f>
        <v>5.6002574831026681</v>
      </c>
      <c r="E469" s="315">
        <f ca="1">INDIRECT("R"&amp;(初期登録!$B$10+30)*12+初期登録!$D$10+5&amp;"C"&amp;COLUMN(),FALSE)</f>
        <v>1.6403785488959135</v>
      </c>
      <c r="F469" s="315">
        <f ca="1">INDIRECT("R"&amp;(初期登録!$B$10+30)*12+初期登録!$D$10+5&amp;"C"&amp;COLUMN(),FALSE)</f>
        <v>-2.4174053182917001</v>
      </c>
      <c r="G469" s="315">
        <f ca="1">INDIRECT("R"&amp;(初期登録!$B$10+30)*12+初期登録!$D$10+5&amp;"C"&amp;COLUMN(),FALSE)</f>
        <v>5.9144415733563021</v>
      </c>
      <c r="H469" s="315">
        <f ca="1">INDIRECT("R"&amp;(初期登録!$B$10+30)*12+初期登録!$D$10+5&amp;"C"&amp;COLUMN(),FALSE)</f>
        <v>20.710973724884081</v>
      </c>
      <c r="I469" s="315">
        <f ca="1">INDIRECT("R"&amp;(初期登録!$B$10+30)*12+初期登録!$D$10+5&amp;"C"&amp;COLUMN(),FALSE)</f>
        <v>2</v>
      </c>
      <c r="J469" s="315">
        <f ca="1">INDIRECT("R"&amp;(初期登録!$B$10+30)*12+初期登録!$D$10+5&amp;"C"&amp;COLUMN(),FALSE)</f>
        <v>-0.70000000000000284</v>
      </c>
      <c r="L469" s="315">
        <f ca="1">INDIRECT("R"&amp;(初期登録!$B$10+30)*12+初期登録!$D$10+5&amp;"C"&amp;COLUMN(),FALSE)</f>
        <v>-1.0000000000000009E-2</v>
      </c>
      <c r="M469" s="315">
        <f ca="1">INDIRECT("R"&amp;(初期登録!$B$10+30)*12+初期登録!$D$10+5&amp;"C"&amp;COLUMN(),FALSE)</f>
        <v>3.7402698076032741</v>
      </c>
      <c r="N469" s="315">
        <f ca="1">INDIRECT("R"&amp;(初期登録!$B$10+30)*12+初期登録!$D$10+5&amp;"C"&amp;COLUMN(),FALSE)</f>
        <v>-3.9215686274509842</v>
      </c>
      <c r="O469" s="315">
        <f ca="1">INDIRECT("R"&amp;(初期登録!$B$10+30)*12+初期登録!$D$10+5&amp;"C"&amp;COLUMN(),FALSE)</f>
        <v>-4.9010367577756861</v>
      </c>
      <c r="P469" s="315">
        <f ca="1">INDIRECT("R"&amp;(初期登録!$B$10+30)*12+初期登録!$D$10+5&amp;"C"&amp;COLUMN(),FALSE)</f>
        <v>8.4378563283922414</v>
      </c>
      <c r="Q469" s="315">
        <f ca="1">INDIRECT("R"&amp;(初期登録!$B$10+30)*12+初期登録!$D$10+5&amp;"C"&amp;COLUMN(),FALSE)</f>
        <v>10.883482714468631</v>
      </c>
      <c r="R469" s="316">
        <f ca="1">INDIRECT("R"&amp;(初期登録!$B$10+30)*12+初期登録!$D$10+5&amp;"C"&amp;COLUMN(),FALSE)</f>
        <v>-2.1000000000000085</v>
      </c>
      <c r="S469" s="315">
        <f ca="1">INDIRECT("R"&amp;(初期登録!$B$10+30)*12+初期登録!$D$10+5&amp;"C"&amp;COLUMN(),FALSE)</f>
        <v>12.074940852995725</v>
      </c>
      <c r="U469" s="315">
        <f ca="1">INDIRECT("R"&amp;(初期登録!$B$10+30)*12+初期登録!$D$10+5&amp;"C"&amp;COLUMN(),FALSE)</f>
        <v>-0.38610038610037789</v>
      </c>
      <c r="V469" s="315">
        <f ca="1">INDIRECT("R"&amp;(初期登録!$B$10+30)*12+初期登録!$D$10+5&amp;"C"&amp;COLUMN(),FALSE)</f>
        <v>-7.7773229635693815</v>
      </c>
      <c r="W469" s="315">
        <f ca="1">INDIRECT("R"&amp;(初期登録!$B$10+30)*12+初期登録!$D$10+5&amp;"C"&amp;COLUMN(),FALSE)</f>
        <v>0</v>
      </c>
      <c r="X469" s="315">
        <f ca="1">INDIRECT("R"&amp;(初期登録!$B$10+30)*12+初期登録!$D$10+5&amp;"C"&amp;COLUMN(),FALSE)</f>
        <v>-1.4999999999999998</v>
      </c>
      <c r="Y469" s="315">
        <f ca="1">INDIRECT("R"&amp;(初期登録!$B$10+30)*12+初期登録!$D$10+5&amp;"C"&amp;COLUMN(),FALSE)</f>
        <v>31.437635822176912</v>
      </c>
      <c r="Z469" s="315">
        <f ca="1">INDIRECT("R"&amp;(初期登録!$B$10+30)*12+初期登録!$D$10+5&amp;"C"&amp;COLUMN(),FALSE)</f>
        <v>0.89999999999999991</v>
      </c>
      <c r="AA469" s="315">
        <f ca="1">INDIRECT("R"&amp;(初期登録!$B$10+30)*12+初期登録!$D$10+5&amp;"C"&amp;COLUMN(),FALSE)</f>
        <v>-16.955964731593347</v>
      </c>
    </row>
    <row r="470" spans="1:27">
      <c r="L470"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283:A293 A295:A317 X284:IV317 X2:IV2 A1:XFD1 A462:XFD65536 B284:V317 A2:V2 A3:XFD101 B283:IV283 Q282:AA282 A421:V425 K414:V420 A325:V329 L318:V324 A337:V341 L330:V336">
    <cfRule type="cellIs" dxfId="698" priority="725" stopIfTrue="1" operator="lessThan">
      <formula>0</formula>
    </cfRule>
  </conditionalFormatting>
  <conditionalFormatting sqref="A294 A282:C282 AB282:IV282 A102:XFD281">
    <cfRule type="cellIs" dxfId="697" priority="726" stopIfTrue="1" operator="lessThan">
      <formula>0</formula>
    </cfRule>
  </conditionalFormatting>
  <conditionalFormatting sqref="D294:J305 L294:S341 P283:AA283 Q282:AA282 L414:S425">
    <cfRule type="cellIs" dxfId="696" priority="723" stopIfTrue="1" operator="greaterThan">
      <formula>0</formula>
    </cfRule>
  </conditionalFormatting>
  <conditionalFormatting sqref="U294:V305 X294:AA305">
    <cfRule type="cellIs" dxfId="695" priority="721" stopIfTrue="1" operator="greaterThan">
      <formula>0</formula>
    </cfRule>
  </conditionalFormatting>
  <conditionalFormatting sqref="U306:V317 X306:AA317">
    <cfRule type="cellIs" dxfId="694" priority="720" stopIfTrue="1" operator="greaterThan">
      <formula>0</formula>
    </cfRule>
  </conditionalFormatting>
  <conditionalFormatting sqref="D306:J317">
    <cfRule type="cellIs" dxfId="693" priority="718" stopIfTrue="1" operator="greaterThan">
      <formula>0</formula>
    </cfRule>
  </conditionalFormatting>
  <conditionalFormatting sqref="W294:W305">
    <cfRule type="cellIs" dxfId="692" priority="713" stopIfTrue="1" operator="lessThan">
      <formula>0</formula>
    </cfRule>
  </conditionalFormatting>
  <conditionalFormatting sqref="W294:W305">
    <cfRule type="cellIs" dxfId="691" priority="712" stopIfTrue="1" operator="greaterThan">
      <formula>0</formula>
    </cfRule>
  </conditionalFormatting>
  <conditionalFormatting sqref="W284:W293">
    <cfRule type="cellIs" dxfId="690" priority="711" stopIfTrue="1" operator="lessThan">
      <formula>0</formula>
    </cfRule>
  </conditionalFormatting>
  <conditionalFormatting sqref="W284:W293">
    <cfRule type="cellIs" dxfId="689" priority="710" stopIfTrue="1" operator="greaterThan">
      <formula>0</formula>
    </cfRule>
  </conditionalFormatting>
  <conditionalFormatting sqref="D282:P282">
    <cfRule type="cellIs" dxfId="688" priority="707" stopIfTrue="1" operator="lessThan">
      <formula>0</formula>
    </cfRule>
  </conditionalFormatting>
  <conditionalFormatting sqref="G306:G317">
    <cfRule type="cellIs" dxfId="687" priority="706" stopIfTrue="1" operator="greaterThan">
      <formula>0</formula>
    </cfRule>
  </conditionalFormatting>
  <conditionalFormatting sqref="F306:F317">
    <cfRule type="cellIs" dxfId="686" priority="705" stopIfTrue="1" operator="greaterThan">
      <formula>0</formula>
    </cfRule>
  </conditionalFormatting>
  <conditionalFormatting sqref="E306:E317">
    <cfRule type="cellIs" dxfId="685" priority="704" stopIfTrue="1" operator="greaterThan">
      <formula>0</formula>
    </cfRule>
  </conditionalFormatting>
  <conditionalFormatting sqref="D306:D317">
    <cfRule type="cellIs" dxfId="684" priority="703" stopIfTrue="1" operator="greaterThan">
      <formula>0</formula>
    </cfRule>
  </conditionalFormatting>
  <conditionalFormatting sqref="G306:G317">
    <cfRule type="cellIs" dxfId="683" priority="702" stopIfTrue="1" operator="greaterThan">
      <formula>0</formula>
    </cfRule>
  </conditionalFormatting>
  <conditionalFormatting sqref="H306:H317">
    <cfRule type="cellIs" dxfId="682" priority="701" stopIfTrue="1" operator="greaterThan">
      <formula>0</formula>
    </cfRule>
  </conditionalFormatting>
  <conditionalFormatting sqref="J306:J317">
    <cfRule type="cellIs" dxfId="681" priority="700" stopIfTrue="1" operator="greaterThan">
      <formula>0</formula>
    </cfRule>
  </conditionalFormatting>
  <conditionalFormatting sqref="J306:J317">
    <cfRule type="cellIs" dxfId="680" priority="699" stopIfTrue="1" operator="greaterThan">
      <formula>0</formula>
    </cfRule>
  </conditionalFormatting>
  <conditionalFormatting sqref="L306:L317">
    <cfRule type="cellIs" dxfId="679" priority="698" stopIfTrue="1" operator="greaterThan">
      <formula>0</formula>
    </cfRule>
  </conditionalFormatting>
  <conditionalFormatting sqref="N306:N317">
    <cfRule type="cellIs" dxfId="678" priority="696" stopIfTrue="1" operator="greaterThan">
      <formula>0</formula>
    </cfRule>
  </conditionalFormatting>
  <conditionalFormatting sqref="O306:O317">
    <cfRule type="cellIs" dxfId="677" priority="695" stopIfTrue="1" operator="greaterThan">
      <formula>0</formula>
    </cfRule>
  </conditionalFormatting>
  <conditionalFormatting sqref="P306:P317">
    <cfRule type="cellIs" dxfId="676" priority="694" stopIfTrue="1" operator="greaterThan">
      <formula>0</formula>
    </cfRule>
  </conditionalFormatting>
  <conditionalFormatting sqref="Q306:Q317">
    <cfRule type="cellIs" dxfId="675" priority="693" stopIfTrue="1" operator="greaterThan">
      <formula>0</formula>
    </cfRule>
  </conditionalFormatting>
  <conditionalFormatting sqref="R306:R317">
    <cfRule type="cellIs" dxfId="674" priority="691" stopIfTrue="1" operator="greaterThan">
      <formula>0</formula>
    </cfRule>
  </conditionalFormatting>
  <conditionalFormatting sqref="S306:S317">
    <cfRule type="cellIs" dxfId="673" priority="690" stopIfTrue="1" operator="greaterThan">
      <formula>0</formula>
    </cfRule>
  </conditionalFormatting>
  <conditionalFormatting sqref="U306:U317">
    <cfRule type="cellIs" dxfId="672" priority="689" stopIfTrue="1" operator="greaterThan">
      <formula>0</formula>
    </cfRule>
  </conditionalFormatting>
  <conditionalFormatting sqref="V306:V317">
    <cfRule type="cellIs" dxfId="671" priority="688" stopIfTrue="1" operator="greaterThan">
      <formula>0</formula>
    </cfRule>
  </conditionalFormatting>
  <conditionalFormatting sqref="W306:W317">
    <cfRule type="cellIs" dxfId="670" priority="687" stopIfTrue="1" operator="lessThan">
      <formula>0</formula>
    </cfRule>
  </conditionalFormatting>
  <conditionalFormatting sqref="W306:W317">
    <cfRule type="cellIs" dxfId="669" priority="686" stopIfTrue="1" operator="greaterThan">
      <formula>0</formula>
    </cfRule>
  </conditionalFormatting>
  <conditionalFormatting sqref="X306:X317">
    <cfRule type="cellIs" dxfId="668" priority="685" stopIfTrue="1" operator="greaterThan">
      <formula>0</formula>
    </cfRule>
  </conditionalFormatting>
  <conditionalFormatting sqref="Y306:Y317">
    <cfRule type="cellIs" dxfId="667" priority="684" stopIfTrue="1" operator="greaterThan">
      <formula>0</formula>
    </cfRule>
  </conditionalFormatting>
  <conditionalFormatting sqref="Z306:Z317">
    <cfRule type="cellIs" dxfId="666" priority="683" stopIfTrue="1" operator="greaterThan">
      <formula>0</formula>
    </cfRule>
  </conditionalFormatting>
  <conditionalFormatting sqref="AA306:AA317">
    <cfRule type="cellIs" dxfId="665" priority="682" stopIfTrue="1" operator="greaterThan">
      <formula>0</formula>
    </cfRule>
  </conditionalFormatting>
  <conditionalFormatting sqref="X415:IV425 A414:J420 X414:Z414 AB414:IV414">
    <cfRule type="cellIs" dxfId="664" priority="681" stopIfTrue="1" operator="lessThan">
      <formula>0</formula>
    </cfRule>
  </conditionalFormatting>
  <conditionalFormatting sqref="U414:V425 X415:AA425 X414:Z414">
    <cfRule type="cellIs" dxfId="663" priority="680" stopIfTrue="1" operator="greaterThan">
      <formula>0</formula>
    </cfRule>
  </conditionalFormatting>
  <conditionalFormatting sqref="D414:J425">
    <cfRule type="cellIs" dxfId="662" priority="678" stopIfTrue="1" operator="greaterThan">
      <formula>0</formula>
    </cfRule>
  </conditionalFormatting>
  <conditionalFormatting sqref="G414:G425">
    <cfRule type="cellIs" dxfId="661" priority="677" stopIfTrue="1" operator="greaterThan">
      <formula>0</formula>
    </cfRule>
  </conditionalFormatting>
  <conditionalFormatting sqref="F414:F425">
    <cfRule type="cellIs" dxfId="660" priority="676" stopIfTrue="1" operator="greaterThan">
      <formula>0</formula>
    </cfRule>
  </conditionalFormatting>
  <conditionalFormatting sqref="E414:E425">
    <cfRule type="cellIs" dxfId="659" priority="675" stopIfTrue="1" operator="greaterThan">
      <formula>0</formula>
    </cfRule>
  </conditionalFormatting>
  <conditionalFormatting sqref="D414:D425">
    <cfRule type="cellIs" dxfId="658" priority="674" stopIfTrue="1" operator="greaterThan">
      <formula>0</formula>
    </cfRule>
  </conditionalFormatting>
  <conditionalFormatting sqref="G414:G425">
    <cfRule type="cellIs" dxfId="657" priority="673" stopIfTrue="1" operator="greaterThan">
      <formula>0</formula>
    </cfRule>
  </conditionalFormatting>
  <conditionalFormatting sqref="H414:H425">
    <cfRule type="cellIs" dxfId="656" priority="672" stopIfTrue="1" operator="greaterThan">
      <formula>0</formula>
    </cfRule>
  </conditionalFormatting>
  <conditionalFormatting sqref="J414:J425">
    <cfRule type="cellIs" dxfId="655" priority="671" stopIfTrue="1" operator="greaterThan">
      <formula>0</formula>
    </cfRule>
  </conditionalFormatting>
  <conditionalFormatting sqref="J414:J425">
    <cfRule type="cellIs" dxfId="654" priority="670" stopIfTrue="1" operator="greaterThan">
      <formula>0</formula>
    </cfRule>
  </conditionalFormatting>
  <conditionalFormatting sqref="L414:L425">
    <cfRule type="cellIs" dxfId="653" priority="669" stopIfTrue="1" operator="greaterThan">
      <formula>0</formula>
    </cfRule>
  </conditionalFormatting>
  <conditionalFormatting sqref="N414:N425">
    <cfRule type="cellIs" dxfId="652" priority="668" stopIfTrue="1" operator="greaterThan">
      <formula>0</formula>
    </cfRule>
  </conditionalFormatting>
  <conditionalFormatting sqref="O414:O425">
    <cfRule type="cellIs" dxfId="651" priority="667" stopIfTrue="1" operator="greaterThan">
      <formula>0</formula>
    </cfRule>
  </conditionalFormatting>
  <conditionalFormatting sqref="P414:P425">
    <cfRule type="cellIs" dxfId="650" priority="666" stopIfTrue="1" operator="greaterThan">
      <formula>0</formula>
    </cfRule>
  </conditionalFormatting>
  <conditionalFormatting sqref="Q414:Q425">
    <cfRule type="cellIs" dxfId="649" priority="665" stopIfTrue="1" operator="greaterThan">
      <formula>0</formula>
    </cfRule>
  </conditionalFormatting>
  <conditionalFormatting sqref="R414:R425">
    <cfRule type="cellIs" dxfId="648" priority="663" stopIfTrue="1" operator="greaterThan">
      <formula>0</formula>
    </cfRule>
  </conditionalFormatting>
  <conditionalFormatting sqref="S414:S425">
    <cfRule type="cellIs" dxfId="647" priority="662" stopIfTrue="1" operator="greaterThan">
      <formula>0</formula>
    </cfRule>
  </conditionalFormatting>
  <conditionalFormatting sqref="U414:U425">
    <cfRule type="cellIs" dxfId="646" priority="661" stopIfTrue="1" operator="greaterThan">
      <formula>0</formula>
    </cfRule>
  </conditionalFormatting>
  <conditionalFormatting sqref="V414:V425">
    <cfRule type="cellIs" dxfId="645" priority="660" stopIfTrue="1" operator="greaterThan">
      <formula>0</formula>
    </cfRule>
  </conditionalFormatting>
  <conditionalFormatting sqref="W414:W425">
    <cfRule type="cellIs" dxfId="644" priority="659" stopIfTrue="1" operator="lessThan">
      <formula>0</formula>
    </cfRule>
  </conditionalFormatting>
  <conditionalFormatting sqref="W414:W425">
    <cfRule type="cellIs" dxfId="643" priority="658" stopIfTrue="1" operator="greaterThan">
      <formula>0</formula>
    </cfRule>
  </conditionalFormatting>
  <conditionalFormatting sqref="X414:X425">
    <cfRule type="cellIs" dxfId="642" priority="657" stopIfTrue="1" operator="greaterThan">
      <formula>0</formula>
    </cfRule>
  </conditionalFormatting>
  <conditionalFormatting sqref="Y414:Y425">
    <cfRule type="cellIs" dxfId="641" priority="656" stopIfTrue="1" operator="greaterThan">
      <formula>0</formula>
    </cfRule>
  </conditionalFormatting>
  <conditionalFormatting sqref="Z414:Z425">
    <cfRule type="cellIs" dxfId="640" priority="655" stopIfTrue="1" operator="greaterThan">
      <formula>0</formula>
    </cfRule>
  </conditionalFormatting>
  <conditionalFormatting sqref="AA415:AA425">
    <cfRule type="cellIs" dxfId="639" priority="654" stopIfTrue="1" operator="greaterThan">
      <formula>0</formula>
    </cfRule>
  </conditionalFormatting>
  <conditionalFormatting sqref="K318:K324">
    <cfRule type="cellIs" dxfId="638" priority="653" stopIfTrue="1" operator="lessThan">
      <formula>0</formula>
    </cfRule>
  </conditionalFormatting>
  <conditionalFormatting sqref="X318:IV329 A318:J324">
    <cfRule type="cellIs" dxfId="637" priority="652" stopIfTrue="1" operator="lessThan">
      <formula>0</formula>
    </cfRule>
  </conditionalFormatting>
  <conditionalFormatting sqref="U318:V329 X318:AA329">
    <cfRule type="cellIs" dxfId="636" priority="651" stopIfTrue="1" operator="greaterThan">
      <formula>0</formula>
    </cfRule>
  </conditionalFormatting>
  <conditionalFormatting sqref="D318:J329">
    <cfRule type="cellIs" dxfId="635" priority="649" stopIfTrue="1" operator="greaterThan">
      <formula>0</formula>
    </cfRule>
  </conditionalFormatting>
  <conditionalFormatting sqref="G318:G329">
    <cfRule type="cellIs" dxfId="634" priority="648" stopIfTrue="1" operator="greaterThan">
      <formula>0</formula>
    </cfRule>
  </conditionalFormatting>
  <conditionalFormatting sqref="F318:F329">
    <cfRule type="cellIs" dxfId="633" priority="647" stopIfTrue="1" operator="greaterThan">
      <formula>0</formula>
    </cfRule>
  </conditionalFormatting>
  <conditionalFormatting sqref="E318:E329">
    <cfRule type="cellIs" dxfId="632" priority="646" stopIfTrue="1" operator="greaterThan">
      <formula>0</formula>
    </cfRule>
  </conditionalFormatting>
  <conditionalFormatting sqref="D318:D329">
    <cfRule type="cellIs" dxfId="631" priority="645" stopIfTrue="1" operator="greaterThan">
      <formula>0</formula>
    </cfRule>
  </conditionalFormatting>
  <conditionalFormatting sqref="G318:G329">
    <cfRule type="cellIs" dxfId="630" priority="644" stopIfTrue="1" operator="greaterThan">
      <formula>0</formula>
    </cfRule>
  </conditionalFormatting>
  <conditionalFormatting sqref="H318:H329">
    <cfRule type="cellIs" dxfId="629" priority="643" stopIfTrue="1" operator="greaterThan">
      <formula>0</formula>
    </cfRule>
  </conditionalFormatting>
  <conditionalFormatting sqref="J318:J329">
    <cfRule type="cellIs" dxfId="628" priority="642" stopIfTrue="1" operator="greaterThan">
      <formula>0</formula>
    </cfRule>
  </conditionalFormatting>
  <conditionalFormatting sqref="J318:J329">
    <cfRule type="cellIs" dxfId="627" priority="641" stopIfTrue="1" operator="greaterThan">
      <formula>0</formula>
    </cfRule>
  </conditionalFormatting>
  <conditionalFormatting sqref="L318:L329">
    <cfRule type="cellIs" dxfId="626" priority="640" stopIfTrue="1" operator="greaterThan">
      <formula>0</formula>
    </cfRule>
  </conditionalFormatting>
  <conditionalFormatting sqref="N318:N329">
    <cfRule type="cellIs" dxfId="625" priority="639" stopIfTrue="1" operator="greaterThan">
      <formula>0</formula>
    </cfRule>
  </conditionalFormatting>
  <conditionalFormatting sqref="O318:O329">
    <cfRule type="cellIs" dxfId="624" priority="638" stopIfTrue="1" operator="greaterThan">
      <formula>0</formula>
    </cfRule>
  </conditionalFormatting>
  <conditionalFormatting sqref="P318:P329">
    <cfRule type="cellIs" dxfId="623" priority="637" stopIfTrue="1" operator="greaterThan">
      <formula>0</formula>
    </cfRule>
  </conditionalFormatting>
  <conditionalFormatting sqref="Q318:Q329">
    <cfRule type="cellIs" dxfId="622" priority="636" stopIfTrue="1" operator="greaterThan">
      <formula>0</formula>
    </cfRule>
  </conditionalFormatting>
  <conditionalFormatting sqref="R318:R329">
    <cfRule type="cellIs" dxfId="621" priority="634" stopIfTrue="1" operator="greaterThan">
      <formula>0</formula>
    </cfRule>
  </conditionalFormatting>
  <conditionalFormatting sqref="S318:S329">
    <cfRule type="cellIs" dxfId="620" priority="633" stopIfTrue="1" operator="greaterThan">
      <formula>0</formula>
    </cfRule>
  </conditionalFormatting>
  <conditionalFormatting sqref="U318:U329">
    <cfRule type="cellIs" dxfId="619" priority="632" stopIfTrue="1" operator="greaterThan">
      <formula>0</formula>
    </cfRule>
  </conditionalFormatting>
  <conditionalFormatting sqref="V318:V329">
    <cfRule type="cellIs" dxfId="618" priority="631" stopIfTrue="1" operator="greaterThan">
      <formula>0</formula>
    </cfRule>
  </conditionalFormatting>
  <conditionalFormatting sqref="W318:W329">
    <cfRule type="cellIs" dxfId="617" priority="630" stopIfTrue="1" operator="lessThan">
      <formula>0</formula>
    </cfRule>
  </conditionalFormatting>
  <conditionalFormatting sqref="W318:W329">
    <cfRule type="cellIs" dxfId="616" priority="629" stopIfTrue="1" operator="greaterThan">
      <formula>0</formula>
    </cfRule>
  </conditionalFormatting>
  <conditionalFormatting sqref="X318:X329">
    <cfRule type="cellIs" dxfId="615" priority="628" stopIfTrue="1" operator="greaterThan">
      <formula>0</formula>
    </cfRule>
  </conditionalFormatting>
  <conditionalFormatting sqref="Y318:Y329">
    <cfRule type="cellIs" dxfId="614" priority="627" stopIfTrue="1" operator="greaterThan">
      <formula>0</formula>
    </cfRule>
  </conditionalFormatting>
  <conditionalFormatting sqref="Z318:Z329">
    <cfRule type="cellIs" dxfId="613" priority="626" stopIfTrue="1" operator="greaterThan">
      <formula>0</formula>
    </cfRule>
  </conditionalFormatting>
  <conditionalFormatting sqref="AA318:AA329">
    <cfRule type="cellIs" dxfId="612" priority="625" stopIfTrue="1" operator="greaterThan">
      <formula>0</formula>
    </cfRule>
  </conditionalFormatting>
  <conditionalFormatting sqref="W2">
    <cfRule type="cellIs" dxfId="611" priority="624" stopIfTrue="1" operator="lessThan">
      <formula>0</formula>
    </cfRule>
  </conditionalFormatting>
  <conditionalFormatting sqref="K330:K336">
    <cfRule type="cellIs" dxfId="610" priority="623" stopIfTrue="1" operator="lessThan">
      <formula>0</formula>
    </cfRule>
  </conditionalFormatting>
  <conditionalFormatting sqref="X330:IV341 A330:J336">
    <cfRule type="cellIs" dxfId="609" priority="622" stopIfTrue="1" operator="lessThan">
      <formula>0</formula>
    </cfRule>
  </conditionalFormatting>
  <conditionalFormatting sqref="U330:V341 X330:AA341">
    <cfRule type="cellIs" dxfId="608" priority="621" stopIfTrue="1" operator="greaterThan">
      <formula>0</formula>
    </cfRule>
  </conditionalFormatting>
  <conditionalFormatting sqref="D330:J341">
    <cfRule type="cellIs" dxfId="607" priority="619" stopIfTrue="1" operator="greaterThan">
      <formula>0</formula>
    </cfRule>
  </conditionalFormatting>
  <conditionalFormatting sqref="G330:G341">
    <cfRule type="cellIs" dxfId="606" priority="618" stopIfTrue="1" operator="greaterThan">
      <formula>0</formula>
    </cfRule>
  </conditionalFormatting>
  <conditionalFormatting sqref="F330:F341">
    <cfRule type="cellIs" dxfId="605" priority="617" stopIfTrue="1" operator="greaterThan">
      <formula>0</formula>
    </cfRule>
  </conditionalFormatting>
  <conditionalFormatting sqref="E330:E341">
    <cfRule type="cellIs" dxfId="604" priority="616" stopIfTrue="1" operator="greaterThan">
      <formula>0</formula>
    </cfRule>
  </conditionalFormatting>
  <conditionalFormatting sqref="D330:D341">
    <cfRule type="cellIs" dxfId="603" priority="615" stopIfTrue="1" operator="greaterThan">
      <formula>0</formula>
    </cfRule>
  </conditionalFormatting>
  <conditionalFormatting sqref="G330:G341">
    <cfRule type="cellIs" dxfId="602" priority="614" stopIfTrue="1" operator="greaterThan">
      <formula>0</formula>
    </cfRule>
  </conditionalFormatting>
  <conditionalFormatting sqref="H330:H341">
    <cfRule type="cellIs" dxfId="601" priority="613" stopIfTrue="1" operator="greaterThan">
      <formula>0</formula>
    </cfRule>
  </conditionalFormatting>
  <conditionalFormatting sqref="J330:J341">
    <cfRule type="cellIs" dxfId="600" priority="612" stopIfTrue="1" operator="greaterThan">
      <formula>0</formula>
    </cfRule>
  </conditionalFormatting>
  <conditionalFormatting sqref="J330:J341">
    <cfRule type="cellIs" dxfId="599" priority="611" stopIfTrue="1" operator="greaterThan">
      <formula>0</formula>
    </cfRule>
  </conditionalFormatting>
  <conditionalFormatting sqref="L330:L341">
    <cfRule type="cellIs" dxfId="598" priority="610" stopIfTrue="1" operator="greaterThan">
      <formula>0</formula>
    </cfRule>
  </conditionalFormatting>
  <conditionalFormatting sqref="N330:N341">
    <cfRule type="cellIs" dxfId="597" priority="609" stopIfTrue="1" operator="greaterThan">
      <formula>0</formula>
    </cfRule>
  </conditionalFormatting>
  <conditionalFormatting sqref="O330:O341">
    <cfRule type="cellIs" dxfId="596" priority="608" stopIfTrue="1" operator="greaterThan">
      <formula>0</formula>
    </cfRule>
  </conditionalFormatting>
  <conditionalFormatting sqref="P330:P341">
    <cfRule type="cellIs" dxfId="595" priority="607" stopIfTrue="1" operator="greaterThan">
      <formula>0</formula>
    </cfRule>
  </conditionalFormatting>
  <conditionalFormatting sqref="Q330:Q341">
    <cfRule type="cellIs" dxfId="594" priority="606" stopIfTrue="1" operator="greaterThan">
      <formula>0</formula>
    </cfRule>
  </conditionalFormatting>
  <conditionalFormatting sqref="R330:R341">
    <cfRule type="cellIs" dxfId="593" priority="604" stopIfTrue="1" operator="greaterThan">
      <formula>0</formula>
    </cfRule>
  </conditionalFormatting>
  <conditionalFormatting sqref="S330:S341">
    <cfRule type="cellIs" dxfId="592" priority="603" stopIfTrue="1" operator="greaterThan">
      <formula>0</formula>
    </cfRule>
  </conditionalFormatting>
  <conditionalFormatting sqref="U330:U341">
    <cfRule type="cellIs" dxfId="591" priority="602" stopIfTrue="1" operator="greaterThan">
      <formula>0</formula>
    </cfRule>
  </conditionalFormatting>
  <conditionalFormatting sqref="V330:V341">
    <cfRule type="cellIs" dxfId="590" priority="601" stopIfTrue="1" operator="greaterThan">
      <formula>0</formula>
    </cfRule>
  </conditionalFormatting>
  <conditionalFormatting sqref="W330:W341">
    <cfRule type="cellIs" dxfId="589" priority="600" stopIfTrue="1" operator="lessThan">
      <formula>0</formula>
    </cfRule>
  </conditionalFormatting>
  <conditionalFormatting sqref="W330:W341">
    <cfRule type="cellIs" dxfId="588" priority="599" stopIfTrue="1" operator="greaterThan">
      <formula>0</formula>
    </cfRule>
  </conditionalFormatting>
  <conditionalFormatting sqref="X330:X341">
    <cfRule type="cellIs" dxfId="587" priority="598" stopIfTrue="1" operator="greaterThan">
      <formula>0</formula>
    </cfRule>
  </conditionalFormatting>
  <conditionalFormatting sqref="Y330:Y341">
    <cfRule type="cellIs" dxfId="586" priority="597" stopIfTrue="1" operator="greaterThan">
      <formula>0</formula>
    </cfRule>
  </conditionalFormatting>
  <conditionalFormatting sqref="Z330:Z341">
    <cfRule type="cellIs" dxfId="585" priority="596" stopIfTrue="1" operator="greaterThan">
      <formula>0</formula>
    </cfRule>
  </conditionalFormatting>
  <conditionalFormatting sqref="AA330:AA341">
    <cfRule type="cellIs" dxfId="584" priority="595" stopIfTrue="1" operator="greaterThan">
      <formula>0</formula>
    </cfRule>
  </conditionalFormatting>
  <conditionalFormatting sqref="AA414">
    <cfRule type="cellIs" dxfId="583" priority="594" stopIfTrue="1" operator="lessThan">
      <formula>0</formula>
    </cfRule>
  </conditionalFormatting>
  <conditionalFormatting sqref="AA414">
    <cfRule type="cellIs" dxfId="582" priority="593" stopIfTrue="1" operator="greaterThan">
      <formula>0</formula>
    </cfRule>
  </conditionalFormatting>
  <conditionalFormatting sqref="AA414">
    <cfRule type="cellIs" dxfId="581" priority="592" stopIfTrue="1" operator="greaterThan">
      <formula>0</formula>
    </cfRule>
  </conditionalFormatting>
  <conditionalFormatting sqref="A349:V353 K342:V348">
    <cfRule type="cellIs" dxfId="580" priority="591" stopIfTrue="1" operator="lessThan">
      <formula>0</formula>
    </cfRule>
  </conditionalFormatting>
  <conditionalFormatting sqref="L342:S353">
    <cfRule type="cellIs" dxfId="579" priority="590" stopIfTrue="1" operator="greaterThan">
      <formula>0</formula>
    </cfRule>
  </conditionalFormatting>
  <conditionalFormatting sqref="X343:IV353 A342:J348 X342:Z342 AB342:IV342">
    <cfRule type="cellIs" dxfId="578" priority="589" stopIfTrue="1" operator="lessThan">
      <formula>0</formula>
    </cfRule>
  </conditionalFormatting>
  <conditionalFormatting sqref="U342:V353 X343:AA353 X342:Z342">
    <cfRule type="cellIs" dxfId="577" priority="588" stopIfTrue="1" operator="greaterThan">
      <formula>0</formula>
    </cfRule>
  </conditionalFormatting>
  <conditionalFormatting sqref="D342:J353">
    <cfRule type="cellIs" dxfId="576" priority="587" stopIfTrue="1" operator="greaterThan">
      <formula>0</formula>
    </cfRule>
  </conditionalFormatting>
  <conditionalFormatting sqref="G342:G353">
    <cfRule type="cellIs" dxfId="575" priority="586" stopIfTrue="1" operator="greaterThan">
      <formula>0</formula>
    </cfRule>
  </conditionalFormatting>
  <conditionalFormatting sqref="F342:F353">
    <cfRule type="cellIs" dxfId="574" priority="585" stopIfTrue="1" operator="greaterThan">
      <formula>0</formula>
    </cfRule>
  </conditionalFormatting>
  <conditionalFormatting sqref="E342:E353">
    <cfRule type="cellIs" dxfId="573" priority="584" stopIfTrue="1" operator="greaterThan">
      <formula>0</formula>
    </cfRule>
  </conditionalFormatting>
  <conditionalFormatting sqref="D342:D353">
    <cfRule type="cellIs" dxfId="572" priority="583" stopIfTrue="1" operator="greaterThan">
      <formula>0</formula>
    </cfRule>
  </conditionalFormatting>
  <conditionalFormatting sqref="G342:G353">
    <cfRule type="cellIs" dxfId="571" priority="582" stopIfTrue="1" operator="greaterThan">
      <formula>0</formula>
    </cfRule>
  </conditionalFormatting>
  <conditionalFormatting sqref="H342:H353">
    <cfRule type="cellIs" dxfId="570" priority="581" stopIfTrue="1" operator="greaterThan">
      <formula>0</formula>
    </cfRule>
  </conditionalFormatting>
  <conditionalFormatting sqref="J342:J353">
    <cfRule type="cellIs" dxfId="569" priority="580" stopIfTrue="1" operator="greaterThan">
      <formula>0</formula>
    </cfRule>
  </conditionalFormatting>
  <conditionalFormatting sqref="J342:J353">
    <cfRule type="cellIs" dxfId="568" priority="579" stopIfTrue="1" operator="greaterThan">
      <formula>0</formula>
    </cfRule>
  </conditionalFormatting>
  <conditionalFormatting sqref="L342:L353">
    <cfRule type="cellIs" dxfId="567" priority="578" stopIfTrue="1" operator="greaterThan">
      <formula>0</formula>
    </cfRule>
  </conditionalFormatting>
  <conditionalFormatting sqref="N342:N353">
    <cfRule type="cellIs" dxfId="566" priority="577" stopIfTrue="1" operator="greaterThan">
      <formula>0</formula>
    </cfRule>
  </conditionalFormatting>
  <conditionalFormatting sqref="O342:O353">
    <cfRule type="cellIs" dxfId="565" priority="576" stopIfTrue="1" operator="greaterThan">
      <formula>0</formula>
    </cfRule>
  </conditionalFormatting>
  <conditionalFormatting sqref="P342:P353">
    <cfRule type="cellIs" dxfId="564" priority="575" stopIfTrue="1" operator="greaterThan">
      <formula>0</formula>
    </cfRule>
  </conditionalFormatting>
  <conditionalFormatting sqref="Q342:Q353">
    <cfRule type="cellIs" dxfId="563" priority="574" stopIfTrue="1" operator="greaterThan">
      <formula>0</formula>
    </cfRule>
  </conditionalFormatting>
  <conditionalFormatting sqref="R342:R353">
    <cfRule type="cellIs" dxfId="562" priority="573" stopIfTrue="1" operator="greaterThan">
      <formula>0</formula>
    </cfRule>
  </conditionalFormatting>
  <conditionalFormatting sqref="S342:S353">
    <cfRule type="cellIs" dxfId="561" priority="572" stopIfTrue="1" operator="greaterThan">
      <formula>0</formula>
    </cfRule>
  </conditionalFormatting>
  <conditionalFormatting sqref="U342:U353">
    <cfRule type="cellIs" dxfId="560" priority="571" stopIfTrue="1" operator="greaterThan">
      <formula>0</formula>
    </cfRule>
  </conditionalFormatting>
  <conditionalFormatting sqref="V342:V353">
    <cfRule type="cellIs" dxfId="559" priority="570" stopIfTrue="1" operator="greaterThan">
      <formula>0</formula>
    </cfRule>
  </conditionalFormatting>
  <conditionalFormatting sqref="W342:W353">
    <cfRule type="cellIs" dxfId="558" priority="569" stopIfTrue="1" operator="lessThan">
      <formula>0</formula>
    </cfRule>
  </conditionalFormatting>
  <conditionalFormatting sqref="W342:W353">
    <cfRule type="cellIs" dxfId="557" priority="568" stopIfTrue="1" operator="greaterThan">
      <formula>0</formula>
    </cfRule>
  </conditionalFormatting>
  <conditionalFormatting sqref="X342:X353">
    <cfRule type="cellIs" dxfId="556" priority="567" stopIfTrue="1" operator="greaterThan">
      <formula>0</formula>
    </cfRule>
  </conditionalFormatting>
  <conditionalFormatting sqref="Y342:Y353">
    <cfRule type="cellIs" dxfId="555" priority="566" stopIfTrue="1" operator="greaterThan">
      <formula>0</formula>
    </cfRule>
  </conditionalFormatting>
  <conditionalFormatting sqref="Z342:Z353">
    <cfRule type="cellIs" dxfId="554" priority="565" stopIfTrue="1" operator="greaterThan">
      <formula>0</formula>
    </cfRule>
  </conditionalFormatting>
  <conditionalFormatting sqref="AA343:AA353">
    <cfRule type="cellIs" dxfId="553" priority="564" stopIfTrue="1" operator="greaterThan">
      <formula>0</formula>
    </cfRule>
  </conditionalFormatting>
  <conditionalFormatting sqref="AA342">
    <cfRule type="cellIs" dxfId="552" priority="563" stopIfTrue="1" operator="lessThan">
      <formula>0</formula>
    </cfRule>
  </conditionalFormatting>
  <conditionalFormatting sqref="AA342">
    <cfRule type="cellIs" dxfId="551" priority="562" stopIfTrue="1" operator="greaterThan">
      <formula>0</formula>
    </cfRule>
  </conditionalFormatting>
  <conditionalFormatting sqref="AA342">
    <cfRule type="cellIs" dxfId="550" priority="561" stopIfTrue="1" operator="greaterThan">
      <formula>0</formula>
    </cfRule>
  </conditionalFormatting>
  <conditionalFormatting sqref="A361:V365 K354:V360">
    <cfRule type="cellIs" dxfId="549" priority="560" stopIfTrue="1" operator="lessThan">
      <formula>0</formula>
    </cfRule>
  </conditionalFormatting>
  <conditionalFormatting sqref="L354:S365">
    <cfRule type="cellIs" dxfId="548" priority="559" stopIfTrue="1" operator="greaterThan">
      <formula>0</formula>
    </cfRule>
  </conditionalFormatting>
  <conditionalFormatting sqref="X355:IV365 A354:J360 X354:Z354 AB354:IV354">
    <cfRule type="cellIs" dxfId="547" priority="558" stopIfTrue="1" operator="lessThan">
      <formula>0</formula>
    </cfRule>
  </conditionalFormatting>
  <conditionalFormatting sqref="U354:V365 X355:AA365 X354:Z354">
    <cfRule type="cellIs" dxfId="546" priority="557" stopIfTrue="1" operator="greaterThan">
      <formula>0</formula>
    </cfRule>
  </conditionalFormatting>
  <conditionalFormatting sqref="D354:J365">
    <cfRule type="cellIs" dxfId="545" priority="556" stopIfTrue="1" operator="greaterThan">
      <formula>0</formula>
    </cfRule>
  </conditionalFormatting>
  <conditionalFormatting sqref="G354:G365">
    <cfRule type="cellIs" dxfId="544" priority="555" stopIfTrue="1" operator="greaterThan">
      <formula>0</formula>
    </cfRule>
  </conditionalFormatting>
  <conditionalFormatting sqref="F354:F365">
    <cfRule type="cellIs" dxfId="543" priority="554" stopIfTrue="1" operator="greaterThan">
      <formula>0</formula>
    </cfRule>
  </conditionalFormatting>
  <conditionalFormatting sqref="E354:E365">
    <cfRule type="cellIs" dxfId="542" priority="553" stopIfTrue="1" operator="greaterThan">
      <formula>0</formula>
    </cfRule>
  </conditionalFormatting>
  <conditionalFormatting sqref="D354:D365">
    <cfRule type="cellIs" dxfId="541" priority="552" stopIfTrue="1" operator="greaterThan">
      <formula>0</formula>
    </cfRule>
  </conditionalFormatting>
  <conditionalFormatting sqref="G354:G365">
    <cfRule type="cellIs" dxfId="540" priority="551" stopIfTrue="1" operator="greaterThan">
      <formula>0</formula>
    </cfRule>
  </conditionalFormatting>
  <conditionalFormatting sqref="H354:H365">
    <cfRule type="cellIs" dxfId="539" priority="550" stopIfTrue="1" operator="greaterThan">
      <formula>0</formula>
    </cfRule>
  </conditionalFormatting>
  <conditionalFormatting sqref="J354:J365">
    <cfRule type="cellIs" dxfId="538" priority="549" stopIfTrue="1" operator="greaterThan">
      <formula>0</formula>
    </cfRule>
  </conditionalFormatting>
  <conditionalFormatting sqref="J354:J365">
    <cfRule type="cellIs" dxfId="537" priority="548" stopIfTrue="1" operator="greaterThan">
      <formula>0</formula>
    </cfRule>
  </conditionalFormatting>
  <conditionalFormatting sqref="L354:L365">
    <cfRule type="cellIs" dxfId="536" priority="547" stopIfTrue="1" operator="greaterThan">
      <formula>0</formula>
    </cfRule>
  </conditionalFormatting>
  <conditionalFormatting sqref="N354:N365">
    <cfRule type="cellIs" dxfId="535" priority="546" stopIfTrue="1" operator="greaterThan">
      <formula>0</formula>
    </cfRule>
  </conditionalFormatting>
  <conditionalFormatting sqref="O354:O365">
    <cfRule type="cellIs" dxfId="534" priority="545" stopIfTrue="1" operator="greaterThan">
      <formula>0</formula>
    </cfRule>
  </conditionalFormatting>
  <conditionalFormatting sqref="P354:P365">
    <cfRule type="cellIs" dxfId="533" priority="544" stopIfTrue="1" operator="greaterThan">
      <formula>0</formula>
    </cfRule>
  </conditionalFormatting>
  <conditionalFormatting sqref="Q354:Q365">
    <cfRule type="cellIs" dxfId="532" priority="543" stopIfTrue="1" operator="greaterThan">
      <formula>0</formula>
    </cfRule>
  </conditionalFormatting>
  <conditionalFormatting sqref="R354:R365">
    <cfRule type="cellIs" dxfId="531" priority="542" stopIfTrue="1" operator="greaterThan">
      <formula>0</formula>
    </cfRule>
  </conditionalFormatting>
  <conditionalFormatting sqref="S354:S365">
    <cfRule type="cellIs" dxfId="530" priority="541" stopIfTrue="1" operator="greaterThan">
      <formula>0</formula>
    </cfRule>
  </conditionalFormatting>
  <conditionalFormatting sqref="U354:U365">
    <cfRule type="cellIs" dxfId="529" priority="540" stopIfTrue="1" operator="greaterThan">
      <formula>0</formula>
    </cfRule>
  </conditionalFormatting>
  <conditionalFormatting sqref="V354:V365">
    <cfRule type="cellIs" dxfId="528" priority="539" stopIfTrue="1" operator="greaterThan">
      <formula>0</formula>
    </cfRule>
  </conditionalFormatting>
  <conditionalFormatting sqref="W354:W365">
    <cfRule type="cellIs" dxfId="527" priority="538" stopIfTrue="1" operator="lessThan">
      <formula>0</formula>
    </cfRule>
  </conditionalFormatting>
  <conditionalFormatting sqref="W354:W365">
    <cfRule type="cellIs" dxfId="526" priority="537" stopIfTrue="1" operator="greaterThan">
      <formula>0</formula>
    </cfRule>
  </conditionalFormatting>
  <conditionalFormatting sqref="X354:X365">
    <cfRule type="cellIs" dxfId="525" priority="536" stopIfTrue="1" operator="greaterThan">
      <formula>0</formula>
    </cfRule>
  </conditionalFormatting>
  <conditionalFormatting sqref="Y354:Y365">
    <cfRule type="cellIs" dxfId="524" priority="535" stopIfTrue="1" operator="greaterThan">
      <formula>0</formula>
    </cfRule>
  </conditionalFormatting>
  <conditionalFormatting sqref="Z354:Z365">
    <cfRule type="cellIs" dxfId="523" priority="534" stopIfTrue="1" operator="greaterThan">
      <formula>0</formula>
    </cfRule>
  </conditionalFormatting>
  <conditionalFormatting sqref="AA355:AA365">
    <cfRule type="cellIs" dxfId="522" priority="533" stopIfTrue="1" operator="greaterThan">
      <formula>0</formula>
    </cfRule>
  </conditionalFormatting>
  <conditionalFormatting sqref="AA354">
    <cfRule type="cellIs" dxfId="521" priority="532" stopIfTrue="1" operator="lessThan">
      <formula>0</formula>
    </cfRule>
  </conditionalFormatting>
  <conditionalFormatting sqref="AA354">
    <cfRule type="cellIs" dxfId="520" priority="531" stopIfTrue="1" operator="greaterThan">
      <formula>0</formula>
    </cfRule>
  </conditionalFormatting>
  <conditionalFormatting sqref="AA354">
    <cfRule type="cellIs" dxfId="519" priority="530" stopIfTrue="1" operator="greaterThan">
      <formula>0</formula>
    </cfRule>
  </conditionalFormatting>
  <conditionalFormatting sqref="A373:V377 K366:V372">
    <cfRule type="cellIs" dxfId="518" priority="529" stopIfTrue="1" operator="lessThan">
      <formula>0</formula>
    </cfRule>
  </conditionalFormatting>
  <conditionalFormatting sqref="L366:S377">
    <cfRule type="cellIs" dxfId="517" priority="528" stopIfTrue="1" operator="greaterThan">
      <formula>0</formula>
    </cfRule>
  </conditionalFormatting>
  <conditionalFormatting sqref="X367:IV377 A366:J372 X366:Z366 AB366:IV366">
    <cfRule type="cellIs" dxfId="516" priority="527" stopIfTrue="1" operator="lessThan">
      <formula>0</formula>
    </cfRule>
  </conditionalFormatting>
  <conditionalFormatting sqref="U366:V377 X367:AA377 X366:Z366">
    <cfRule type="cellIs" dxfId="515" priority="526" stopIfTrue="1" operator="greaterThan">
      <formula>0</formula>
    </cfRule>
  </conditionalFormatting>
  <conditionalFormatting sqref="D366:J377">
    <cfRule type="cellIs" dxfId="514" priority="525" stopIfTrue="1" operator="greaterThan">
      <formula>0</formula>
    </cfRule>
  </conditionalFormatting>
  <conditionalFormatting sqref="G366:G377">
    <cfRule type="cellIs" dxfId="513" priority="524" stopIfTrue="1" operator="greaterThan">
      <formula>0</formula>
    </cfRule>
  </conditionalFormatting>
  <conditionalFormatting sqref="F366:F377">
    <cfRule type="cellIs" dxfId="512" priority="523" stopIfTrue="1" operator="greaterThan">
      <formula>0</formula>
    </cfRule>
  </conditionalFormatting>
  <conditionalFormatting sqref="E366:E377">
    <cfRule type="cellIs" dxfId="511" priority="522" stopIfTrue="1" operator="greaterThan">
      <formula>0</formula>
    </cfRule>
  </conditionalFormatting>
  <conditionalFormatting sqref="D366:D377">
    <cfRule type="cellIs" dxfId="510" priority="521" stopIfTrue="1" operator="greaterThan">
      <formula>0</formula>
    </cfRule>
  </conditionalFormatting>
  <conditionalFormatting sqref="G366:G377">
    <cfRule type="cellIs" dxfId="509" priority="520" stopIfTrue="1" operator="greaterThan">
      <formula>0</formula>
    </cfRule>
  </conditionalFormatting>
  <conditionalFormatting sqref="H366:H377">
    <cfRule type="cellIs" dxfId="508" priority="519" stopIfTrue="1" operator="greaterThan">
      <formula>0</formula>
    </cfRule>
  </conditionalFormatting>
  <conditionalFormatting sqref="J366:J377">
    <cfRule type="cellIs" dxfId="507" priority="518" stopIfTrue="1" operator="greaterThan">
      <formula>0</formula>
    </cfRule>
  </conditionalFormatting>
  <conditionalFormatting sqref="J366:J377">
    <cfRule type="cellIs" dxfId="506" priority="517" stopIfTrue="1" operator="greaterThan">
      <formula>0</formula>
    </cfRule>
  </conditionalFormatting>
  <conditionalFormatting sqref="L366:L377">
    <cfRule type="cellIs" dxfId="505" priority="516" stopIfTrue="1" operator="greaterThan">
      <formula>0</formula>
    </cfRule>
  </conditionalFormatting>
  <conditionalFormatting sqref="N366:N377">
    <cfRule type="cellIs" dxfId="504" priority="515" stopIfTrue="1" operator="greaterThan">
      <formula>0</formula>
    </cfRule>
  </conditionalFormatting>
  <conditionalFormatting sqref="O366:O377">
    <cfRule type="cellIs" dxfId="503" priority="514" stopIfTrue="1" operator="greaterThan">
      <formula>0</formula>
    </cfRule>
  </conditionalFormatting>
  <conditionalFormatting sqref="P366:P377">
    <cfRule type="cellIs" dxfId="502" priority="513" stopIfTrue="1" operator="greaterThan">
      <formula>0</formula>
    </cfRule>
  </conditionalFormatting>
  <conditionalFormatting sqref="Q366:Q377">
    <cfRule type="cellIs" dxfId="501" priority="512" stopIfTrue="1" operator="greaterThan">
      <formula>0</formula>
    </cfRule>
  </conditionalFormatting>
  <conditionalFormatting sqref="R366:R377">
    <cfRule type="cellIs" dxfId="500" priority="511" stopIfTrue="1" operator="greaterThan">
      <formula>0</formula>
    </cfRule>
  </conditionalFormatting>
  <conditionalFormatting sqref="S366:S377">
    <cfRule type="cellIs" dxfId="499" priority="510" stopIfTrue="1" operator="greaterThan">
      <formula>0</formula>
    </cfRule>
  </conditionalFormatting>
  <conditionalFormatting sqref="U366:U377">
    <cfRule type="cellIs" dxfId="498" priority="509" stopIfTrue="1" operator="greaterThan">
      <formula>0</formula>
    </cfRule>
  </conditionalFormatting>
  <conditionalFormatting sqref="V366:V377">
    <cfRule type="cellIs" dxfId="497" priority="508" stopIfTrue="1" operator="greaterThan">
      <formula>0</formula>
    </cfRule>
  </conditionalFormatting>
  <conditionalFormatting sqref="W366:W377">
    <cfRule type="cellIs" dxfId="496" priority="507" stopIfTrue="1" operator="lessThan">
      <formula>0</formula>
    </cfRule>
  </conditionalFormatting>
  <conditionalFormatting sqref="W366:W377">
    <cfRule type="cellIs" dxfId="495" priority="506" stopIfTrue="1" operator="greaterThan">
      <formula>0</formula>
    </cfRule>
  </conditionalFormatting>
  <conditionalFormatting sqref="X366:X377">
    <cfRule type="cellIs" dxfId="494" priority="505" stopIfTrue="1" operator="greaterThan">
      <formula>0</formula>
    </cfRule>
  </conditionalFormatting>
  <conditionalFormatting sqref="Y366:Y377">
    <cfRule type="cellIs" dxfId="493" priority="504" stopIfTrue="1" operator="greaterThan">
      <formula>0</formula>
    </cfRule>
  </conditionalFormatting>
  <conditionalFormatting sqref="Z366:Z377">
    <cfRule type="cellIs" dxfId="492" priority="503" stopIfTrue="1" operator="greaterThan">
      <formula>0</formula>
    </cfRule>
  </conditionalFormatting>
  <conditionalFormatting sqref="AA367:AA377">
    <cfRule type="cellIs" dxfId="491" priority="502" stopIfTrue="1" operator="greaterThan">
      <formula>0</formula>
    </cfRule>
  </conditionalFormatting>
  <conditionalFormatting sqref="AA366">
    <cfRule type="cellIs" dxfId="490" priority="501" stopIfTrue="1" operator="lessThan">
      <formula>0</formula>
    </cfRule>
  </conditionalFormatting>
  <conditionalFormatting sqref="AA366">
    <cfRule type="cellIs" dxfId="489" priority="500" stopIfTrue="1" operator="greaterThan">
      <formula>0</formula>
    </cfRule>
  </conditionalFormatting>
  <conditionalFormatting sqref="AA366">
    <cfRule type="cellIs" dxfId="488" priority="499" stopIfTrue="1" operator="greaterThan">
      <formula>0</formula>
    </cfRule>
  </conditionalFormatting>
  <conditionalFormatting sqref="A385:V389 K378:V384">
    <cfRule type="cellIs" dxfId="487" priority="498" stopIfTrue="1" operator="lessThan">
      <formula>0</formula>
    </cfRule>
  </conditionalFormatting>
  <conditionalFormatting sqref="L378:S389">
    <cfRule type="cellIs" dxfId="486" priority="497" stopIfTrue="1" operator="greaterThan">
      <formula>0</formula>
    </cfRule>
  </conditionalFormatting>
  <conditionalFormatting sqref="X379:IV389 A378:J384 X378:Z378 AB378:IV378">
    <cfRule type="cellIs" dxfId="485" priority="496" stopIfTrue="1" operator="lessThan">
      <formula>0</formula>
    </cfRule>
  </conditionalFormatting>
  <conditionalFormatting sqref="U378:V389 X379:AA389 X378:Z378">
    <cfRule type="cellIs" dxfId="484" priority="495" stopIfTrue="1" operator="greaterThan">
      <formula>0</formula>
    </cfRule>
  </conditionalFormatting>
  <conditionalFormatting sqref="D378:J389">
    <cfRule type="cellIs" dxfId="483" priority="494" stopIfTrue="1" operator="greaterThan">
      <formula>0</formula>
    </cfRule>
  </conditionalFormatting>
  <conditionalFormatting sqref="G378:G389">
    <cfRule type="cellIs" dxfId="482" priority="493" stopIfTrue="1" operator="greaterThan">
      <formula>0</formula>
    </cfRule>
  </conditionalFormatting>
  <conditionalFormatting sqref="F378:F389">
    <cfRule type="cellIs" dxfId="481" priority="492" stopIfTrue="1" operator="greaterThan">
      <formula>0</formula>
    </cfRule>
  </conditionalFormatting>
  <conditionalFormatting sqref="E378:E389">
    <cfRule type="cellIs" dxfId="480" priority="491" stopIfTrue="1" operator="greaterThan">
      <formula>0</formula>
    </cfRule>
  </conditionalFormatting>
  <conditionalFormatting sqref="D378:D389">
    <cfRule type="cellIs" dxfId="479" priority="490" stopIfTrue="1" operator="greaterThan">
      <formula>0</formula>
    </cfRule>
  </conditionalFormatting>
  <conditionalFormatting sqref="G378:G389">
    <cfRule type="cellIs" dxfId="478" priority="489" stopIfTrue="1" operator="greaterThan">
      <formula>0</formula>
    </cfRule>
  </conditionalFormatting>
  <conditionalFormatting sqref="H378:H389">
    <cfRule type="cellIs" dxfId="477" priority="488" stopIfTrue="1" operator="greaterThan">
      <formula>0</formula>
    </cfRule>
  </conditionalFormatting>
  <conditionalFormatting sqref="J378:J389">
    <cfRule type="cellIs" dxfId="476" priority="487" stopIfTrue="1" operator="greaterThan">
      <formula>0</formula>
    </cfRule>
  </conditionalFormatting>
  <conditionalFormatting sqref="J378:J389">
    <cfRule type="cellIs" dxfId="475" priority="486" stopIfTrue="1" operator="greaterThan">
      <formula>0</formula>
    </cfRule>
  </conditionalFormatting>
  <conditionalFormatting sqref="L378:L389">
    <cfRule type="cellIs" dxfId="474" priority="485" stopIfTrue="1" operator="greaterThan">
      <formula>0</formula>
    </cfRule>
  </conditionalFormatting>
  <conditionalFormatting sqref="N378:N389">
    <cfRule type="cellIs" dxfId="473" priority="484" stopIfTrue="1" operator="greaterThan">
      <formula>0</formula>
    </cfRule>
  </conditionalFormatting>
  <conditionalFormatting sqref="O378:O389">
    <cfRule type="cellIs" dxfId="472" priority="483" stopIfTrue="1" operator="greaterThan">
      <formula>0</formula>
    </cfRule>
  </conditionalFormatting>
  <conditionalFormatting sqref="P378:P389">
    <cfRule type="cellIs" dxfId="471" priority="482" stopIfTrue="1" operator="greaterThan">
      <formula>0</formula>
    </cfRule>
  </conditionalFormatting>
  <conditionalFormatting sqref="Q378:Q389">
    <cfRule type="cellIs" dxfId="470" priority="481" stopIfTrue="1" operator="greaterThan">
      <formula>0</formula>
    </cfRule>
  </conditionalFormatting>
  <conditionalFormatting sqref="R378:R389">
    <cfRule type="cellIs" dxfId="469" priority="480" stopIfTrue="1" operator="greaterThan">
      <formula>0</formula>
    </cfRule>
  </conditionalFormatting>
  <conditionalFormatting sqref="S378:S389">
    <cfRule type="cellIs" dxfId="468" priority="479" stopIfTrue="1" operator="greaterThan">
      <formula>0</formula>
    </cfRule>
  </conditionalFormatting>
  <conditionalFormatting sqref="U378:U389">
    <cfRule type="cellIs" dxfId="467" priority="478" stopIfTrue="1" operator="greaterThan">
      <formula>0</formula>
    </cfRule>
  </conditionalFormatting>
  <conditionalFormatting sqref="V378:V389">
    <cfRule type="cellIs" dxfId="466" priority="477" stopIfTrue="1" operator="greaterThan">
      <formula>0</formula>
    </cfRule>
  </conditionalFormatting>
  <conditionalFormatting sqref="W378:W389">
    <cfRule type="cellIs" dxfId="465" priority="476" stopIfTrue="1" operator="lessThan">
      <formula>0</formula>
    </cfRule>
  </conditionalFormatting>
  <conditionalFormatting sqref="W378:W389">
    <cfRule type="cellIs" dxfId="464" priority="475" stopIfTrue="1" operator="greaterThan">
      <formula>0</formula>
    </cfRule>
  </conditionalFormatting>
  <conditionalFormatting sqref="X378:X389">
    <cfRule type="cellIs" dxfId="463" priority="474" stopIfTrue="1" operator="greaterThan">
      <formula>0</formula>
    </cfRule>
  </conditionalFormatting>
  <conditionalFormatting sqref="Y378:Y389">
    <cfRule type="cellIs" dxfId="462" priority="473" stopIfTrue="1" operator="greaterThan">
      <formula>0</formula>
    </cfRule>
  </conditionalFormatting>
  <conditionalFormatting sqref="Z378:Z389">
    <cfRule type="cellIs" dxfId="461" priority="472" stopIfTrue="1" operator="greaterThan">
      <formula>0</formula>
    </cfRule>
  </conditionalFormatting>
  <conditionalFormatting sqref="AA379:AA389">
    <cfRule type="cellIs" dxfId="460" priority="471" stopIfTrue="1" operator="greaterThan">
      <formula>0</formula>
    </cfRule>
  </conditionalFormatting>
  <conditionalFormatting sqref="AA378">
    <cfRule type="cellIs" dxfId="459" priority="470" stopIfTrue="1" operator="lessThan">
      <formula>0</formula>
    </cfRule>
  </conditionalFormatting>
  <conditionalFormatting sqref="AA378">
    <cfRule type="cellIs" dxfId="458" priority="469" stopIfTrue="1" operator="greaterThan">
      <formula>0</formula>
    </cfRule>
  </conditionalFormatting>
  <conditionalFormatting sqref="AA378">
    <cfRule type="cellIs" dxfId="457" priority="468" stopIfTrue="1" operator="greaterThan">
      <formula>0</formula>
    </cfRule>
  </conditionalFormatting>
  <conditionalFormatting sqref="A397:V401 K390:V396">
    <cfRule type="cellIs" dxfId="456" priority="467" stopIfTrue="1" operator="lessThan">
      <formula>0</formula>
    </cfRule>
  </conditionalFormatting>
  <conditionalFormatting sqref="L390:S401">
    <cfRule type="cellIs" dxfId="455" priority="466" stopIfTrue="1" operator="greaterThan">
      <formula>0</formula>
    </cfRule>
  </conditionalFormatting>
  <conditionalFormatting sqref="X391:IV401 A390:J396 X390:Z390 AB390:IV390">
    <cfRule type="cellIs" dxfId="454" priority="465" stopIfTrue="1" operator="lessThan">
      <formula>0</formula>
    </cfRule>
  </conditionalFormatting>
  <conditionalFormatting sqref="U390:V401 X391:AA401 X390:Z390">
    <cfRule type="cellIs" dxfId="453" priority="464" stopIfTrue="1" operator="greaterThan">
      <formula>0</formula>
    </cfRule>
  </conditionalFormatting>
  <conditionalFormatting sqref="D390:J401">
    <cfRule type="cellIs" dxfId="452" priority="463" stopIfTrue="1" operator="greaterThan">
      <formula>0</formula>
    </cfRule>
  </conditionalFormatting>
  <conditionalFormatting sqref="G390:G401">
    <cfRule type="cellIs" dxfId="451" priority="462" stopIfTrue="1" operator="greaterThan">
      <formula>0</formula>
    </cfRule>
  </conditionalFormatting>
  <conditionalFormatting sqref="F390:F401">
    <cfRule type="cellIs" dxfId="450" priority="461" stopIfTrue="1" operator="greaterThan">
      <formula>0</formula>
    </cfRule>
  </conditionalFormatting>
  <conditionalFormatting sqref="E390:E401">
    <cfRule type="cellIs" dxfId="449" priority="460" stopIfTrue="1" operator="greaterThan">
      <formula>0</formula>
    </cfRule>
  </conditionalFormatting>
  <conditionalFormatting sqref="D390:D401">
    <cfRule type="cellIs" dxfId="448" priority="459" stopIfTrue="1" operator="greaterThan">
      <formula>0</formula>
    </cfRule>
  </conditionalFormatting>
  <conditionalFormatting sqref="G390:G401">
    <cfRule type="cellIs" dxfId="447" priority="458" stopIfTrue="1" operator="greaterThan">
      <formula>0</formula>
    </cfRule>
  </conditionalFormatting>
  <conditionalFormatting sqref="H390:H401">
    <cfRule type="cellIs" dxfId="446" priority="457" stopIfTrue="1" operator="greaterThan">
      <formula>0</formula>
    </cfRule>
  </conditionalFormatting>
  <conditionalFormatting sqref="J390:J401">
    <cfRule type="cellIs" dxfId="445" priority="456" stopIfTrue="1" operator="greaterThan">
      <formula>0</formula>
    </cfRule>
  </conditionalFormatting>
  <conditionalFormatting sqref="J390:J401">
    <cfRule type="cellIs" dxfId="444" priority="455" stopIfTrue="1" operator="greaterThan">
      <formula>0</formula>
    </cfRule>
  </conditionalFormatting>
  <conditionalFormatting sqref="L390:L401">
    <cfRule type="cellIs" dxfId="443" priority="454" stopIfTrue="1" operator="greaterThan">
      <formula>0</formula>
    </cfRule>
  </conditionalFormatting>
  <conditionalFormatting sqref="N390:N401">
    <cfRule type="cellIs" dxfId="442" priority="453" stopIfTrue="1" operator="greaterThan">
      <formula>0</formula>
    </cfRule>
  </conditionalFormatting>
  <conditionalFormatting sqref="O390:O401">
    <cfRule type="cellIs" dxfId="441" priority="452" stopIfTrue="1" operator="greaterThan">
      <formula>0</formula>
    </cfRule>
  </conditionalFormatting>
  <conditionalFormatting sqref="P390:P401">
    <cfRule type="cellIs" dxfId="440" priority="451" stopIfTrue="1" operator="greaterThan">
      <formula>0</formula>
    </cfRule>
  </conditionalFormatting>
  <conditionalFormatting sqref="Q390:Q401">
    <cfRule type="cellIs" dxfId="439" priority="450" stopIfTrue="1" operator="greaterThan">
      <formula>0</formula>
    </cfRule>
  </conditionalFormatting>
  <conditionalFormatting sqref="R390:R401">
    <cfRule type="cellIs" dxfId="438" priority="449" stopIfTrue="1" operator="greaterThan">
      <formula>0</formula>
    </cfRule>
  </conditionalFormatting>
  <conditionalFormatting sqref="S390:S401">
    <cfRule type="cellIs" dxfId="437" priority="448" stopIfTrue="1" operator="greaterThan">
      <formula>0</formula>
    </cfRule>
  </conditionalFormatting>
  <conditionalFormatting sqref="U390:U401">
    <cfRule type="cellIs" dxfId="436" priority="447" stopIfTrue="1" operator="greaterThan">
      <formula>0</formula>
    </cfRule>
  </conditionalFormatting>
  <conditionalFormatting sqref="V390:V401">
    <cfRule type="cellIs" dxfId="435" priority="446" stopIfTrue="1" operator="greaterThan">
      <formula>0</formula>
    </cfRule>
  </conditionalFormatting>
  <conditionalFormatting sqref="W390:W401">
    <cfRule type="cellIs" dxfId="434" priority="445" stopIfTrue="1" operator="lessThan">
      <formula>0</formula>
    </cfRule>
  </conditionalFormatting>
  <conditionalFormatting sqref="W390:W401">
    <cfRule type="cellIs" dxfId="433" priority="444" stopIfTrue="1" operator="greaterThan">
      <formula>0</formula>
    </cfRule>
  </conditionalFormatting>
  <conditionalFormatting sqref="X390:X401">
    <cfRule type="cellIs" dxfId="432" priority="443" stopIfTrue="1" operator="greaterThan">
      <formula>0</formula>
    </cfRule>
  </conditionalFormatting>
  <conditionalFormatting sqref="Y390:Y401">
    <cfRule type="cellIs" dxfId="431" priority="442" stopIfTrue="1" operator="greaterThan">
      <formula>0</formula>
    </cfRule>
  </conditionalFormatting>
  <conditionalFormatting sqref="Z390:Z401">
    <cfRule type="cellIs" dxfId="430" priority="441" stopIfTrue="1" operator="greaterThan">
      <formula>0</formula>
    </cfRule>
  </conditionalFormatting>
  <conditionalFormatting sqref="AA391:AA401">
    <cfRule type="cellIs" dxfId="429" priority="440" stopIfTrue="1" operator="greaterThan">
      <formula>0</formula>
    </cfRule>
  </conditionalFormatting>
  <conditionalFormatting sqref="AA390">
    <cfRule type="cellIs" dxfId="428" priority="439" stopIfTrue="1" operator="lessThan">
      <formula>0</formula>
    </cfRule>
  </conditionalFormatting>
  <conditionalFormatting sqref="AA390">
    <cfRule type="cellIs" dxfId="427" priority="438" stopIfTrue="1" operator="greaterThan">
      <formula>0</formula>
    </cfRule>
  </conditionalFormatting>
  <conditionalFormatting sqref="AA390">
    <cfRule type="cellIs" dxfId="426" priority="437" stopIfTrue="1" operator="greaterThan">
      <formula>0</formula>
    </cfRule>
  </conditionalFormatting>
  <conditionalFormatting sqref="A409:V413 K402:V408">
    <cfRule type="cellIs" dxfId="425" priority="436" stopIfTrue="1" operator="lessThan">
      <formula>0</formula>
    </cfRule>
  </conditionalFormatting>
  <conditionalFormatting sqref="L402:S413">
    <cfRule type="cellIs" dxfId="424" priority="435" stopIfTrue="1" operator="greaterThan">
      <formula>0</formula>
    </cfRule>
  </conditionalFormatting>
  <conditionalFormatting sqref="X403:IV413 A402:J408 X402:Z402 AB402:IV402">
    <cfRule type="cellIs" dxfId="423" priority="434" stopIfTrue="1" operator="lessThan">
      <formula>0</formula>
    </cfRule>
  </conditionalFormatting>
  <conditionalFormatting sqref="U402:V413 X403:AA413 X402:Z402">
    <cfRule type="cellIs" dxfId="422" priority="433" stopIfTrue="1" operator="greaterThan">
      <formula>0</formula>
    </cfRule>
  </conditionalFormatting>
  <conditionalFormatting sqref="D402:J413">
    <cfRule type="cellIs" dxfId="421" priority="432" stopIfTrue="1" operator="greaterThan">
      <formula>0</formula>
    </cfRule>
  </conditionalFormatting>
  <conditionalFormatting sqref="G402:G413">
    <cfRule type="cellIs" dxfId="420" priority="431" stopIfTrue="1" operator="greaterThan">
      <formula>0</formula>
    </cfRule>
  </conditionalFormatting>
  <conditionalFormatting sqref="F402:F413">
    <cfRule type="cellIs" dxfId="419" priority="430" stopIfTrue="1" operator="greaterThan">
      <formula>0</formula>
    </cfRule>
  </conditionalFormatting>
  <conditionalFormatting sqref="E402:E413">
    <cfRule type="cellIs" dxfId="418" priority="429" stopIfTrue="1" operator="greaterThan">
      <formula>0</formula>
    </cfRule>
  </conditionalFormatting>
  <conditionalFormatting sqref="D402:D413">
    <cfRule type="cellIs" dxfId="417" priority="428" stopIfTrue="1" operator="greaterThan">
      <formula>0</formula>
    </cfRule>
  </conditionalFormatting>
  <conditionalFormatting sqref="G402:G413">
    <cfRule type="cellIs" dxfId="416" priority="427" stopIfTrue="1" operator="greaterThan">
      <formula>0</formula>
    </cfRule>
  </conditionalFormatting>
  <conditionalFormatting sqref="H402:H413">
    <cfRule type="cellIs" dxfId="415" priority="426" stopIfTrue="1" operator="greaterThan">
      <formula>0</formula>
    </cfRule>
  </conditionalFormatting>
  <conditionalFormatting sqref="J402:J413">
    <cfRule type="cellIs" dxfId="414" priority="425" stopIfTrue="1" operator="greaterThan">
      <formula>0</formula>
    </cfRule>
  </conditionalFormatting>
  <conditionalFormatting sqref="J402:J413">
    <cfRule type="cellIs" dxfId="413" priority="424" stopIfTrue="1" operator="greaterThan">
      <formula>0</formula>
    </cfRule>
  </conditionalFormatting>
  <conditionalFormatting sqref="L402:L413">
    <cfRule type="cellIs" dxfId="412" priority="423" stopIfTrue="1" operator="greaterThan">
      <formula>0</formula>
    </cfRule>
  </conditionalFormatting>
  <conditionalFormatting sqref="N402:N413">
    <cfRule type="cellIs" dxfId="411" priority="422" stopIfTrue="1" operator="greaterThan">
      <formula>0</formula>
    </cfRule>
  </conditionalFormatting>
  <conditionalFormatting sqref="O402:O413">
    <cfRule type="cellIs" dxfId="410" priority="421" stopIfTrue="1" operator="greaterThan">
      <formula>0</formula>
    </cfRule>
  </conditionalFormatting>
  <conditionalFormatting sqref="P402:P413">
    <cfRule type="cellIs" dxfId="409" priority="420" stopIfTrue="1" operator="greaterThan">
      <formula>0</formula>
    </cfRule>
  </conditionalFormatting>
  <conditionalFormatting sqref="Q402:Q413">
    <cfRule type="cellIs" dxfId="408" priority="419" stopIfTrue="1" operator="greaterThan">
      <formula>0</formula>
    </cfRule>
  </conditionalFormatting>
  <conditionalFormatting sqref="R402:R413">
    <cfRule type="cellIs" dxfId="407" priority="418" stopIfTrue="1" operator="greaterThan">
      <formula>0</formula>
    </cfRule>
  </conditionalFormatting>
  <conditionalFormatting sqref="S402:S413">
    <cfRule type="cellIs" dxfId="406" priority="417" stopIfTrue="1" operator="greaterThan">
      <formula>0</formula>
    </cfRule>
  </conditionalFormatting>
  <conditionalFormatting sqref="U402:U413">
    <cfRule type="cellIs" dxfId="405" priority="416" stopIfTrue="1" operator="greaterThan">
      <formula>0</formula>
    </cfRule>
  </conditionalFormatting>
  <conditionalFormatting sqref="V402:V413">
    <cfRule type="cellIs" dxfId="404" priority="415" stopIfTrue="1" operator="greaterThan">
      <formula>0</formula>
    </cfRule>
  </conditionalFormatting>
  <conditionalFormatting sqref="W402:W413">
    <cfRule type="cellIs" dxfId="403" priority="414" stopIfTrue="1" operator="lessThan">
      <formula>0</formula>
    </cfRule>
  </conditionalFormatting>
  <conditionalFormatting sqref="W402:W413">
    <cfRule type="cellIs" dxfId="402" priority="413" stopIfTrue="1" operator="greaterThan">
      <formula>0</formula>
    </cfRule>
  </conditionalFormatting>
  <conditionalFormatting sqref="X402:X413">
    <cfRule type="cellIs" dxfId="401" priority="412" stopIfTrue="1" operator="greaterThan">
      <formula>0</formula>
    </cfRule>
  </conditionalFormatting>
  <conditionalFormatting sqref="Y402:Y413">
    <cfRule type="cellIs" dxfId="400" priority="411" stopIfTrue="1" operator="greaterThan">
      <formula>0</formula>
    </cfRule>
  </conditionalFormatting>
  <conditionalFormatting sqref="Z402:Z413">
    <cfRule type="cellIs" dxfId="399" priority="410" stopIfTrue="1" operator="greaterThan">
      <formula>0</formula>
    </cfRule>
  </conditionalFormatting>
  <conditionalFormatting sqref="AA403:AA413">
    <cfRule type="cellIs" dxfId="398" priority="409" stopIfTrue="1" operator="greaterThan">
      <formula>0</formula>
    </cfRule>
  </conditionalFormatting>
  <conditionalFormatting sqref="AA402">
    <cfRule type="cellIs" dxfId="397" priority="408" stopIfTrue="1" operator="lessThan">
      <formula>0</formula>
    </cfRule>
  </conditionalFormatting>
  <conditionalFormatting sqref="AA402">
    <cfRule type="cellIs" dxfId="396" priority="407" stopIfTrue="1" operator="greaterThan">
      <formula>0</formula>
    </cfRule>
  </conditionalFormatting>
  <conditionalFormatting sqref="AA402">
    <cfRule type="cellIs" dxfId="395" priority="406" stopIfTrue="1" operator="greaterThan">
      <formula>0</formula>
    </cfRule>
  </conditionalFormatting>
  <conditionalFormatting sqref="A433:V436 K426:V432 A461:B461 D461:V461">
    <cfRule type="cellIs" dxfId="394" priority="405" stopIfTrue="1" operator="lessThan">
      <formula>0</formula>
    </cfRule>
  </conditionalFormatting>
  <conditionalFormatting sqref="L426:S436 L461:S461">
    <cfRule type="cellIs" dxfId="393" priority="404" stopIfTrue="1" operator="greaterThan">
      <formula>0</formula>
    </cfRule>
  </conditionalFormatting>
  <conditionalFormatting sqref="X427:IV436 A426:J432 X426:Z426 AB426:IV426 X461:IV461">
    <cfRule type="cellIs" dxfId="392" priority="403" stopIfTrue="1" operator="lessThan">
      <formula>0</formula>
    </cfRule>
  </conditionalFormatting>
  <conditionalFormatting sqref="U426:V436 X427:AA436 X426:Z426 X461:AA461 U461:V461">
    <cfRule type="cellIs" dxfId="391" priority="402" stopIfTrue="1" operator="greaterThan">
      <formula>0</formula>
    </cfRule>
  </conditionalFormatting>
  <conditionalFormatting sqref="D426:J436 D461:J461">
    <cfRule type="cellIs" dxfId="390" priority="401" stopIfTrue="1" operator="greaterThan">
      <formula>0</formula>
    </cfRule>
  </conditionalFormatting>
  <conditionalFormatting sqref="G426:G436 G461">
    <cfRule type="cellIs" dxfId="389" priority="400" stopIfTrue="1" operator="greaterThan">
      <formula>0</formula>
    </cfRule>
  </conditionalFormatting>
  <conditionalFormatting sqref="F426:F436 F461">
    <cfRule type="cellIs" dxfId="388" priority="399" stopIfTrue="1" operator="greaterThan">
      <formula>0</formula>
    </cfRule>
  </conditionalFormatting>
  <conditionalFormatting sqref="E426:E436 E461">
    <cfRule type="cellIs" dxfId="387" priority="398" stopIfTrue="1" operator="greaterThan">
      <formula>0</formula>
    </cfRule>
  </conditionalFormatting>
  <conditionalFormatting sqref="D426:D436 D461">
    <cfRule type="cellIs" dxfId="386" priority="397" stopIfTrue="1" operator="greaterThan">
      <formula>0</formula>
    </cfRule>
  </conditionalFormatting>
  <conditionalFormatting sqref="G426:G436 G461">
    <cfRule type="cellIs" dxfId="385" priority="396" stopIfTrue="1" operator="greaterThan">
      <formula>0</formula>
    </cfRule>
  </conditionalFormatting>
  <conditionalFormatting sqref="H426:H436 H461">
    <cfRule type="cellIs" dxfId="384" priority="395" stopIfTrue="1" operator="greaterThan">
      <formula>0</formula>
    </cfRule>
  </conditionalFormatting>
  <conditionalFormatting sqref="J426:J436 J461">
    <cfRule type="cellIs" dxfId="383" priority="394" stopIfTrue="1" operator="greaterThan">
      <formula>0</formula>
    </cfRule>
  </conditionalFormatting>
  <conditionalFormatting sqref="J426:J436 J461">
    <cfRule type="cellIs" dxfId="382" priority="393" stopIfTrue="1" operator="greaterThan">
      <formula>0</formula>
    </cfRule>
  </conditionalFormatting>
  <conditionalFormatting sqref="L426:L436 L461">
    <cfRule type="cellIs" dxfId="381" priority="392" stopIfTrue="1" operator="greaterThan">
      <formula>0</formula>
    </cfRule>
  </conditionalFormatting>
  <conditionalFormatting sqref="N426:N436 N461">
    <cfRule type="cellIs" dxfId="380" priority="391" stopIfTrue="1" operator="greaterThan">
      <formula>0</formula>
    </cfRule>
  </conditionalFormatting>
  <conditionalFormatting sqref="O426:O436 O461">
    <cfRule type="cellIs" dxfId="379" priority="390" stopIfTrue="1" operator="greaterThan">
      <formula>0</formula>
    </cfRule>
  </conditionalFormatting>
  <conditionalFormatting sqref="P426:P436 P461">
    <cfRule type="cellIs" dxfId="378" priority="389" stopIfTrue="1" operator="greaterThan">
      <formula>0</formula>
    </cfRule>
  </conditionalFormatting>
  <conditionalFormatting sqref="Q426:Q436 Q461">
    <cfRule type="cellIs" dxfId="377" priority="388" stopIfTrue="1" operator="greaterThan">
      <formula>0</formula>
    </cfRule>
  </conditionalFormatting>
  <conditionalFormatting sqref="R426:R436 R461">
    <cfRule type="cellIs" dxfId="376" priority="387" stopIfTrue="1" operator="greaterThan">
      <formula>0</formula>
    </cfRule>
  </conditionalFormatting>
  <conditionalFormatting sqref="S426:S436 S461">
    <cfRule type="cellIs" dxfId="375" priority="386" stopIfTrue="1" operator="greaterThan">
      <formula>0</formula>
    </cfRule>
  </conditionalFormatting>
  <conditionalFormatting sqref="U426:U436 U461">
    <cfRule type="cellIs" dxfId="374" priority="385" stopIfTrue="1" operator="greaterThan">
      <formula>0</formula>
    </cfRule>
  </conditionalFormatting>
  <conditionalFormatting sqref="V426:V436 V461">
    <cfRule type="cellIs" dxfId="373" priority="384" stopIfTrue="1" operator="greaterThan">
      <formula>0</formula>
    </cfRule>
  </conditionalFormatting>
  <conditionalFormatting sqref="W426:W436 W461">
    <cfRule type="cellIs" dxfId="372" priority="383" stopIfTrue="1" operator="lessThan">
      <formula>0</formula>
    </cfRule>
  </conditionalFormatting>
  <conditionalFormatting sqref="W426:W436 W461">
    <cfRule type="cellIs" dxfId="371" priority="382" stopIfTrue="1" operator="greaterThan">
      <formula>0</formula>
    </cfRule>
  </conditionalFormatting>
  <conditionalFormatting sqref="X426:X436 X461">
    <cfRule type="cellIs" dxfId="370" priority="381" stopIfTrue="1" operator="greaterThan">
      <formula>0</formula>
    </cfRule>
  </conditionalFormatting>
  <conditionalFormatting sqref="Y426:Y436 Y461">
    <cfRule type="cellIs" dxfId="369" priority="380" stopIfTrue="1" operator="greaterThan">
      <formula>0</formula>
    </cfRule>
  </conditionalFormatting>
  <conditionalFormatting sqref="Z426:Z436 Z461">
    <cfRule type="cellIs" dxfId="368" priority="379" stopIfTrue="1" operator="greaterThan">
      <formula>0</formula>
    </cfRule>
  </conditionalFormatting>
  <conditionalFormatting sqref="AA427:AA436 AA461">
    <cfRule type="cellIs" dxfId="367" priority="378" stopIfTrue="1" operator="greaterThan">
      <formula>0</formula>
    </cfRule>
  </conditionalFormatting>
  <conditionalFormatting sqref="AA426">
    <cfRule type="cellIs" dxfId="366" priority="377" stopIfTrue="1" operator="lessThan">
      <formula>0</formula>
    </cfRule>
  </conditionalFormatting>
  <conditionalFormatting sqref="AA426">
    <cfRule type="cellIs" dxfId="365" priority="376" stopIfTrue="1" operator="greaterThan">
      <formula>0</formula>
    </cfRule>
  </conditionalFormatting>
  <conditionalFormatting sqref="AA426:AA427">
    <cfRule type="cellIs" dxfId="364" priority="375" stopIfTrue="1" operator="greaterThan">
      <formula>0</formula>
    </cfRule>
  </conditionalFormatting>
  <conditionalFormatting sqref="C461">
    <cfRule type="cellIs" dxfId="363" priority="374" stopIfTrue="1" operator="lessThan">
      <formula>0</formula>
    </cfRule>
  </conditionalFormatting>
  <conditionalFormatting sqref="A437:V437">
    <cfRule type="cellIs" dxfId="362" priority="372" stopIfTrue="1" operator="lessThan">
      <formula>0</formula>
    </cfRule>
  </conditionalFormatting>
  <conditionalFormatting sqref="L437:S437">
    <cfRule type="cellIs" dxfId="361" priority="371" stopIfTrue="1" operator="greaterThan">
      <formula>0</formula>
    </cfRule>
  </conditionalFormatting>
  <conditionalFormatting sqref="X437:IV437">
    <cfRule type="cellIs" dxfId="360" priority="370" stopIfTrue="1" operator="lessThan">
      <formula>0</formula>
    </cfRule>
  </conditionalFormatting>
  <conditionalFormatting sqref="U437:V437 X437:AA437">
    <cfRule type="cellIs" dxfId="359" priority="369" stopIfTrue="1" operator="greaterThan">
      <formula>0</formula>
    </cfRule>
  </conditionalFormatting>
  <conditionalFormatting sqref="D437:J437">
    <cfRule type="cellIs" dxfId="358" priority="368" stopIfTrue="1" operator="greaterThan">
      <formula>0</formula>
    </cfRule>
  </conditionalFormatting>
  <conditionalFormatting sqref="G437">
    <cfRule type="cellIs" dxfId="357" priority="367" stopIfTrue="1" operator="greaterThan">
      <formula>0</formula>
    </cfRule>
  </conditionalFormatting>
  <conditionalFormatting sqref="F437">
    <cfRule type="cellIs" dxfId="356" priority="366" stopIfTrue="1" operator="greaterThan">
      <formula>0</formula>
    </cfRule>
  </conditionalFormatting>
  <conditionalFormatting sqref="E437">
    <cfRule type="cellIs" dxfId="355" priority="365" stopIfTrue="1" operator="greaterThan">
      <formula>0</formula>
    </cfRule>
  </conditionalFormatting>
  <conditionalFormatting sqref="D437">
    <cfRule type="cellIs" dxfId="354" priority="364" stopIfTrue="1" operator="greaterThan">
      <formula>0</formula>
    </cfRule>
  </conditionalFormatting>
  <conditionalFormatting sqref="G437">
    <cfRule type="cellIs" dxfId="353" priority="363" stopIfTrue="1" operator="greaterThan">
      <formula>0</formula>
    </cfRule>
  </conditionalFormatting>
  <conditionalFormatting sqref="H437">
    <cfRule type="cellIs" dxfId="352" priority="362" stopIfTrue="1" operator="greaterThan">
      <formula>0</formula>
    </cfRule>
  </conditionalFormatting>
  <conditionalFormatting sqref="J437">
    <cfRule type="cellIs" dxfId="351" priority="361" stopIfTrue="1" operator="greaterThan">
      <formula>0</formula>
    </cfRule>
  </conditionalFormatting>
  <conditionalFormatting sqref="J437">
    <cfRule type="cellIs" dxfId="350" priority="360" stopIfTrue="1" operator="greaterThan">
      <formula>0</formula>
    </cfRule>
  </conditionalFormatting>
  <conditionalFormatting sqref="L437">
    <cfRule type="cellIs" dxfId="349" priority="359" stopIfTrue="1" operator="greaterThan">
      <formula>0</formula>
    </cfRule>
  </conditionalFormatting>
  <conditionalFormatting sqref="N437">
    <cfRule type="cellIs" dxfId="348" priority="358" stopIfTrue="1" operator="greaterThan">
      <formula>0</formula>
    </cfRule>
  </conditionalFormatting>
  <conditionalFormatting sqref="O437">
    <cfRule type="cellIs" dxfId="347" priority="357" stopIfTrue="1" operator="greaterThan">
      <formula>0</formula>
    </cfRule>
  </conditionalFormatting>
  <conditionalFormatting sqref="P437">
    <cfRule type="cellIs" dxfId="346" priority="356" stopIfTrue="1" operator="greaterThan">
      <formula>0</formula>
    </cfRule>
  </conditionalFormatting>
  <conditionalFormatting sqref="Q437">
    <cfRule type="cellIs" dxfId="345" priority="355" stopIfTrue="1" operator="greaterThan">
      <formula>0</formula>
    </cfRule>
  </conditionalFormatting>
  <conditionalFormatting sqref="R437">
    <cfRule type="cellIs" dxfId="344" priority="354" stopIfTrue="1" operator="greaterThan">
      <formula>0</formula>
    </cfRule>
  </conditionalFormatting>
  <conditionalFormatting sqref="S437">
    <cfRule type="cellIs" dxfId="343" priority="353" stopIfTrue="1" operator="greaterThan">
      <formula>0</formula>
    </cfRule>
  </conditionalFormatting>
  <conditionalFormatting sqref="U437">
    <cfRule type="cellIs" dxfId="342" priority="352" stopIfTrue="1" operator="greaterThan">
      <formula>0</formula>
    </cfRule>
  </conditionalFormatting>
  <conditionalFormatting sqref="V437">
    <cfRule type="cellIs" dxfId="341" priority="351" stopIfTrue="1" operator="greaterThan">
      <formula>0</formula>
    </cfRule>
  </conditionalFormatting>
  <conditionalFormatting sqref="W437">
    <cfRule type="cellIs" dxfId="340" priority="350" stopIfTrue="1" operator="lessThan">
      <formula>0</formula>
    </cfRule>
  </conditionalFormatting>
  <conditionalFormatting sqref="W437">
    <cfRule type="cellIs" dxfId="339" priority="349" stopIfTrue="1" operator="greaterThan">
      <formula>0</formula>
    </cfRule>
  </conditionalFormatting>
  <conditionalFormatting sqref="X437">
    <cfRule type="cellIs" dxfId="338" priority="348" stopIfTrue="1" operator="greaterThan">
      <formula>0</formula>
    </cfRule>
  </conditionalFormatting>
  <conditionalFormatting sqref="Y437">
    <cfRule type="cellIs" dxfId="337" priority="347" stopIfTrue="1" operator="greaterThan">
      <formula>0</formula>
    </cfRule>
  </conditionalFormatting>
  <conditionalFormatting sqref="Z437">
    <cfRule type="cellIs" dxfId="336" priority="346" stopIfTrue="1" operator="greaterThan">
      <formula>0</formula>
    </cfRule>
  </conditionalFormatting>
  <conditionalFormatting sqref="AA437">
    <cfRule type="cellIs" dxfId="335" priority="345" stopIfTrue="1" operator="greaterThan">
      <formula>0</formula>
    </cfRule>
  </conditionalFormatting>
  <conditionalFormatting sqref="D452:V460 A447:V448">
    <cfRule type="cellIs" dxfId="334" priority="344" stopIfTrue="1" operator="lessThan">
      <formula>0</formula>
    </cfRule>
  </conditionalFormatting>
  <conditionalFormatting sqref="L452:S460 L447:S448">
    <cfRule type="cellIs" dxfId="333" priority="343" stopIfTrue="1" operator="greaterThan">
      <formula>0</formula>
    </cfRule>
  </conditionalFormatting>
  <conditionalFormatting sqref="X452:IV460 X447:IV448">
    <cfRule type="cellIs" dxfId="332" priority="342" stopIfTrue="1" operator="lessThan">
      <formula>0</formula>
    </cfRule>
  </conditionalFormatting>
  <conditionalFormatting sqref="X452:AA460 U452:V460 U447:V448 X447:AA448">
    <cfRule type="cellIs" dxfId="331" priority="341" stopIfTrue="1" operator="greaterThan">
      <formula>0</formula>
    </cfRule>
  </conditionalFormatting>
  <conditionalFormatting sqref="D452:J460 D447:J448">
    <cfRule type="cellIs" dxfId="330" priority="340" stopIfTrue="1" operator="greaterThan">
      <formula>0</formula>
    </cfRule>
  </conditionalFormatting>
  <conditionalFormatting sqref="G452:G460 G447:G448">
    <cfRule type="cellIs" dxfId="329" priority="339" stopIfTrue="1" operator="greaterThan">
      <formula>0</formula>
    </cfRule>
  </conditionalFormatting>
  <conditionalFormatting sqref="F452:F460 F447:F448">
    <cfRule type="cellIs" dxfId="328" priority="338" stopIfTrue="1" operator="greaterThan">
      <formula>0</formula>
    </cfRule>
  </conditionalFormatting>
  <conditionalFormatting sqref="E452:E460 E447:E448">
    <cfRule type="cellIs" dxfId="327" priority="337" stopIfTrue="1" operator="greaterThan">
      <formula>0</formula>
    </cfRule>
  </conditionalFormatting>
  <conditionalFormatting sqref="D452:D460 D447:D448">
    <cfRule type="cellIs" dxfId="326" priority="336" stopIfTrue="1" operator="greaterThan">
      <formula>0</formula>
    </cfRule>
  </conditionalFormatting>
  <conditionalFormatting sqref="G452:G460 G447:G448">
    <cfRule type="cellIs" dxfId="325" priority="335" stopIfTrue="1" operator="greaterThan">
      <formula>0</formula>
    </cfRule>
  </conditionalFormatting>
  <conditionalFormatting sqref="H452:H460 H447:H448">
    <cfRule type="cellIs" dxfId="324" priority="334" stopIfTrue="1" operator="greaterThan">
      <formula>0</formula>
    </cfRule>
  </conditionalFormatting>
  <conditionalFormatting sqref="J452:J460 J447:J448">
    <cfRule type="cellIs" dxfId="323" priority="333" stopIfTrue="1" operator="greaterThan">
      <formula>0</formula>
    </cfRule>
  </conditionalFormatting>
  <conditionalFormatting sqref="J452:J460 J447:J448">
    <cfRule type="cellIs" dxfId="322" priority="332" stopIfTrue="1" operator="greaterThan">
      <formula>0</formula>
    </cfRule>
  </conditionalFormatting>
  <conditionalFormatting sqref="L452:L460 L447:L448">
    <cfRule type="cellIs" dxfId="321" priority="331" stopIfTrue="1" operator="greaterThan">
      <formula>0</formula>
    </cfRule>
  </conditionalFormatting>
  <conditionalFormatting sqref="N452:N460 N447:N448">
    <cfRule type="cellIs" dxfId="320" priority="330" stopIfTrue="1" operator="greaterThan">
      <formula>0</formula>
    </cfRule>
  </conditionalFormatting>
  <conditionalFormatting sqref="O452:O460 O447:O448">
    <cfRule type="cellIs" dxfId="319" priority="329" stopIfTrue="1" operator="greaterThan">
      <formula>0</formula>
    </cfRule>
  </conditionalFormatting>
  <conditionalFormatting sqref="P452:P460 P447:P448">
    <cfRule type="cellIs" dxfId="318" priority="328" stopIfTrue="1" operator="greaterThan">
      <formula>0</formula>
    </cfRule>
  </conditionalFormatting>
  <conditionalFormatting sqref="Q452:Q460 Q447:Q448">
    <cfRule type="cellIs" dxfId="317" priority="327" stopIfTrue="1" operator="greaterThan">
      <formula>0</formula>
    </cfRule>
  </conditionalFormatting>
  <conditionalFormatting sqref="R452:R460 R447:R448">
    <cfRule type="cellIs" dxfId="316" priority="326" stopIfTrue="1" operator="greaterThan">
      <formula>0</formula>
    </cfRule>
  </conditionalFormatting>
  <conditionalFormatting sqref="S452:S460 S447:S448">
    <cfRule type="cellIs" dxfId="315" priority="325" stopIfTrue="1" operator="greaterThan">
      <formula>0</formula>
    </cfRule>
  </conditionalFormatting>
  <conditionalFormatting sqref="U452:U460 U447:U448">
    <cfRule type="cellIs" dxfId="314" priority="324" stopIfTrue="1" operator="greaterThan">
      <formula>0</formula>
    </cfRule>
  </conditionalFormatting>
  <conditionalFormatting sqref="V452:V460 V447:V448">
    <cfRule type="cellIs" dxfId="313" priority="323" stopIfTrue="1" operator="greaterThan">
      <formula>0</formula>
    </cfRule>
  </conditionalFormatting>
  <conditionalFormatting sqref="W452:W460 W447:W448">
    <cfRule type="cellIs" dxfId="312" priority="322" stopIfTrue="1" operator="lessThan">
      <formula>0</formula>
    </cfRule>
  </conditionalFormatting>
  <conditionalFormatting sqref="W452:W460 W447:W448">
    <cfRule type="cellIs" dxfId="311" priority="321" stopIfTrue="1" operator="greaterThan">
      <formula>0</formula>
    </cfRule>
  </conditionalFormatting>
  <conditionalFormatting sqref="X452:X460 X447:X448">
    <cfRule type="cellIs" dxfId="310" priority="320" stopIfTrue="1" operator="greaterThan">
      <formula>0</formula>
    </cfRule>
  </conditionalFormatting>
  <conditionalFormatting sqref="Y452:Y460 Y447:Y448">
    <cfRule type="cellIs" dxfId="309" priority="319" stopIfTrue="1" operator="greaterThan">
      <formula>0</formula>
    </cfRule>
  </conditionalFormatting>
  <conditionalFormatting sqref="Z452:Z460 Z447:Z448">
    <cfRule type="cellIs" dxfId="308" priority="318" stopIfTrue="1" operator="greaterThan">
      <formula>0</formula>
    </cfRule>
  </conditionalFormatting>
  <conditionalFormatting sqref="AA452:AA460 AA447:AA448">
    <cfRule type="cellIs" dxfId="307" priority="317" stopIfTrue="1" operator="greaterThan">
      <formula>0</formula>
    </cfRule>
  </conditionalFormatting>
  <conditionalFormatting sqref="Z461">
    <cfRule type="cellIs" dxfId="306" priority="197" stopIfTrue="1" operator="greaterThan">
      <formula>0</formula>
    </cfRule>
  </conditionalFormatting>
  <conditionalFormatting sqref="AA461">
    <cfRule type="cellIs" dxfId="305" priority="196" stopIfTrue="1" operator="greaterThan">
      <formula>0</formula>
    </cfRule>
  </conditionalFormatting>
  <conditionalFormatting sqref="A445:R445 K438:V445 D452:V460 A446:V448">
    <cfRule type="cellIs" dxfId="304" priority="313" stopIfTrue="1" operator="lessThan">
      <formula>0</formula>
    </cfRule>
  </conditionalFormatting>
  <conditionalFormatting sqref="L452:S460 L438:S448">
    <cfRule type="cellIs" dxfId="303" priority="312" stopIfTrue="1" operator="greaterThan">
      <formula>0</formula>
    </cfRule>
  </conditionalFormatting>
  <conditionalFormatting sqref="X439:IV439 X438:Z438 AB438:IV438 X440:Z447 AB440:IV447 X452:IV460 A438:J447 X446:IV448">
    <cfRule type="cellIs" dxfId="302" priority="311" stopIfTrue="1" operator="lessThan">
      <formula>0</formula>
    </cfRule>
  </conditionalFormatting>
  <conditionalFormatting sqref="X439:AA439 X438:Z438 X440:Z447 X452:AA460 U452:V460 U438:V448 X446:AA448">
    <cfRule type="cellIs" dxfId="301" priority="310" stopIfTrue="1" operator="greaterThan">
      <formula>0</formula>
    </cfRule>
  </conditionalFormatting>
  <conditionalFormatting sqref="D452:J460 D438:J448">
    <cfRule type="cellIs" dxfId="300" priority="309" stopIfTrue="1" operator="greaterThan">
      <formula>0</formula>
    </cfRule>
  </conditionalFormatting>
  <conditionalFormatting sqref="G452:G460 G438:G448">
    <cfRule type="cellIs" dxfId="299" priority="308" stopIfTrue="1" operator="greaterThan">
      <formula>0</formula>
    </cfRule>
  </conditionalFormatting>
  <conditionalFormatting sqref="F452:F460 F438:F448">
    <cfRule type="cellIs" dxfId="298" priority="307" stopIfTrue="1" operator="greaterThan">
      <formula>0</formula>
    </cfRule>
  </conditionalFormatting>
  <conditionalFormatting sqref="E452:E460 E438:E448">
    <cfRule type="cellIs" dxfId="297" priority="306" stopIfTrue="1" operator="greaterThan">
      <formula>0</formula>
    </cfRule>
  </conditionalFormatting>
  <conditionalFormatting sqref="D452:D460 D438:D448">
    <cfRule type="cellIs" dxfId="296" priority="305" stopIfTrue="1" operator="greaterThan">
      <formula>0</formula>
    </cfRule>
  </conditionalFormatting>
  <conditionalFormatting sqref="G452:G460 G438:G448">
    <cfRule type="cellIs" dxfId="295" priority="304" stopIfTrue="1" operator="greaterThan">
      <formula>0</formula>
    </cfRule>
  </conditionalFormatting>
  <conditionalFormatting sqref="H452:H460 H438:H448">
    <cfRule type="cellIs" dxfId="294" priority="303" stopIfTrue="1" operator="greaterThan">
      <formula>0</formula>
    </cfRule>
  </conditionalFormatting>
  <conditionalFormatting sqref="J452:J460 J438:J448">
    <cfRule type="cellIs" dxfId="293" priority="302" stopIfTrue="1" operator="greaterThan">
      <formula>0</formula>
    </cfRule>
  </conditionalFormatting>
  <conditionalFormatting sqref="J452:J460 J438:J448">
    <cfRule type="cellIs" dxfId="292" priority="301" stopIfTrue="1" operator="greaterThan">
      <formula>0</formula>
    </cfRule>
  </conditionalFormatting>
  <conditionalFormatting sqref="L452:L460 L438:L448">
    <cfRule type="cellIs" dxfId="291" priority="300" stopIfTrue="1" operator="greaterThan">
      <formula>0</formula>
    </cfRule>
  </conditionalFormatting>
  <conditionalFormatting sqref="N452:N460 N438:N448">
    <cfRule type="cellIs" dxfId="290" priority="299" stopIfTrue="1" operator="greaterThan">
      <formula>0</formula>
    </cfRule>
  </conditionalFormatting>
  <conditionalFormatting sqref="O452:O460 O438:O448">
    <cfRule type="cellIs" dxfId="289" priority="298" stopIfTrue="1" operator="greaterThan">
      <formula>0</formula>
    </cfRule>
  </conditionalFormatting>
  <conditionalFormatting sqref="P452:P460 P438:P448">
    <cfRule type="cellIs" dxfId="288" priority="297" stopIfTrue="1" operator="greaterThan">
      <formula>0</formula>
    </cfRule>
  </conditionalFormatting>
  <conditionalFormatting sqref="Q452:Q460 Q438:Q448">
    <cfRule type="cellIs" dxfId="287" priority="296" stopIfTrue="1" operator="greaterThan">
      <formula>0</formula>
    </cfRule>
  </conditionalFormatting>
  <conditionalFormatting sqref="R452:R460 R438:R448">
    <cfRule type="cellIs" dxfId="286" priority="295" stopIfTrue="1" operator="greaterThan">
      <formula>0</formula>
    </cfRule>
  </conditionalFormatting>
  <conditionalFormatting sqref="S438:S444 S446">
    <cfRule type="cellIs" dxfId="285" priority="294" stopIfTrue="1" operator="greaterThan">
      <formula>0</formula>
    </cfRule>
  </conditionalFormatting>
  <conditionalFormatting sqref="U452:U460 U438:U448">
    <cfRule type="cellIs" dxfId="284" priority="293" stopIfTrue="1" operator="greaterThan">
      <formula>0</formula>
    </cfRule>
  </conditionalFormatting>
  <conditionalFormatting sqref="V452:V460 V438:V448">
    <cfRule type="cellIs" dxfId="283" priority="292" stopIfTrue="1" operator="greaterThan">
      <formula>0</formula>
    </cfRule>
  </conditionalFormatting>
  <conditionalFormatting sqref="W452:W460 W438:W448">
    <cfRule type="cellIs" dxfId="282" priority="291" stopIfTrue="1" operator="lessThan">
      <formula>0</formula>
    </cfRule>
  </conditionalFormatting>
  <conditionalFormatting sqref="W452:W460 W438:W448">
    <cfRule type="cellIs" dxfId="281" priority="290" stopIfTrue="1" operator="greaterThan">
      <formula>0</formula>
    </cfRule>
  </conditionalFormatting>
  <conditionalFormatting sqref="X452:X460 X438:X448">
    <cfRule type="cellIs" dxfId="280" priority="289" stopIfTrue="1" operator="greaterThan">
      <formula>0</formula>
    </cfRule>
  </conditionalFormatting>
  <conditionalFormatting sqref="Y452:Y460 Y438:Y448">
    <cfRule type="cellIs" dxfId="279" priority="288" stopIfTrue="1" operator="greaterThan">
      <formula>0</formula>
    </cfRule>
  </conditionalFormatting>
  <conditionalFormatting sqref="Z452:Z460 Z438:Z448">
    <cfRule type="cellIs" dxfId="278" priority="287" stopIfTrue="1" operator="greaterThan">
      <formula>0</formula>
    </cfRule>
  </conditionalFormatting>
  <conditionalFormatting sqref="AA439 AA446">
    <cfRule type="cellIs" dxfId="277" priority="286" stopIfTrue="1" operator="greaterThan">
      <formula>0</formula>
    </cfRule>
  </conditionalFormatting>
  <conditionalFormatting sqref="AA438">
    <cfRule type="cellIs" dxfId="276" priority="285" stopIfTrue="1" operator="lessThan">
      <formula>0</formula>
    </cfRule>
  </conditionalFormatting>
  <conditionalFormatting sqref="AA438">
    <cfRule type="cellIs" dxfId="275" priority="284" stopIfTrue="1" operator="greaterThan">
      <formula>0</formula>
    </cfRule>
  </conditionalFormatting>
  <conditionalFormatting sqref="AA438:AA439">
    <cfRule type="cellIs" dxfId="274" priority="283" stopIfTrue="1" operator="greaterThan">
      <formula>0</formula>
    </cfRule>
  </conditionalFormatting>
  <conditionalFormatting sqref="A437:V437">
    <cfRule type="cellIs" dxfId="273" priority="282" stopIfTrue="1" operator="lessThan">
      <formula>0</formula>
    </cfRule>
  </conditionalFormatting>
  <conditionalFormatting sqref="L437:S437">
    <cfRule type="cellIs" dxfId="272" priority="281" stopIfTrue="1" operator="greaterThan">
      <formula>0</formula>
    </cfRule>
  </conditionalFormatting>
  <conditionalFormatting sqref="X437:IV437">
    <cfRule type="cellIs" dxfId="271" priority="280" stopIfTrue="1" operator="lessThan">
      <formula>0</formula>
    </cfRule>
  </conditionalFormatting>
  <conditionalFormatting sqref="U437:V437 X437:AA437">
    <cfRule type="cellIs" dxfId="270" priority="279" stopIfTrue="1" operator="greaterThan">
      <formula>0</formula>
    </cfRule>
  </conditionalFormatting>
  <conditionalFormatting sqref="D437:J437">
    <cfRule type="cellIs" dxfId="269" priority="278" stopIfTrue="1" operator="greaterThan">
      <formula>0</formula>
    </cfRule>
  </conditionalFormatting>
  <conditionalFormatting sqref="G437">
    <cfRule type="cellIs" dxfId="268" priority="277" stopIfTrue="1" operator="greaterThan">
      <formula>0</formula>
    </cfRule>
  </conditionalFormatting>
  <conditionalFormatting sqref="F437">
    <cfRule type="cellIs" dxfId="267" priority="276" stopIfTrue="1" operator="greaterThan">
      <formula>0</formula>
    </cfRule>
  </conditionalFormatting>
  <conditionalFormatting sqref="E437">
    <cfRule type="cellIs" dxfId="266" priority="275" stopIfTrue="1" operator="greaterThan">
      <formula>0</formula>
    </cfRule>
  </conditionalFormatting>
  <conditionalFormatting sqref="D437">
    <cfRule type="cellIs" dxfId="265" priority="274" stopIfTrue="1" operator="greaterThan">
      <formula>0</formula>
    </cfRule>
  </conditionalFormatting>
  <conditionalFormatting sqref="G437">
    <cfRule type="cellIs" dxfId="264" priority="273" stopIfTrue="1" operator="greaterThan">
      <formula>0</formula>
    </cfRule>
  </conditionalFormatting>
  <conditionalFormatting sqref="H437">
    <cfRule type="cellIs" dxfId="263" priority="272" stopIfTrue="1" operator="greaterThan">
      <formula>0</formula>
    </cfRule>
  </conditionalFormatting>
  <conditionalFormatting sqref="J437">
    <cfRule type="cellIs" dxfId="262" priority="271" stopIfTrue="1" operator="greaterThan">
      <formula>0</formula>
    </cfRule>
  </conditionalFormatting>
  <conditionalFormatting sqref="J437">
    <cfRule type="cellIs" dxfId="261" priority="270" stopIfTrue="1" operator="greaterThan">
      <formula>0</formula>
    </cfRule>
  </conditionalFormatting>
  <conditionalFormatting sqref="L437">
    <cfRule type="cellIs" dxfId="260" priority="269" stopIfTrue="1" operator="greaterThan">
      <formula>0</formula>
    </cfRule>
  </conditionalFormatting>
  <conditionalFormatting sqref="N437">
    <cfRule type="cellIs" dxfId="259" priority="268" stopIfTrue="1" operator="greaterThan">
      <formula>0</formula>
    </cfRule>
  </conditionalFormatting>
  <conditionalFormatting sqref="O437">
    <cfRule type="cellIs" dxfId="258" priority="267" stopIfTrue="1" operator="greaterThan">
      <formula>0</formula>
    </cfRule>
  </conditionalFormatting>
  <conditionalFormatting sqref="P437">
    <cfRule type="cellIs" dxfId="257" priority="266" stopIfTrue="1" operator="greaterThan">
      <formula>0</formula>
    </cfRule>
  </conditionalFormatting>
  <conditionalFormatting sqref="Q437">
    <cfRule type="cellIs" dxfId="256" priority="265" stopIfTrue="1" operator="greaterThan">
      <formula>0</formula>
    </cfRule>
  </conditionalFormatting>
  <conditionalFormatting sqref="R437">
    <cfRule type="cellIs" dxfId="255" priority="264" stopIfTrue="1" operator="greaterThan">
      <formula>0</formula>
    </cfRule>
  </conditionalFormatting>
  <conditionalFormatting sqref="S437">
    <cfRule type="cellIs" dxfId="254" priority="263" stopIfTrue="1" operator="greaterThan">
      <formula>0</formula>
    </cfRule>
  </conditionalFormatting>
  <conditionalFormatting sqref="U437">
    <cfRule type="cellIs" dxfId="253" priority="262" stopIfTrue="1" operator="greaterThan">
      <formula>0</formula>
    </cfRule>
  </conditionalFormatting>
  <conditionalFormatting sqref="V437">
    <cfRule type="cellIs" dxfId="252" priority="261" stopIfTrue="1" operator="greaterThan">
      <formula>0</formula>
    </cfRule>
  </conditionalFormatting>
  <conditionalFormatting sqref="W437">
    <cfRule type="cellIs" dxfId="251" priority="260" stopIfTrue="1" operator="lessThan">
      <formula>0</formula>
    </cfRule>
  </conditionalFormatting>
  <conditionalFormatting sqref="W437">
    <cfRule type="cellIs" dxfId="250" priority="259" stopIfTrue="1" operator="greaterThan">
      <formula>0</formula>
    </cfRule>
  </conditionalFormatting>
  <conditionalFormatting sqref="X437">
    <cfRule type="cellIs" dxfId="249" priority="258" stopIfTrue="1" operator="greaterThan">
      <formula>0</formula>
    </cfRule>
  </conditionalFormatting>
  <conditionalFormatting sqref="Y437">
    <cfRule type="cellIs" dxfId="248" priority="257" stopIfTrue="1" operator="greaterThan">
      <formula>0</formula>
    </cfRule>
  </conditionalFormatting>
  <conditionalFormatting sqref="Z437">
    <cfRule type="cellIs" dxfId="247" priority="256" stopIfTrue="1" operator="greaterThan">
      <formula>0</formula>
    </cfRule>
  </conditionalFormatting>
  <conditionalFormatting sqref="AA437">
    <cfRule type="cellIs" dxfId="246" priority="255" stopIfTrue="1" operator="greaterThan">
      <formula>0</formula>
    </cfRule>
  </conditionalFormatting>
  <conditionalFormatting sqref="A445:R445 K438:V445 D452:V460 A446:V448">
    <cfRule type="cellIs" dxfId="245" priority="254" stopIfTrue="1" operator="lessThan">
      <formula>0</formula>
    </cfRule>
  </conditionalFormatting>
  <conditionalFormatting sqref="L452:S460 L438:S448">
    <cfRule type="cellIs" dxfId="244" priority="253" stopIfTrue="1" operator="greaterThan">
      <formula>0</formula>
    </cfRule>
  </conditionalFormatting>
  <conditionalFormatting sqref="X439:IV439 X438:Z438 AB438:IV438 X440:Z447 AB440:IV447 X452:IV460 A438:J447 X446:IV448">
    <cfRule type="cellIs" dxfId="243" priority="252" stopIfTrue="1" operator="lessThan">
      <formula>0</formula>
    </cfRule>
  </conditionalFormatting>
  <conditionalFormatting sqref="X439:AA439 X438:Z438 X440:Z447 X452:AA460 U452:V460 U438:V448 X446:AA448">
    <cfRule type="cellIs" dxfId="242" priority="251" stopIfTrue="1" operator="greaterThan">
      <formula>0</formula>
    </cfRule>
  </conditionalFormatting>
  <conditionalFormatting sqref="D452:J460 D438:J448">
    <cfRule type="cellIs" dxfId="241" priority="250" stopIfTrue="1" operator="greaterThan">
      <formula>0</formula>
    </cfRule>
  </conditionalFormatting>
  <conditionalFormatting sqref="G452:G460 G438:G448">
    <cfRule type="cellIs" dxfId="240" priority="249" stopIfTrue="1" operator="greaterThan">
      <formula>0</formula>
    </cfRule>
  </conditionalFormatting>
  <conditionalFormatting sqref="F452:F460 F438:F448">
    <cfRule type="cellIs" dxfId="239" priority="248" stopIfTrue="1" operator="greaterThan">
      <formula>0</formula>
    </cfRule>
  </conditionalFormatting>
  <conditionalFormatting sqref="E452:E460 E438:E448">
    <cfRule type="cellIs" dxfId="238" priority="247" stopIfTrue="1" operator="greaterThan">
      <formula>0</formula>
    </cfRule>
  </conditionalFormatting>
  <conditionalFormatting sqref="D452:D460 D438:D448">
    <cfRule type="cellIs" dxfId="237" priority="246" stopIfTrue="1" operator="greaterThan">
      <formula>0</formula>
    </cfRule>
  </conditionalFormatting>
  <conditionalFormatting sqref="G452:G460 G438:G448">
    <cfRule type="cellIs" dxfId="236" priority="245" stopIfTrue="1" operator="greaterThan">
      <formula>0</formula>
    </cfRule>
  </conditionalFormatting>
  <conditionalFormatting sqref="H452:H460 H438:H448">
    <cfRule type="cellIs" dxfId="235" priority="244" stopIfTrue="1" operator="greaterThan">
      <formula>0</formula>
    </cfRule>
  </conditionalFormatting>
  <conditionalFormatting sqref="J452:J460 J438:J448">
    <cfRule type="cellIs" dxfId="234" priority="243" stopIfTrue="1" operator="greaterThan">
      <formula>0</formula>
    </cfRule>
  </conditionalFormatting>
  <conditionalFormatting sqref="J452:J460 J438:J448">
    <cfRule type="cellIs" dxfId="233" priority="242" stopIfTrue="1" operator="greaterThan">
      <formula>0</formula>
    </cfRule>
  </conditionalFormatting>
  <conditionalFormatting sqref="L452:L460 L438:L448">
    <cfRule type="cellIs" dxfId="232" priority="241" stopIfTrue="1" operator="greaterThan">
      <formula>0</formula>
    </cfRule>
  </conditionalFormatting>
  <conditionalFormatting sqref="N452:N460 N438:N448">
    <cfRule type="cellIs" dxfId="231" priority="240" stopIfTrue="1" operator="greaterThan">
      <formula>0</formula>
    </cfRule>
  </conditionalFormatting>
  <conditionalFormatting sqref="O452:O460 O438:O448">
    <cfRule type="cellIs" dxfId="230" priority="239" stopIfTrue="1" operator="greaterThan">
      <formula>0</formula>
    </cfRule>
  </conditionalFormatting>
  <conditionalFormatting sqref="P452:P460 P438:P448">
    <cfRule type="cellIs" dxfId="229" priority="238" stopIfTrue="1" operator="greaterThan">
      <formula>0</formula>
    </cfRule>
  </conditionalFormatting>
  <conditionalFormatting sqref="Q452:Q460 Q438:Q448">
    <cfRule type="cellIs" dxfId="228" priority="237" stopIfTrue="1" operator="greaterThan">
      <formula>0</formula>
    </cfRule>
  </conditionalFormatting>
  <conditionalFormatting sqref="R452:R460 R438:R448">
    <cfRule type="cellIs" dxfId="227" priority="236" stopIfTrue="1" operator="greaterThan">
      <formula>0</formula>
    </cfRule>
  </conditionalFormatting>
  <conditionalFormatting sqref="S452:S460 S438:S448">
    <cfRule type="cellIs" dxfId="226" priority="235" stopIfTrue="1" operator="greaterThan">
      <formula>0</formula>
    </cfRule>
  </conditionalFormatting>
  <conditionalFormatting sqref="U452:U460 U438:U448">
    <cfRule type="cellIs" dxfId="225" priority="234" stopIfTrue="1" operator="greaterThan">
      <formula>0</formula>
    </cfRule>
  </conditionalFormatting>
  <conditionalFormatting sqref="V452:V460 V438:V448">
    <cfRule type="cellIs" dxfId="224" priority="233" stopIfTrue="1" operator="greaterThan">
      <formula>0</formula>
    </cfRule>
  </conditionalFormatting>
  <conditionalFormatting sqref="W452:W460 W438:W448">
    <cfRule type="cellIs" dxfId="223" priority="232" stopIfTrue="1" operator="lessThan">
      <formula>0</formula>
    </cfRule>
  </conditionalFormatting>
  <conditionalFormatting sqref="W452:W460 W438:W448">
    <cfRule type="cellIs" dxfId="222" priority="231" stopIfTrue="1" operator="greaterThan">
      <formula>0</formula>
    </cfRule>
  </conditionalFormatting>
  <conditionalFormatting sqref="X452:X460 X438:X448">
    <cfRule type="cellIs" dxfId="221" priority="230" stopIfTrue="1" operator="greaterThan">
      <formula>0</formula>
    </cfRule>
  </conditionalFormatting>
  <conditionalFormatting sqref="Y452:Y460 Y438:Y448">
    <cfRule type="cellIs" dxfId="220" priority="229" stopIfTrue="1" operator="greaterThan">
      <formula>0</formula>
    </cfRule>
  </conditionalFormatting>
  <conditionalFormatting sqref="Z452:Z460 Z438:Z448">
    <cfRule type="cellIs" dxfId="219" priority="228" stopIfTrue="1" operator="greaterThan">
      <formula>0</formula>
    </cfRule>
  </conditionalFormatting>
  <conditionalFormatting sqref="AA439 AA452:AA460 AA446:AA448">
    <cfRule type="cellIs" dxfId="218" priority="227" stopIfTrue="1" operator="greaterThan">
      <formula>0</formula>
    </cfRule>
  </conditionalFormatting>
  <conditionalFormatting sqref="AA438">
    <cfRule type="cellIs" dxfId="217" priority="226" stopIfTrue="1" operator="lessThan">
      <formula>0</formula>
    </cfRule>
  </conditionalFormatting>
  <conditionalFormatting sqref="AA438">
    <cfRule type="cellIs" dxfId="216" priority="225" stopIfTrue="1" operator="greaterThan">
      <formula>0</formula>
    </cfRule>
  </conditionalFormatting>
  <conditionalFormatting sqref="AA438:AA439">
    <cfRule type="cellIs" dxfId="215" priority="224" stopIfTrue="1" operator="greaterThan">
      <formula>0</formula>
    </cfRule>
  </conditionalFormatting>
  <conditionalFormatting sqref="A461:V461">
    <cfRule type="cellIs" dxfId="214" priority="223" stopIfTrue="1" operator="lessThan">
      <formula>0</formula>
    </cfRule>
  </conditionalFormatting>
  <conditionalFormatting sqref="L461:S461">
    <cfRule type="cellIs" dxfId="213" priority="222" stopIfTrue="1" operator="greaterThan">
      <formula>0</formula>
    </cfRule>
  </conditionalFormatting>
  <conditionalFormatting sqref="X461:IV461">
    <cfRule type="cellIs" dxfId="212" priority="221" stopIfTrue="1" operator="lessThan">
      <formula>0</formula>
    </cfRule>
  </conditionalFormatting>
  <conditionalFormatting sqref="U461:V461 X461:AA461">
    <cfRule type="cellIs" dxfId="211" priority="220" stopIfTrue="1" operator="greaterThan">
      <formula>0</formula>
    </cfRule>
  </conditionalFormatting>
  <conditionalFormatting sqref="D461:J461">
    <cfRule type="cellIs" dxfId="210" priority="219" stopIfTrue="1" operator="greaterThan">
      <formula>0</formula>
    </cfRule>
  </conditionalFormatting>
  <conditionalFormatting sqref="G461">
    <cfRule type="cellIs" dxfId="209" priority="218" stopIfTrue="1" operator="greaterThan">
      <formula>0</formula>
    </cfRule>
  </conditionalFormatting>
  <conditionalFormatting sqref="F461">
    <cfRule type="cellIs" dxfId="208" priority="217" stopIfTrue="1" operator="greaterThan">
      <formula>0</formula>
    </cfRule>
  </conditionalFormatting>
  <conditionalFormatting sqref="E461">
    <cfRule type="cellIs" dxfId="207" priority="216" stopIfTrue="1" operator="greaterThan">
      <formula>0</formula>
    </cfRule>
  </conditionalFormatting>
  <conditionalFormatting sqref="D461">
    <cfRule type="cellIs" dxfId="206" priority="215" stopIfTrue="1" operator="greaterThan">
      <formula>0</formula>
    </cfRule>
  </conditionalFormatting>
  <conditionalFormatting sqref="G461">
    <cfRule type="cellIs" dxfId="205" priority="214" stopIfTrue="1" operator="greaterThan">
      <formula>0</formula>
    </cfRule>
  </conditionalFormatting>
  <conditionalFormatting sqref="H461">
    <cfRule type="cellIs" dxfId="204" priority="213" stopIfTrue="1" operator="greaterThan">
      <formula>0</formula>
    </cfRule>
  </conditionalFormatting>
  <conditionalFormatting sqref="J461">
    <cfRule type="cellIs" dxfId="203" priority="212" stopIfTrue="1" operator="greaterThan">
      <formula>0</formula>
    </cfRule>
  </conditionalFormatting>
  <conditionalFormatting sqref="J461">
    <cfRule type="cellIs" dxfId="202" priority="211" stopIfTrue="1" operator="greaterThan">
      <formula>0</formula>
    </cfRule>
  </conditionalFormatting>
  <conditionalFormatting sqref="L461">
    <cfRule type="cellIs" dxfId="201" priority="210" stopIfTrue="1" operator="greaterThan">
      <formula>0</formula>
    </cfRule>
  </conditionalFormatting>
  <conditionalFormatting sqref="N461">
    <cfRule type="cellIs" dxfId="200" priority="209" stopIfTrue="1" operator="greaterThan">
      <formula>0</formula>
    </cfRule>
  </conditionalFormatting>
  <conditionalFormatting sqref="O461">
    <cfRule type="cellIs" dxfId="199" priority="208" stopIfTrue="1" operator="greaterThan">
      <formula>0</formula>
    </cfRule>
  </conditionalFormatting>
  <conditionalFormatting sqref="P461">
    <cfRule type="cellIs" dxfId="198" priority="207" stopIfTrue="1" operator="greaterThan">
      <formula>0</formula>
    </cfRule>
  </conditionalFormatting>
  <conditionalFormatting sqref="Q461">
    <cfRule type="cellIs" dxfId="197" priority="206" stopIfTrue="1" operator="greaterThan">
      <formula>0</formula>
    </cfRule>
  </conditionalFormatting>
  <conditionalFormatting sqref="R461">
    <cfRule type="cellIs" dxfId="196" priority="205" stopIfTrue="1" operator="greaterThan">
      <formula>0</formula>
    </cfRule>
  </conditionalFormatting>
  <conditionalFormatting sqref="S461">
    <cfRule type="cellIs" dxfId="195" priority="204" stopIfTrue="1" operator="greaterThan">
      <formula>0</formula>
    </cfRule>
  </conditionalFormatting>
  <conditionalFormatting sqref="U461">
    <cfRule type="cellIs" dxfId="194" priority="203" stopIfTrue="1" operator="greaterThan">
      <formula>0</formula>
    </cfRule>
  </conditionalFormatting>
  <conditionalFormatting sqref="V461">
    <cfRule type="cellIs" dxfId="193" priority="202" stopIfTrue="1" operator="greaterThan">
      <formula>0</formula>
    </cfRule>
  </conditionalFormatting>
  <conditionalFormatting sqref="W461">
    <cfRule type="cellIs" dxfId="192" priority="201" stopIfTrue="1" operator="lessThan">
      <formula>0</formula>
    </cfRule>
  </conditionalFormatting>
  <conditionalFormatting sqref="W461">
    <cfRule type="cellIs" dxfId="191" priority="200" stopIfTrue="1" operator="greaterThan">
      <formula>0</formula>
    </cfRule>
  </conditionalFormatting>
  <conditionalFormatting sqref="X461">
    <cfRule type="cellIs" dxfId="190" priority="199" stopIfTrue="1" operator="greaterThan">
      <formula>0</formula>
    </cfRule>
  </conditionalFormatting>
  <conditionalFormatting sqref="Y461">
    <cfRule type="cellIs" dxfId="189" priority="198" stopIfTrue="1" operator="greaterThan">
      <formula>0</formula>
    </cfRule>
  </conditionalFormatting>
  <conditionalFormatting sqref="AA440">
    <cfRule type="cellIs" dxfId="188" priority="195" stopIfTrue="1" operator="lessThan">
      <formula>0</formula>
    </cfRule>
  </conditionalFormatting>
  <conditionalFormatting sqref="AA440">
    <cfRule type="cellIs" dxfId="187" priority="194" stopIfTrue="1" operator="greaterThan">
      <formula>0</formula>
    </cfRule>
  </conditionalFormatting>
  <conditionalFormatting sqref="AA440">
    <cfRule type="cellIs" dxfId="186" priority="193" stopIfTrue="1" operator="greaterThan">
      <formula>0</formula>
    </cfRule>
  </conditionalFormatting>
  <conditionalFormatting sqref="AA441:AA448">
    <cfRule type="cellIs" dxfId="185" priority="192" stopIfTrue="1" operator="lessThan">
      <formula>0</formula>
    </cfRule>
  </conditionalFormatting>
  <conditionalFormatting sqref="AA441:AA448">
    <cfRule type="cellIs" dxfId="184" priority="191" stopIfTrue="1" operator="greaterThan">
      <formula>0</formula>
    </cfRule>
  </conditionalFormatting>
  <conditionalFormatting sqref="AA441:AA448">
    <cfRule type="cellIs" dxfId="183" priority="190" stopIfTrue="1" operator="greaterThan">
      <formula>0</formula>
    </cfRule>
  </conditionalFormatting>
  <conditionalFormatting sqref="S445">
    <cfRule type="cellIs" dxfId="182" priority="188" stopIfTrue="1" operator="lessThan">
      <formula>0</formula>
    </cfRule>
  </conditionalFormatting>
  <conditionalFormatting sqref="S445">
    <cfRule type="cellIs" dxfId="181" priority="187" stopIfTrue="1" operator="greaterThan">
      <formula>0</formula>
    </cfRule>
  </conditionalFormatting>
  <conditionalFormatting sqref="S445">
    <cfRule type="cellIs" dxfId="180" priority="186" stopIfTrue="1" operator="greaterThan">
      <formula>0</formula>
    </cfRule>
  </conditionalFormatting>
  <conditionalFormatting sqref="S445">
    <cfRule type="cellIs" dxfId="179" priority="185" stopIfTrue="1" operator="lessThan">
      <formula>0</formula>
    </cfRule>
  </conditionalFormatting>
  <conditionalFormatting sqref="S445">
    <cfRule type="cellIs" dxfId="178" priority="184" stopIfTrue="1" operator="greaterThan">
      <formula>0</formula>
    </cfRule>
  </conditionalFormatting>
  <conditionalFormatting sqref="S445">
    <cfRule type="cellIs" dxfId="177" priority="183" stopIfTrue="1" operator="greaterThan">
      <formula>0</formula>
    </cfRule>
  </conditionalFormatting>
  <conditionalFormatting sqref="S445 S447">
    <cfRule type="cellIs" dxfId="176" priority="182" stopIfTrue="1" operator="greaterThan">
      <formula>0</formula>
    </cfRule>
  </conditionalFormatting>
  <conditionalFormatting sqref="AA447">
    <cfRule type="cellIs" dxfId="175" priority="181" stopIfTrue="1" operator="greaterThan">
      <formula>0</formula>
    </cfRule>
  </conditionalFormatting>
  <conditionalFormatting sqref="S446">
    <cfRule type="cellIs" dxfId="174" priority="180" stopIfTrue="1" operator="lessThan">
      <formula>0</formula>
    </cfRule>
  </conditionalFormatting>
  <conditionalFormatting sqref="S446">
    <cfRule type="cellIs" dxfId="173" priority="179" stopIfTrue="1" operator="greaterThan">
      <formula>0</formula>
    </cfRule>
  </conditionalFormatting>
  <conditionalFormatting sqref="S446">
    <cfRule type="cellIs" dxfId="172" priority="178" stopIfTrue="1" operator="greaterThan">
      <formula>0</formula>
    </cfRule>
  </conditionalFormatting>
  <conditionalFormatting sqref="S446">
    <cfRule type="cellIs" dxfId="171" priority="177" stopIfTrue="1" operator="lessThan">
      <formula>0</formula>
    </cfRule>
  </conditionalFormatting>
  <conditionalFormatting sqref="S446">
    <cfRule type="cellIs" dxfId="170" priority="176" stopIfTrue="1" operator="greaterThan">
      <formula>0</formula>
    </cfRule>
  </conditionalFormatting>
  <conditionalFormatting sqref="S446">
    <cfRule type="cellIs" dxfId="169" priority="175" stopIfTrue="1" operator="greaterThan">
      <formula>0</formula>
    </cfRule>
  </conditionalFormatting>
  <conditionalFormatting sqref="S447">
    <cfRule type="cellIs" dxfId="168" priority="174" stopIfTrue="1" operator="greaterThan">
      <formula>0</formula>
    </cfRule>
  </conditionalFormatting>
  <conditionalFormatting sqref="AA447">
    <cfRule type="cellIs" dxfId="167" priority="173" stopIfTrue="1" operator="greaterThan">
      <formula>0</formula>
    </cfRule>
  </conditionalFormatting>
  <conditionalFormatting sqref="S446">
    <cfRule type="cellIs" dxfId="166" priority="172" stopIfTrue="1" operator="lessThan">
      <formula>0</formula>
    </cfRule>
  </conditionalFormatting>
  <conditionalFormatting sqref="S446">
    <cfRule type="cellIs" dxfId="165" priority="171" stopIfTrue="1" operator="greaterThan">
      <formula>0</formula>
    </cfRule>
  </conditionalFormatting>
  <conditionalFormatting sqref="S446">
    <cfRule type="cellIs" dxfId="164" priority="170" stopIfTrue="1" operator="greaterThan">
      <formula>0</formula>
    </cfRule>
  </conditionalFormatting>
  <conditionalFormatting sqref="S446">
    <cfRule type="cellIs" dxfId="163" priority="169" stopIfTrue="1" operator="lessThan">
      <formula>0</formula>
    </cfRule>
  </conditionalFormatting>
  <conditionalFormatting sqref="S446">
    <cfRule type="cellIs" dxfId="162" priority="168" stopIfTrue="1" operator="greaterThan">
      <formula>0</formula>
    </cfRule>
  </conditionalFormatting>
  <conditionalFormatting sqref="S446">
    <cfRule type="cellIs" dxfId="161" priority="167" stopIfTrue="1" operator="greaterThan">
      <formula>0</formula>
    </cfRule>
  </conditionalFormatting>
  <conditionalFormatting sqref="S446 S448 S452:S460">
    <cfRule type="cellIs" dxfId="160" priority="166" stopIfTrue="1" operator="greaterThan">
      <formula>0</formula>
    </cfRule>
  </conditionalFormatting>
  <conditionalFormatting sqref="AA448 AA452:AA460">
    <cfRule type="cellIs" dxfId="159" priority="165" stopIfTrue="1" operator="greaterThan">
      <formula>0</formula>
    </cfRule>
  </conditionalFormatting>
  <conditionalFormatting sqref="S447">
    <cfRule type="cellIs" dxfId="158" priority="164" stopIfTrue="1" operator="lessThan">
      <formula>0</formula>
    </cfRule>
  </conditionalFormatting>
  <conditionalFormatting sqref="S447">
    <cfRule type="cellIs" dxfId="157" priority="163" stopIfTrue="1" operator="greaterThan">
      <formula>0</formula>
    </cfRule>
  </conditionalFormatting>
  <conditionalFormatting sqref="S447">
    <cfRule type="cellIs" dxfId="156" priority="162" stopIfTrue="1" operator="greaterThan">
      <formula>0</formula>
    </cfRule>
  </conditionalFormatting>
  <conditionalFormatting sqref="S447">
    <cfRule type="cellIs" dxfId="155" priority="161" stopIfTrue="1" operator="lessThan">
      <formula>0</formula>
    </cfRule>
  </conditionalFormatting>
  <conditionalFormatting sqref="S447">
    <cfRule type="cellIs" dxfId="154" priority="160" stopIfTrue="1" operator="greaterThan">
      <formula>0</formula>
    </cfRule>
  </conditionalFormatting>
  <conditionalFormatting sqref="S447">
    <cfRule type="cellIs" dxfId="153" priority="159" stopIfTrue="1" operator="greaterThan">
      <formula>0</formula>
    </cfRule>
  </conditionalFormatting>
  <conditionalFormatting sqref="A459:C460">
    <cfRule type="cellIs" dxfId="152" priority="157" stopIfTrue="1" operator="lessThan">
      <formula>0</formula>
    </cfRule>
  </conditionalFormatting>
  <conditionalFormatting sqref="A457:C460">
    <cfRule type="cellIs" dxfId="151" priority="156" stopIfTrue="1" operator="lessThan">
      <formula>0</formula>
    </cfRule>
  </conditionalFormatting>
  <conditionalFormatting sqref="A452:C458">
    <cfRule type="cellIs" dxfId="150" priority="155" stopIfTrue="1" operator="lessThan">
      <formula>0</formula>
    </cfRule>
  </conditionalFormatting>
  <conditionalFormatting sqref="AA450">
    <cfRule type="cellIs" dxfId="149" priority="36" stopIfTrue="1" operator="lessThan">
      <formula>0</formula>
    </cfRule>
  </conditionalFormatting>
  <conditionalFormatting sqref="A457:C460">
    <cfRule type="cellIs" dxfId="148" priority="153" stopIfTrue="1" operator="lessThan">
      <formula>0</formula>
    </cfRule>
  </conditionalFormatting>
  <conditionalFormatting sqref="A452:C458">
    <cfRule type="cellIs" dxfId="147" priority="152" stopIfTrue="1" operator="lessThan">
      <formula>0</formula>
    </cfRule>
  </conditionalFormatting>
  <conditionalFormatting sqref="A449:B449 D449:V449">
    <cfRule type="cellIs" dxfId="146" priority="151" stopIfTrue="1" operator="lessThan">
      <formula>0</formula>
    </cfRule>
  </conditionalFormatting>
  <conditionalFormatting sqref="L449:S449">
    <cfRule type="cellIs" dxfId="145" priority="150" stopIfTrue="1" operator="greaterThan">
      <formula>0</formula>
    </cfRule>
  </conditionalFormatting>
  <conditionalFormatting sqref="X449:IV449">
    <cfRule type="cellIs" dxfId="144" priority="149" stopIfTrue="1" operator="lessThan">
      <formula>0</formula>
    </cfRule>
  </conditionalFormatting>
  <conditionalFormatting sqref="U449:V449 X449:AA449">
    <cfRule type="cellIs" dxfId="143" priority="148" stopIfTrue="1" operator="greaterThan">
      <formula>0</formula>
    </cfRule>
  </conditionalFormatting>
  <conditionalFormatting sqref="D449:J449">
    <cfRule type="cellIs" dxfId="142" priority="147" stopIfTrue="1" operator="greaterThan">
      <formula>0</formula>
    </cfRule>
  </conditionalFormatting>
  <conditionalFormatting sqref="G449">
    <cfRule type="cellIs" dxfId="141" priority="146" stopIfTrue="1" operator="greaterThan">
      <formula>0</formula>
    </cfRule>
  </conditionalFormatting>
  <conditionalFormatting sqref="F449">
    <cfRule type="cellIs" dxfId="140" priority="145" stopIfTrue="1" operator="greaterThan">
      <formula>0</formula>
    </cfRule>
  </conditionalFormatting>
  <conditionalFormatting sqref="E449">
    <cfRule type="cellIs" dxfId="139" priority="144" stopIfTrue="1" operator="greaterThan">
      <formula>0</formula>
    </cfRule>
  </conditionalFormatting>
  <conditionalFormatting sqref="D449">
    <cfRule type="cellIs" dxfId="138" priority="143" stopIfTrue="1" operator="greaterThan">
      <formula>0</formula>
    </cfRule>
  </conditionalFormatting>
  <conditionalFormatting sqref="G449">
    <cfRule type="cellIs" dxfId="137" priority="142" stopIfTrue="1" operator="greaterThan">
      <formula>0</formula>
    </cfRule>
  </conditionalFormatting>
  <conditionalFormatting sqref="H449">
    <cfRule type="cellIs" dxfId="136" priority="141" stopIfTrue="1" operator="greaterThan">
      <formula>0</formula>
    </cfRule>
  </conditionalFormatting>
  <conditionalFormatting sqref="J449">
    <cfRule type="cellIs" dxfId="135" priority="140" stopIfTrue="1" operator="greaterThan">
      <formula>0</formula>
    </cfRule>
  </conditionalFormatting>
  <conditionalFormatting sqref="J449">
    <cfRule type="cellIs" dxfId="134" priority="139" stopIfTrue="1" operator="greaterThan">
      <formula>0</formula>
    </cfRule>
  </conditionalFormatting>
  <conditionalFormatting sqref="L449">
    <cfRule type="cellIs" dxfId="133" priority="138" stopIfTrue="1" operator="greaterThan">
      <formula>0</formula>
    </cfRule>
  </conditionalFormatting>
  <conditionalFormatting sqref="N449">
    <cfRule type="cellIs" dxfId="132" priority="137" stopIfTrue="1" operator="greaterThan">
      <formula>0</formula>
    </cfRule>
  </conditionalFormatting>
  <conditionalFormatting sqref="O449">
    <cfRule type="cellIs" dxfId="131" priority="136" stopIfTrue="1" operator="greaterThan">
      <formula>0</formula>
    </cfRule>
  </conditionalFormatting>
  <conditionalFormatting sqref="P449">
    <cfRule type="cellIs" dxfId="130" priority="135" stopIfTrue="1" operator="greaterThan">
      <formula>0</formula>
    </cfRule>
  </conditionalFormatting>
  <conditionalFormatting sqref="Q449">
    <cfRule type="cellIs" dxfId="129" priority="134" stopIfTrue="1" operator="greaterThan">
      <formula>0</formula>
    </cfRule>
  </conditionalFormatting>
  <conditionalFormatting sqref="R449">
    <cfRule type="cellIs" dxfId="128" priority="133" stopIfTrue="1" operator="greaterThan">
      <formula>0</formula>
    </cfRule>
  </conditionalFormatting>
  <conditionalFormatting sqref="S449">
    <cfRule type="cellIs" dxfId="127" priority="132" stopIfTrue="1" operator="greaterThan">
      <formula>0</formula>
    </cfRule>
  </conditionalFormatting>
  <conditionalFormatting sqref="U449">
    <cfRule type="cellIs" dxfId="126" priority="131" stopIfTrue="1" operator="greaterThan">
      <formula>0</formula>
    </cfRule>
  </conditionalFormatting>
  <conditionalFormatting sqref="V449">
    <cfRule type="cellIs" dxfId="125" priority="130" stopIfTrue="1" operator="greaterThan">
      <formula>0</formula>
    </cfRule>
  </conditionalFormatting>
  <conditionalFormatting sqref="X449">
    <cfRule type="cellIs" dxfId="124" priority="127" stopIfTrue="1" operator="greaterThan">
      <formula>0</formula>
    </cfRule>
  </conditionalFormatting>
  <conditionalFormatting sqref="Y449">
    <cfRule type="cellIs" dxfId="123" priority="126" stopIfTrue="1" operator="greaterThan">
      <formula>0</formula>
    </cfRule>
  </conditionalFormatting>
  <conditionalFormatting sqref="Z449">
    <cfRule type="cellIs" dxfId="122" priority="125" stopIfTrue="1" operator="greaterThan">
      <formula>0</formula>
    </cfRule>
  </conditionalFormatting>
  <conditionalFormatting sqref="AA449">
    <cfRule type="cellIs" dxfId="121" priority="124" stopIfTrue="1" operator="greaterThan">
      <formula>0</formula>
    </cfRule>
  </conditionalFormatting>
  <conditionalFormatting sqref="K450:V451">
    <cfRule type="cellIs" dxfId="120" priority="123" stopIfTrue="1" operator="lessThan">
      <formula>0</formula>
    </cfRule>
  </conditionalFormatting>
  <conditionalFormatting sqref="L450:S451">
    <cfRule type="cellIs" dxfId="119" priority="122" stopIfTrue="1" operator="greaterThan">
      <formula>0</formula>
    </cfRule>
  </conditionalFormatting>
  <conditionalFormatting sqref="X451:IV451 X450:Z450 AB450:IV450 A450:J451">
    <cfRule type="cellIs" dxfId="118" priority="121" stopIfTrue="1" operator="lessThan">
      <formula>0</formula>
    </cfRule>
  </conditionalFormatting>
  <conditionalFormatting sqref="X451:AA451 X450:Z450 U450:V451">
    <cfRule type="cellIs" dxfId="117" priority="120" stopIfTrue="1" operator="greaterThan">
      <formula>0</formula>
    </cfRule>
  </conditionalFormatting>
  <conditionalFormatting sqref="D450:J451">
    <cfRule type="cellIs" dxfId="116" priority="119" stopIfTrue="1" operator="greaterThan">
      <formula>0</formula>
    </cfRule>
  </conditionalFormatting>
  <conditionalFormatting sqref="G450:G451">
    <cfRule type="cellIs" dxfId="115" priority="118" stopIfTrue="1" operator="greaterThan">
      <formula>0</formula>
    </cfRule>
  </conditionalFormatting>
  <conditionalFormatting sqref="F450:F451">
    <cfRule type="cellIs" dxfId="114" priority="117" stopIfTrue="1" operator="greaterThan">
      <formula>0</formula>
    </cfRule>
  </conditionalFormatting>
  <conditionalFormatting sqref="E450:E451">
    <cfRule type="cellIs" dxfId="113" priority="116" stopIfTrue="1" operator="greaterThan">
      <formula>0</formula>
    </cfRule>
  </conditionalFormatting>
  <conditionalFormatting sqref="D450:D451">
    <cfRule type="cellIs" dxfId="112" priority="115" stopIfTrue="1" operator="greaterThan">
      <formula>0</formula>
    </cfRule>
  </conditionalFormatting>
  <conditionalFormatting sqref="G450:G451">
    <cfRule type="cellIs" dxfId="111" priority="114" stopIfTrue="1" operator="greaterThan">
      <formula>0</formula>
    </cfRule>
  </conditionalFormatting>
  <conditionalFormatting sqref="H450:H451">
    <cfRule type="cellIs" dxfId="110" priority="113" stopIfTrue="1" operator="greaterThan">
      <formula>0</formula>
    </cfRule>
  </conditionalFormatting>
  <conditionalFormatting sqref="J450:J451">
    <cfRule type="cellIs" dxfId="109" priority="112" stopIfTrue="1" operator="greaterThan">
      <formula>0</formula>
    </cfRule>
  </conditionalFormatting>
  <conditionalFormatting sqref="J450:J451">
    <cfRule type="cellIs" dxfId="108" priority="111" stopIfTrue="1" operator="greaterThan">
      <formula>0</formula>
    </cfRule>
  </conditionalFormatting>
  <conditionalFormatting sqref="L450:L451">
    <cfRule type="cellIs" dxfId="107" priority="110" stopIfTrue="1" operator="greaterThan">
      <formula>0</formula>
    </cfRule>
  </conditionalFormatting>
  <conditionalFormatting sqref="N450:N451">
    <cfRule type="cellIs" dxfId="106" priority="109" stopIfTrue="1" operator="greaterThan">
      <formula>0</formula>
    </cfRule>
  </conditionalFormatting>
  <conditionalFormatting sqref="O450:O451">
    <cfRule type="cellIs" dxfId="105" priority="108" stopIfTrue="1" operator="greaterThan">
      <formula>0</formula>
    </cfRule>
  </conditionalFormatting>
  <conditionalFormatting sqref="P450:P451">
    <cfRule type="cellIs" dxfId="104" priority="107" stopIfTrue="1" operator="greaterThan">
      <formula>0</formula>
    </cfRule>
  </conditionalFormatting>
  <conditionalFormatting sqref="Q450:Q451">
    <cfRule type="cellIs" dxfId="103" priority="106" stopIfTrue="1" operator="greaterThan">
      <formula>0</formula>
    </cfRule>
  </conditionalFormatting>
  <conditionalFormatting sqref="R450:R451">
    <cfRule type="cellIs" dxfId="102" priority="105" stopIfTrue="1" operator="greaterThan">
      <formula>0</formula>
    </cfRule>
  </conditionalFormatting>
  <conditionalFormatting sqref="S450:S451">
    <cfRule type="cellIs" dxfId="101" priority="104" stopIfTrue="1" operator="greaterThan">
      <formula>0</formula>
    </cfRule>
  </conditionalFormatting>
  <conditionalFormatting sqref="U450:U451">
    <cfRule type="cellIs" dxfId="100" priority="103" stopIfTrue="1" operator="greaterThan">
      <formula>0</formula>
    </cfRule>
  </conditionalFormatting>
  <conditionalFormatting sqref="V450:V451">
    <cfRule type="cellIs" dxfId="99" priority="102" stopIfTrue="1" operator="greaterThan">
      <formula>0</formula>
    </cfRule>
  </conditionalFormatting>
  <conditionalFormatting sqref="W450:W451">
    <cfRule type="cellIs" dxfId="98" priority="101" stopIfTrue="1" operator="lessThan">
      <formula>0</formula>
    </cfRule>
  </conditionalFormatting>
  <conditionalFormatting sqref="W450:W451">
    <cfRule type="cellIs" dxfId="97" priority="100" stopIfTrue="1" operator="greaterThan">
      <formula>0</formula>
    </cfRule>
  </conditionalFormatting>
  <conditionalFormatting sqref="X450:X451">
    <cfRule type="cellIs" dxfId="96" priority="99" stopIfTrue="1" operator="greaterThan">
      <formula>0</formula>
    </cfRule>
  </conditionalFormatting>
  <conditionalFormatting sqref="Y450:Y451">
    <cfRule type="cellIs" dxfId="95" priority="98" stopIfTrue="1" operator="greaterThan">
      <formula>0</formula>
    </cfRule>
  </conditionalFormatting>
  <conditionalFormatting sqref="Z450:Z451">
    <cfRule type="cellIs" dxfId="94" priority="97" stopIfTrue="1" operator="greaterThan">
      <formula>0</formula>
    </cfRule>
  </conditionalFormatting>
  <conditionalFormatting sqref="AA451">
    <cfRule type="cellIs" dxfId="93" priority="96" stopIfTrue="1" operator="greaterThan">
      <formula>0</formula>
    </cfRule>
  </conditionalFormatting>
  <conditionalFormatting sqref="AA450">
    <cfRule type="cellIs" dxfId="92" priority="95" stopIfTrue="1" operator="lessThan">
      <formula>0</formula>
    </cfRule>
  </conditionalFormatting>
  <conditionalFormatting sqref="AA450">
    <cfRule type="cellIs" dxfId="91" priority="94" stopIfTrue="1" operator="greaterThan">
      <formula>0</formula>
    </cfRule>
  </conditionalFormatting>
  <conditionalFormatting sqref="AA450:AA451">
    <cfRule type="cellIs" dxfId="90" priority="93" stopIfTrue="1" operator="greaterThan">
      <formula>0</formula>
    </cfRule>
  </conditionalFormatting>
  <conditionalFormatting sqref="A449:B449 D449:V449">
    <cfRule type="cellIs" dxfId="89" priority="92" stopIfTrue="1" operator="lessThan">
      <formula>0</formula>
    </cfRule>
  </conditionalFormatting>
  <conditionalFormatting sqref="L449:S449">
    <cfRule type="cellIs" dxfId="88" priority="91" stopIfTrue="1" operator="greaterThan">
      <formula>0</formula>
    </cfRule>
  </conditionalFormatting>
  <conditionalFormatting sqref="X449:IV449">
    <cfRule type="cellIs" dxfId="87" priority="90" stopIfTrue="1" operator="lessThan">
      <formula>0</formula>
    </cfRule>
  </conditionalFormatting>
  <conditionalFormatting sqref="U449:V449 X449:AA449">
    <cfRule type="cellIs" dxfId="86" priority="89" stopIfTrue="1" operator="greaterThan">
      <formula>0</formula>
    </cfRule>
  </conditionalFormatting>
  <conditionalFormatting sqref="D449:J449">
    <cfRule type="cellIs" dxfId="85" priority="88" stopIfTrue="1" operator="greaterThan">
      <formula>0</formula>
    </cfRule>
  </conditionalFormatting>
  <conditionalFormatting sqref="G449">
    <cfRule type="cellIs" dxfId="84" priority="87" stopIfTrue="1" operator="greaterThan">
      <formula>0</formula>
    </cfRule>
  </conditionalFormatting>
  <conditionalFormatting sqref="F449">
    <cfRule type="cellIs" dxfId="83" priority="86" stopIfTrue="1" operator="greaterThan">
      <formula>0</formula>
    </cfRule>
  </conditionalFormatting>
  <conditionalFormatting sqref="E449">
    <cfRule type="cellIs" dxfId="82" priority="85" stopIfTrue="1" operator="greaterThan">
      <formula>0</formula>
    </cfRule>
  </conditionalFormatting>
  <conditionalFormatting sqref="D449">
    <cfRule type="cellIs" dxfId="81" priority="84" stopIfTrue="1" operator="greaterThan">
      <formula>0</formula>
    </cfRule>
  </conditionalFormatting>
  <conditionalFormatting sqref="G449">
    <cfRule type="cellIs" dxfId="80" priority="83" stopIfTrue="1" operator="greaterThan">
      <formula>0</formula>
    </cfRule>
  </conditionalFormatting>
  <conditionalFormatting sqref="H449">
    <cfRule type="cellIs" dxfId="79" priority="82" stopIfTrue="1" operator="greaterThan">
      <formula>0</formula>
    </cfRule>
  </conditionalFormatting>
  <conditionalFormatting sqref="J449">
    <cfRule type="cellIs" dxfId="78" priority="81" stopIfTrue="1" operator="greaterThan">
      <formula>0</formula>
    </cfRule>
  </conditionalFormatting>
  <conditionalFormatting sqref="J449">
    <cfRule type="cellIs" dxfId="77" priority="80" stopIfTrue="1" operator="greaterThan">
      <formula>0</formula>
    </cfRule>
  </conditionalFormatting>
  <conditionalFormatting sqref="L449">
    <cfRule type="cellIs" dxfId="76" priority="79" stopIfTrue="1" operator="greaterThan">
      <formula>0</formula>
    </cfRule>
  </conditionalFormatting>
  <conditionalFormatting sqref="N449">
    <cfRule type="cellIs" dxfId="75" priority="78" stopIfTrue="1" operator="greaterThan">
      <formula>0</formula>
    </cfRule>
  </conditionalFormatting>
  <conditionalFormatting sqref="O449">
    <cfRule type="cellIs" dxfId="74" priority="77" stopIfTrue="1" operator="greaterThan">
      <formula>0</formula>
    </cfRule>
  </conditionalFormatting>
  <conditionalFormatting sqref="P449">
    <cfRule type="cellIs" dxfId="73" priority="76" stopIfTrue="1" operator="greaterThan">
      <formula>0</formula>
    </cfRule>
  </conditionalFormatting>
  <conditionalFormatting sqref="Q449">
    <cfRule type="cellIs" dxfId="72" priority="75" stopIfTrue="1" operator="greaterThan">
      <formula>0</formula>
    </cfRule>
  </conditionalFormatting>
  <conditionalFormatting sqref="R449">
    <cfRule type="cellIs" dxfId="71" priority="74" stopIfTrue="1" operator="greaterThan">
      <formula>0</formula>
    </cfRule>
  </conditionalFormatting>
  <conditionalFormatting sqref="S449">
    <cfRule type="cellIs" dxfId="70" priority="73" stopIfTrue="1" operator="greaterThan">
      <formula>0</formula>
    </cfRule>
  </conditionalFormatting>
  <conditionalFormatting sqref="U449">
    <cfRule type="cellIs" dxfId="69" priority="72" stopIfTrue="1" operator="greaterThan">
      <formula>0</formula>
    </cfRule>
  </conditionalFormatting>
  <conditionalFormatting sqref="V449">
    <cfRule type="cellIs" dxfId="68" priority="71" stopIfTrue="1" operator="greaterThan">
      <formula>0</formula>
    </cfRule>
  </conditionalFormatting>
  <conditionalFormatting sqref="X449">
    <cfRule type="cellIs" dxfId="67" priority="68" stopIfTrue="1" operator="greaterThan">
      <formula>0</formula>
    </cfRule>
  </conditionalFormatting>
  <conditionalFormatting sqref="Y449">
    <cfRule type="cellIs" dxfId="66" priority="67" stopIfTrue="1" operator="greaterThan">
      <formula>0</formula>
    </cfRule>
  </conditionalFormatting>
  <conditionalFormatting sqref="Z449">
    <cfRule type="cellIs" dxfId="65" priority="66" stopIfTrue="1" operator="greaterThan">
      <formula>0</formula>
    </cfRule>
  </conditionalFormatting>
  <conditionalFormatting sqref="AA449">
    <cfRule type="cellIs" dxfId="64" priority="65" stopIfTrue="1" operator="greaterThan">
      <formula>0</formula>
    </cfRule>
  </conditionalFormatting>
  <conditionalFormatting sqref="K450:V451">
    <cfRule type="cellIs" dxfId="63" priority="64" stopIfTrue="1" operator="lessThan">
      <formula>0</formula>
    </cfRule>
  </conditionalFormatting>
  <conditionalFormatting sqref="L450:S451">
    <cfRule type="cellIs" dxfId="62" priority="63" stopIfTrue="1" operator="greaterThan">
      <formula>0</formula>
    </cfRule>
  </conditionalFormatting>
  <conditionalFormatting sqref="X451:IV451 X450:Z450 AB450:IV450 A450:J451">
    <cfRule type="cellIs" dxfId="61" priority="62" stopIfTrue="1" operator="lessThan">
      <formula>0</formula>
    </cfRule>
  </conditionalFormatting>
  <conditionalFormatting sqref="X451:AA451 X450:Z450 U450:V451">
    <cfRule type="cellIs" dxfId="60" priority="61" stopIfTrue="1" operator="greaterThan">
      <formula>0</formula>
    </cfRule>
  </conditionalFormatting>
  <conditionalFormatting sqref="D450:J451">
    <cfRule type="cellIs" dxfId="59" priority="60" stopIfTrue="1" operator="greaterThan">
      <formula>0</formula>
    </cfRule>
  </conditionalFormatting>
  <conditionalFormatting sqref="G450:G451">
    <cfRule type="cellIs" dxfId="58" priority="59" stopIfTrue="1" operator="greaterThan">
      <formula>0</formula>
    </cfRule>
  </conditionalFormatting>
  <conditionalFormatting sqref="F450:F451">
    <cfRule type="cellIs" dxfId="57" priority="58" stopIfTrue="1" operator="greaterThan">
      <formula>0</formula>
    </cfRule>
  </conditionalFormatting>
  <conditionalFormatting sqref="E450:E451">
    <cfRule type="cellIs" dxfId="56" priority="57" stopIfTrue="1" operator="greaterThan">
      <formula>0</formula>
    </cfRule>
  </conditionalFormatting>
  <conditionalFormatting sqref="D450:D451">
    <cfRule type="cellIs" dxfId="55" priority="56" stopIfTrue="1" operator="greaterThan">
      <formula>0</formula>
    </cfRule>
  </conditionalFormatting>
  <conditionalFormatting sqref="G450:G451">
    <cfRule type="cellIs" dxfId="54" priority="55" stopIfTrue="1" operator="greaterThan">
      <formula>0</formula>
    </cfRule>
  </conditionalFormatting>
  <conditionalFormatting sqref="H450:H451">
    <cfRule type="cellIs" dxfId="53" priority="54" stopIfTrue="1" operator="greaterThan">
      <formula>0</formula>
    </cfRule>
  </conditionalFormatting>
  <conditionalFormatting sqref="J450:J451">
    <cfRule type="cellIs" dxfId="52" priority="53" stopIfTrue="1" operator="greaterThan">
      <formula>0</formula>
    </cfRule>
  </conditionalFormatting>
  <conditionalFormatting sqref="J450:J451">
    <cfRule type="cellIs" dxfId="51" priority="52" stopIfTrue="1" operator="greaterThan">
      <formula>0</formula>
    </cfRule>
  </conditionalFormatting>
  <conditionalFormatting sqref="L450:L451">
    <cfRule type="cellIs" dxfId="50" priority="51" stopIfTrue="1" operator="greaterThan">
      <formula>0</formula>
    </cfRule>
  </conditionalFormatting>
  <conditionalFormatting sqref="N450:N451">
    <cfRule type="cellIs" dxfId="49" priority="50" stopIfTrue="1" operator="greaterThan">
      <formula>0</formula>
    </cfRule>
  </conditionalFormatting>
  <conditionalFormatting sqref="O450:O451">
    <cfRule type="cellIs" dxfId="48" priority="49" stopIfTrue="1" operator="greaterThan">
      <formula>0</formula>
    </cfRule>
  </conditionalFormatting>
  <conditionalFormatting sqref="P450:P451">
    <cfRule type="cellIs" dxfId="47" priority="48" stopIfTrue="1" operator="greaterThan">
      <formula>0</formula>
    </cfRule>
  </conditionalFormatting>
  <conditionalFormatting sqref="Q450:Q451">
    <cfRule type="cellIs" dxfId="46" priority="47" stopIfTrue="1" operator="greaterThan">
      <formula>0</formula>
    </cfRule>
  </conditionalFormatting>
  <conditionalFormatting sqref="R450:R451">
    <cfRule type="cellIs" dxfId="45" priority="46" stopIfTrue="1" operator="greaterThan">
      <formula>0</formula>
    </cfRule>
  </conditionalFormatting>
  <conditionalFormatting sqref="S450:S451">
    <cfRule type="cellIs" dxfId="44" priority="45" stopIfTrue="1" operator="greaterThan">
      <formula>0</formula>
    </cfRule>
  </conditionalFormatting>
  <conditionalFormatting sqref="U450:U451">
    <cfRule type="cellIs" dxfId="43" priority="44" stopIfTrue="1" operator="greaterThan">
      <formula>0</formula>
    </cfRule>
  </conditionalFormatting>
  <conditionalFormatting sqref="V450:V451">
    <cfRule type="cellIs" dxfId="42" priority="43" stopIfTrue="1" operator="greaterThan">
      <formula>0</formula>
    </cfRule>
  </conditionalFormatting>
  <conditionalFormatting sqref="W450:W451">
    <cfRule type="cellIs" dxfId="41" priority="42" stopIfTrue="1" operator="lessThan">
      <formula>0</formula>
    </cfRule>
  </conditionalFormatting>
  <conditionalFormatting sqref="W450:W451">
    <cfRule type="cellIs" dxfId="40" priority="41" stopIfTrue="1" operator="greaterThan">
      <formula>0</formula>
    </cfRule>
  </conditionalFormatting>
  <conditionalFormatting sqref="X450:X451">
    <cfRule type="cellIs" dxfId="39" priority="40" stopIfTrue="1" operator="greaterThan">
      <formula>0</formula>
    </cfRule>
  </conditionalFormatting>
  <conditionalFormatting sqref="Y450:Y451">
    <cfRule type="cellIs" dxfId="38" priority="39" stopIfTrue="1" operator="greaterThan">
      <formula>0</formula>
    </cfRule>
  </conditionalFormatting>
  <conditionalFormatting sqref="Z450:Z451">
    <cfRule type="cellIs" dxfId="37" priority="38" stopIfTrue="1" operator="greaterThan">
      <formula>0</formula>
    </cfRule>
  </conditionalFormatting>
  <conditionalFormatting sqref="AA451">
    <cfRule type="cellIs" dxfId="36" priority="37" stopIfTrue="1" operator="greaterThan">
      <formula>0</formula>
    </cfRule>
  </conditionalFormatting>
  <conditionalFormatting sqref="AA450">
    <cfRule type="cellIs" dxfId="35" priority="35" stopIfTrue="1" operator="greaterThan">
      <formula>0</formula>
    </cfRule>
  </conditionalFormatting>
  <conditionalFormatting sqref="AA450:AA451">
    <cfRule type="cellIs" dxfId="34" priority="34" stopIfTrue="1" operator="greaterThan">
      <formula>0</formula>
    </cfRule>
  </conditionalFormatting>
  <conditionalFormatting sqref="S447">
    <cfRule type="cellIs" dxfId="33" priority="33" stopIfTrue="1" operator="greaterThan">
      <formula>0</formula>
    </cfRule>
  </conditionalFormatting>
  <conditionalFormatting sqref="AA447">
    <cfRule type="cellIs" dxfId="32" priority="32" stopIfTrue="1" operator="greaterThan">
      <formula>0</formula>
    </cfRule>
  </conditionalFormatting>
  <conditionalFormatting sqref="S448">
    <cfRule type="cellIs" dxfId="31" priority="31" stopIfTrue="1" operator="greaterThan">
      <formula>0</formula>
    </cfRule>
  </conditionalFormatting>
  <conditionalFormatting sqref="AA448">
    <cfRule type="cellIs" dxfId="30" priority="30" stopIfTrue="1" operator="greaterThan">
      <formula>0</formula>
    </cfRule>
  </conditionalFormatting>
  <conditionalFormatting sqref="S447">
    <cfRule type="cellIs" dxfId="29" priority="29" stopIfTrue="1" operator="lessThan">
      <formula>0</formula>
    </cfRule>
  </conditionalFormatting>
  <conditionalFormatting sqref="S447">
    <cfRule type="cellIs" dxfId="28" priority="28" stopIfTrue="1" operator="greaterThan">
      <formula>0</formula>
    </cfRule>
  </conditionalFormatting>
  <conditionalFormatting sqref="S447">
    <cfRule type="cellIs" dxfId="27" priority="27" stopIfTrue="1" operator="greaterThan">
      <formula>0</formula>
    </cfRule>
  </conditionalFormatting>
  <conditionalFormatting sqref="S447">
    <cfRule type="cellIs" dxfId="26" priority="26" stopIfTrue="1" operator="lessThan">
      <formula>0</formula>
    </cfRule>
  </conditionalFormatting>
  <conditionalFormatting sqref="S447">
    <cfRule type="cellIs" dxfId="25" priority="25" stopIfTrue="1" operator="greaterThan">
      <formula>0</formula>
    </cfRule>
  </conditionalFormatting>
  <conditionalFormatting sqref="S447">
    <cfRule type="cellIs" dxfId="24" priority="24" stopIfTrue="1" operator="greaterThan">
      <formula>0</formula>
    </cfRule>
  </conditionalFormatting>
  <conditionalFormatting sqref="S448">
    <cfRule type="cellIs" dxfId="23" priority="23" stopIfTrue="1" operator="greaterThan">
      <formula>0</formula>
    </cfRule>
  </conditionalFormatting>
  <conditionalFormatting sqref="AA448">
    <cfRule type="cellIs" dxfId="22" priority="22" stopIfTrue="1" operator="greaterThan">
      <formula>0</formula>
    </cfRule>
  </conditionalFormatting>
  <conditionalFormatting sqref="S447">
    <cfRule type="cellIs" dxfId="21" priority="21" stopIfTrue="1" operator="lessThan">
      <formula>0</formula>
    </cfRule>
  </conditionalFormatting>
  <conditionalFormatting sqref="S447">
    <cfRule type="cellIs" dxfId="20" priority="20" stopIfTrue="1" operator="greaterThan">
      <formula>0</formula>
    </cfRule>
  </conditionalFormatting>
  <conditionalFormatting sqref="S447">
    <cfRule type="cellIs" dxfId="19" priority="19" stopIfTrue="1" operator="greaterThan">
      <formula>0</formula>
    </cfRule>
  </conditionalFormatting>
  <conditionalFormatting sqref="S447">
    <cfRule type="cellIs" dxfId="18" priority="18" stopIfTrue="1" operator="lessThan">
      <formula>0</formula>
    </cfRule>
  </conditionalFormatting>
  <conditionalFormatting sqref="S447">
    <cfRule type="cellIs" dxfId="17" priority="17" stopIfTrue="1" operator="greaterThan">
      <formula>0</formula>
    </cfRule>
  </conditionalFormatting>
  <conditionalFormatting sqref="S447">
    <cfRule type="cellIs" dxfId="16" priority="16" stopIfTrue="1" operator="greaterThan">
      <formula>0</formula>
    </cfRule>
  </conditionalFormatting>
  <conditionalFormatting sqref="S447">
    <cfRule type="cellIs" dxfId="15" priority="15" stopIfTrue="1" operator="greaterThan">
      <formula>0</formula>
    </cfRule>
  </conditionalFormatting>
  <conditionalFormatting sqref="S448">
    <cfRule type="cellIs" dxfId="14" priority="14" stopIfTrue="1" operator="lessThan">
      <formula>0</formula>
    </cfRule>
  </conditionalFormatting>
  <conditionalFormatting sqref="S448">
    <cfRule type="cellIs" dxfId="13" priority="13" stopIfTrue="1" operator="greaterThan">
      <formula>0</formula>
    </cfRule>
  </conditionalFormatting>
  <conditionalFormatting sqref="S448">
    <cfRule type="cellIs" dxfId="12" priority="12" stopIfTrue="1" operator="greaterThan">
      <formula>0</formula>
    </cfRule>
  </conditionalFormatting>
  <conditionalFormatting sqref="S448">
    <cfRule type="cellIs" dxfId="11" priority="11" stopIfTrue="1" operator="lessThan">
      <formula>0</formula>
    </cfRule>
  </conditionalFormatting>
  <conditionalFormatting sqref="S448">
    <cfRule type="cellIs" dxfId="10" priority="10" stopIfTrue="1" operator="greaterThan">
      <formula>0</formula>
    </cfRule>
  </conditionalFormatting>
  <conditionalFormatting sqref="S448">
    <cfRule type="cellIs" dxfId="9" priority="9" stopIfTrue="1" operator="greaterThan">
      <formula>0</formula>
    </cfRule>
  </conditionalFormatting>
  <conditionalFormatting sqref="C459">
    <cfRule type="cellIs" dxfId="8" priority="8" stopIfTrue="1" operator="lessThan">
      <formula>0</formula>
    </cfRule>
  </conditionalFormatting>
  <conditionalFormatting sqref="C459">
    <cfRule type="cellIs" dxfId="7" priority="7" stopIfTrue="1" operator="lessThan">
      <formula>0</formula>
    </cfRule>
  </conditionalFormatting>
  <conditionalFormatting sqref="W449">
    <cfRule type="cellIs" dxfId="6" priority="6" stopIfTrue="1" operator="lessThan">
      <formula>0</formula>
    </cfRule>
  </conditionalFormatting>
  <conditionalFormatting sqref="W449">
    <cfRule type="cellIs" dxfId="5" priority="5" stopIfTrue="1" operator="greaterThan">
      <formula>0</formula>
    </cfRule>
  </conditionalFormatting>
  <conditionalFormatting sqref="W449">
    <cfRule type="cellIs" dxfId="4" priority="4" stopIfTrue="1" operator="greaterThan">
      <formula>0</formula>
    </cfRule>
  </conditionalFormatting>
  <conditionalFormatting sqref="W449">
    <cfRule type="cellIs" dxfId="3" priority="3" stopIfTrue="1" operator="lessThan">
      <formula>0</formula>
    </cfRule>
  </conditionalFormatting>
  <conditionalFormatting sqref="W449">
    <cfRule type="cellIs" dxfId="2" priority="2" stopIfTrue="1" operator="greaterThan">
      <formula>0</formula>
    </cfRule>
  </conditionalFormatting>
  <conditionalFormatting sqref="W449">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71"/>
  <sheetViews>
    <sheetView topLeftCell="B545" workbookViewId="0">
      <selection activeCell="L577" sqref="L577"/>
    </sheetView>
  </sheetViews>
  <sheetFormatPr defaultColWidth="7.6640625" defaultRowHeight="13.2"/>
  <cols>
    <col min="1" max="1" width="4.6640625" style="113" bestFit="1" customWidth="1"/>
    <col min="2" max="2" width="4.33203125" style="103" customWidth="1"/>
    <col min="3" max="3" width="3.6640625" style="33" bestFit="1" customWidth="1"/>
    <col min="4" max="6" width="8.44140625" style="34" bestFit="1" customWidth="1"/>
    <col min="7" max="9" width="8.33203125" style="34" customWidth="1"/>
    <col min="10" max="12" width="12.44140625" style="34" customWidth="1"/>
    <col min="13" max="13" width="7.6640625" style="187" customWidth="1"/>
    <col min="14" max="17" width="7.6640625" style="34" customWidth="1"/>
    <col min="18" max="19" width="1.6640625" style="34" customWidth="1"/>
    <col min="20" max="23" width="7.6640625" style="34"/>
  </cols>
  <sheetData>
    <row r="1" spans="1:23" ht="15" customHeight="1" thickBot="1">
      <c r="D1" s="34" t="s">
        <v>738</v>
      </c>
      <c r="G1" s="1128" t="s">
        <v>819</v>
      </c>
    </row>
    <row r="2" spans="1:23" ht="30" customHeight="1">
      <c r="A2" s="118"/>
      <c r="B2" s="1758" t="s">
        <v>275</v>
      </c>
      <c r="C2" s="1759"/>
      <c r="D2" s="1751" t="s">
        <v>276</v>
      </c>
      <c r="E2" s="1752"/>
      <c r="F2" s="1753"/>
      <c r="G2" s="1754" t="s">
        <v>277</v>
      </c>
      <c r="H2" s="1752"/>
      <c r="I2" s="1753"/>
      <c r="J2" s="1755" t="s">
        <v>306</v>
      </c>
      <c r="K2" s="1756"/>
      <c r="L2" s="1757"/>
      <c r="M2" s="118"/>
      <c r="N2" s="105" t="s">
        <v>278</v>
      </c>
      <c r="O2" s="106" t="s">
        <v>279</v>
      </c>
      <c r="P2" s="106" t="s">
        <v>278</v>
      </c>
      <c r="Q2" s="107" t="s">
        <v>279</v>
      </c>
      <c r="R2" s="35"/>
      <c r="S2" s="35"/>
      <c r="T2" s="35"/>
      <c r="U2" s="35"/>
      <c r="V2" s="35"/>
      <c r="W2" s="35"/>
    </row>
    <row r="3" spans="1:23" ht="30" customHeight="1">
      <c r="A3" s="119"/>
      <c r="B3" s="1760"/>
      <c r="C3" s="1761"/>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723</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60">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f>IF(初期登録!$B$10*12+初期登録!$D$10&lt;$A113,NA(),[3]各月DI数値!$J3)</f>
        <v>85.714285714285708</v>
      </c>
      <c r="E113" s="67">
        <f>IF(初期登録!$B$10*12+初期登録!$D$10&lt;$A113,NA(),[3]各月DI数値!$S3)</f>
        <v>75</v>
      </c>
      <c r="F113" s="66">
        <f>IF(初期登録!$B$10*12+初期登録!$D$10&lt;$A113,NA(),[3]各月DI数値!$AA3)</f>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c r="U113" s="34">
        <f>D:D-[3]各月DI数値!J3</f>
        <v>0</v>
      </c>
      <c r="V113" s="34">
        <f>E:E-[3]各月DI数値!S3</f>
        <v>0</v>
      </c>
      <c r="W113" s="34">
        <f>F:F-[3]各月DI数値!AA3</f>
        <v>0</v>
      </c>
    </row>
    <row r="114" spans="1:23" ht="15" customHeight="1">
      <c r="A114" s="120"/>
      <c r="B114" s="114"/>
      <c r="C114" s="174">
        <v>2</v>
      </c>
      <c r="D114" s="51">
        <f>IF(初期登録!$B$10*12+初期登録!$D$10&lt;$A114,NA(),[3]各月DI数値!$J4)</f>
        <v>85.714285714285708</v>
      </c>
      <c r="E114" s="50">
        <f>IF(初期登録!$B$10*12+初期登録!$D$10&lt;$A114,NA(),[3]各月DI数値!$S4)</f>
        <v>75</v>
      </c>
      <c r="F114" s="51">
        <f>IF(初期登録!$B$10*12+初期登録!$D$10&lt;$A114,NA(),[3]各月DI数値!$AA4)</f>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f>D:D-[3]各月DI数値!J4</f>
        <v>0</v>
      </c>
      <c r="V114" s="56">
        <f>E:E-[3]各月DI数値!S4</f>
        <v>0</v>
      </c>
      <c r="W114" s="56">
        <f>F:F-[3]各月DI数値!AA4</f>
        <v>0</v>
      </c>
    </row>
    <row r="115" spans="1:23" ht="15" customHeight="1">
      <c r="A115" s="120"/>
      <c r="B115" s="114"/>
      <c r="C115" s="174">
        <v>3</v>
      </c>
      <c r="D115" s="51">
        <f>IF(初期登録!$B$10*12+初期登録!$D$10&lt;$A115,NA(),[3]各月DI数値!$J5)</f>
        <v>85.714285714285708</v>
      </c>
      <c r="E115" s="50">
        <f>IF(初期登録!$B$10*12+初期登録!$D$10&lt;$A115,NA(),[3]各月DI数値!$S5)</f>
        <v>75</v>
      </c>
      <c r="F115" s="51">
        <f>IF(初期登録!$B$10*12+初期登録!$D$10&lt;$A115,NA(),[3]各月DI数値!$AA5)</f>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f>D:D-[3]各月DI数値!J5</f>
        <v>0</v>
      </c>
      <c r="V115" s="56">
        <f>E:E-[3]各月DI数値!S5</f>
        <v>0</v>
      </c>
      <c r="W115" s="56">
        <f>F:F-[3]各月DI数値!AA5</f>
        <v>0</v>
      </c>
    </row>
    <row r="116" spans="1:23" ht="15" customHeight="1">
      <c r="A116" s="120"/>
      <c r="B116" s="114"/>
      <c r="C116" s="174">
        <v>4</v>
      </c>
      <c r="D116" s="51">
        <f>IF(初期登録!$B$10*12+初期登録!$D$10&lt;$A116,NA(),[3]各月DI数値!$J6)</f>
        <v>85.714285714285708</v>
      </c>
      <c r="E116" s="50">
        <f>IF(初期登録!$B$10*12+初期登録!$D$10&lt;$A116,NA(),[3]各月DI数値!$S6)</f>
        <v>75</v>
      </c>
      <c r="F116" s="51">
        <f>IF(初期登録!$B$10*12+初期登録!$D$10&lt;$A116,NA(),[3]各月DI数値!$AA6)</f>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f>D:D-[3]各月DI数値!J6</f>
        <v>0</v>
      </c>
      <c r="V116" s="56">
        <f>E:E-[3]各月DI数値!S6</f>
        <v>0</v>
      </c>
      <c r="W116" s="56">
        <f>F:F-[3]各月DI数値!AA6</f>
        <v>0</v>
      </c>
    </row>
    <row r="117" spans="1:23" ht="15" customHeight="1">
      <c r="A117" s="120"/>
      <c r="B117" s="114"/>
      <c r="C117" s="174">
        <v>5</v>
      </c>
      <c r="D117" s="51">
        <f>IF(初期登録!$B$10*12+初期登録!$D$10&lt;$A117,NA(),[3]各月DI数値!$J7)</f>
        <v>85.714285714285708</v>
      </c>
      <c r="E117" s="50">
        <f>IF(初期登録!$B$10*12+初期登録!$D$10&lt;$A117,NA(),[3]各月DI数値!$S7)</f>
        <v>75</v>
      </c>
      <c r="F117" s="51">
        <f>IF(初期登録!$B$10*12+初期登録!$D$10&lt;$A117,NA(),[3]各月DI数値!$AA7)</f>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f>D:D-[3]各月DI数値!J7</f>
        <v>0</v>
      </c>
      <c r="V117" s="56">
        <f>E:E-[3]各月DI数値!S7</f>
        <v>0</v>
      </c>
      <c r="W117" s="56">
        <f>F:F-[3]各月DI数値!AA7</f>
        <v>0</v>
      </c>
    </row>
    <row r="118" spans="1:23" ht="15" customHeight="1">
      <c r="A118" s="120"/>
      <c r="B118" s="114"/>
      <c r="C118" s="174">
        <v>6</v>
      </c>
      <c r="D118" s="51">
        <f>IF(初期登録!$B$10*12+初期登録!$D$10&lt;$A118,NA(),[3]各月DI数値!$J8)</f>
        <v>42.857142857142854</v>
      </c>
      <c r="E118" s="50">
        <f>IF(初期登録!$B$10*12+初期登録!$D$10&lt;$A118,NA(),[3]各月DI数値!$S8)</f>
        <v>75</v>
      </c>
      <c r="F118" s="51">
        <f>IF(初期登録!$B$10*12+初期登録!$D$10&lt;$A118,NA(),[3]各月DI数値!$AA8)</f>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f>D:D-[3]各月DI数値!J8</f>
        <v>0</v>
      </c>
      <c r="V118" s="56">
        <f>E:E-[3]各月DI数値!S8</f>
        <v>0</v>
      </c>
      <c r="W118" s="56">
        <f>F:F-[3]各月DI数値!AA8</f>
        <v>0</v>
      </c>
    </row>
    <row r="119" spans="1:23" ht="15" customHeight="1">
      <c r="A119" s="120"/>
      <c r="B119" s="114"/>
      <c r="C119" s="174">
        <v>7</v>
      </c>
      <c r="D119" s="51">
        <f>IF(初期登録!$B$10*12+初期登録!$D$10&lt;$A119,NA(),[3]各月DI数値!$J9)</f>
        <v>71.428571428571431</v>
      </c>
      <c r="E119" s="50">
        <f>IF(初期登録!$B$10*12+初期登録!$D$10&lt;$A119,NA(),[3]各月DI数値!$S9)</f>
        <v>50</v>
      </c>
      <c r="F119" s="51">
        <f>IF(初期登録!$B$10*12+初期登録!$D$10&lt;$A119,NA(),[3]各月DI数値!$AA9)</f>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f>D:D-[3]各月DI数値!J9</f>
        <v>0</v>
      </c>
      <c r="V119" s="56">
        <f>E:E-[3]各月DI数値!S9</f>
        <v>0</v>
      </c>
      <c r="W119" s="56">
        <f>F:F-[3]各月DI数値!AA9</f>
        <v>0</v>
      </c>
    </row>
    <row r="120" spans="1:23" ht="15" customHeight="1">
      <c r="A120" s="120"/>
      <c r="B120" s="114"/>
      <c r="C120" s="174">
        <v>8</v>
      </c>
      <c r="D120" s="51">
        <f>IF(初期登録!$B$10*12+初期登録!$D$10&lt;$A120,NA(),[3]各月DI数値!$J10)</f>
        <v>28.571428571428573</v>
      </c>
      <c r="E120" s="50">
        <f>IF(初期登録!$B$10*12+初期登録!$D$10&lt;$A120,NA(),[3]各月DI数値!$S10)</f>
        <v>50</v>
      </c>
      <c r="F120" s="51">
        <f>IF(初期登録!$B$10*12+初期登録!$D$10&lt;$A120,NA(),[3]各月DI数値!$AA10)</f>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f>D:D-[3]各月DI数値!J10</f>
        <v>0</v>
      </c>
      <c r="V120" s="56">
        <f>E:E-[3]各月DI数値!S10</f>
        <v>0</v>
      </c>
      <c r="W120" s="56">
        <f>F:F-[3]各月DI数値!AA10</f>
        <v>0</v>
      </c>
    </row>
    <row r="121" spans="1:23" ht="15" customHeight="1">
      <c r="A121" s="120"/>
      <c r="B121" s="114"/>
      <c r="C121" s="174">
        <v>9</v>
      </c>
      <c r="D121" s="51">
        <f>IF(初期登録!$B$10*12+初期登録!$D$10&lt;$A121,NA(),[3]各月DI数値!$J11)</f>
        <v>85.714285714285708</v>
      </c>
      <c r="E121" s="50">
        <f>IF(初期登録!$B$10*12+初期登録!$D$10&lt;$A121,NA(),[3]各月DI数値!$S11)</f>
        <v>75</v>
      </c>
      <c r="F121" s="51">
        <f>IF(初期登録!$B$10*12+初期登録!$D$10&lt;$A121,NA(),[3]各月DI数値!$AA11)</f>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f>D:D-[3]各月DI数値!J11</f>
        <v>0</v>
      </c>
      <c r="V121" s="56">
        <f>E:E-[3]各月DI数値!S11</f>
        <v>0</v>
      </c>
      <c r="W121" s="56">
        <f>F:F-[3]各月DI数値!AA11</f>
        <v>0</v>
      </c>
    </row>
    <row r="122" spans="1:23" ht="15" customHeight="1">
      <c r="A122" s="120"/>
      <c r="B122" s="114"/>
      <c r="C122" s="174">
        <v>10</v>
      </c>
      <c r="D122" s="51">
        <f>IF(初期登録!$B$10*12+初期登録!$D$10&lt;$A122,NA(),[3]各月DI数値!$J12)</f>
        <v>85.714285714285708</v>
      </c>
      <c r="E122" s="50">
        <f>IF(初期登録!$B$10*12+初期登録!$D$10&lt;$A122,NA(),[3]各月DI数値!$S12)</f>
        <v>50</v>
      </c>
      <c r="F122" s="51">
        <f>IF(初期登録!$B$10*12+初期登録!$D$10&lt;$A122,NA(),[3]各月DI数値!$AA12)</f>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f>D:D-[3]各月DI数値!J12</f>
        <v>0</v>
      </c>
      <c r="V122" s="56">
        <f>E:E-[3]各月DI数値!S12</f>
        <v>0</v>
      </c>
      <c r="W122" s="56">
        <f>F:F-[3]各月DI数値!AA12</f>
        <v>0</v>
      </c>
    </row>
    <row r="123" spans="1:23" ht="15" customHeight="1">
      <c r="A123" s="120"/>
      <c r="B123" s="114"/>
      <c r="C123" s="174">
        <v>11</v>
      </c>
      <c r="D123" s="51">
        <f>IF(初期登録!$B$10*12+初期登録!$D$10&lt;$A123,NA(),[3]各月DI数値!$J13)</f>
        <v>78.571428571428569</v>
      </c>
      <c r="E123" s="50">
        <f>IF(初期登録!$B$10*12+初期登録!$D$10&lt;$A123,NA(),[3]各月DI数値!$S13)</f>
        <v>75</v>
      </c>
      <c r="F123" s="51">
        <f>IF(初期登録!$B$10*12+初期登録!$D$10&lt;$A123,NA(),[3]各月DI数値!$AA13)</f>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f>D:D-[3]各月DI数値!J13</f>
        <v>0</v>
      </c>
      <c r="V123" s="56">
        <f>E:E-[3]各月DI数値!S13</f>
        <v>0</v>
      </c>
      <c r="W123" s="56">
        <f>F:F-[3]各月DI数値!AA13</f>
        <v>0</v>
      </c>
    </row>
    <row r="124" spans="1:23" ht="15" customHeight="1">
      <c r="A124" s="120"/>
      <c r="B124" s="116"/>
      <c r="C124" s="177">
        <v>12</v>
      </c>
      <c r="D124" s="139">
        <f>IF(初期登録!$B$10*12+初期登録!$D$10&lt;$A124,NA(),[3]各月DI数値!$J14)</f>
        <v>57.142857142857146</v>
      </c>
      <c r="E124" s="140">
        <f>IF(初期登録!$B$10*12+初期登録!$D$10&lt;$A124,NA(),[3]各月DI数値!$S14)</f>
        <v>87.5</v>
      </c>
      <c r="F124" s="139">
        <f>IF(初期登録!$B$10*12+初期登録!$D$10&lt;$A124,NA(),[3]各月DI数値!$AA14)</f>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f>D:D-[3]各月DI数値!J14</f>
        <v>0</v>
      </c>
      <c r="V124" s="65">
        <f>E:E-[3]各月DI数値!S14</f>
        <v>0</v>
      </c>
      <c r="W124" s="65">
        <f>F:F-[3]各月DI数値!AA14</f>
        <v>0</v>
      </c>
    </row>
    <row r="125" spans="1:23" ht="15" customHeight="1">
      <c r="A125" s="125"/>
      <c r="B125" s="126" t="s">
        <v>341</v>
      </c>
      <c r="C125" s="173">
        <v>1</v>
      </c>
      <c r="D125" s="161">
        <f>IF(初期登録!$B$10*12+初期登録!$D$10&lt;$A125,NA(),[3]各月DI数値!$J15)</f>
        <v>57.142857142857146</v>
      </c>
      <c r="E125" s="162">
        <f>IF(初期登録!$B$10*12+初期登録!$D$10&lt;$A125,NA(),[3]各月DI数値!$S15)</f>
        <v>62.5</v>
      </c>
      <c r="F125" s="161">
        <f>IF(初期登録!$B$10*12+初期登録!$D$10&lt;$A125,NA(),[3]各月DI数値!$AA15)</f>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c r="U125" s="34">
        <f>D:D-[3]各月DI数値!J15</f>
        <v>0</v>
      </c>
      <c r="V125" s="34">
        <f>E:E-[3]各月DI数値!S15</f>
        <v>0</v>
      </c>
      <c r="W125" s="34">
        <f>F:F-[3]各月DI数値!AA15</f>
        <v>0</v>
      </c>
    </row>
    <row r="126" spans="1:23" ht="15" customHeight="1">
      <c r="A126" s="120"/>
      <c r="B126" s="114"/>
      <c r="C126" s="174">
        <v>2</v>
      </c>
      <c r="D126" s="77">
        <f>IF(初期登録!$B$10*12+初期登録!$D$10&lt;$A126,NA(),[3]各月DI数値!$J16)</f>
        <v>28.571428571428573</v>
      </c>
      <c r="E126" s="78">
        <f>IF(初期登録!$B$10*12+初期登録!$D$10&lt;$A126,NA(),[3]各月DI数値!$S16)</f>
        <v>25</v>
      </c>
      <c r="F126" s="77">
        <f>IF(初期登録!$B$10*12+初期登録!$D$10&lt;$A126,NA(),[3]各月DI数値!$AA16)</f>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f>D:D-[3]各月DI数値!J16</f>
        <v>0</v>
      </c>
      <c r="V126" s="56">
        <f>E:E-[3]各月DI数値!S16</f>
        <v>0</v>
      </c>
      <c r="W126" s="56">
        <f>F:F-[3]各月DI数値!AA16</f>
        <v>0</v>
      </c>
    </row>
    <row r="127" spans="1:23" ht="15" customHeight="1">
      <c r="A127" s="120"/>
      <c r="B127" s="114"/>
      <c r="C127" s="174">
        <v>3</v>
      </c>
      <c r="D127" s="77">
        <f>IF(初期登録!$B$10*12+初期登録!$D$10&lt;$A127,NA(),[3]各月DI数値!$J17)</f>
        <v>92.857142857142861</v>
      </c>
      <c r="E127" s="78">
        <f>IF(初期登録!$B$10*12+初期登録!$D$10&lt;$A127,NA(),[3]各月DI数値!$S17)</f>
        <v>75</v>
      </c>
      <c r="F127" s="77">
        <f>IF(初期登録!$B$10*12+初期登録!$D$10&lt;$A127,NA(),[3]各月DI数値!$AA17)</f>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f>D:D-[3]各月DI数値!J17</f>
        <v>0</v>
      </c>
      <c r="V127" s="56">
        <f>E:E-[3]各月DI数値!S17</f>
        <v>0</v>
      </c>
      <c r="W127" s="56">
        <f>F:F-[3]各月DI数値!AA17</f>
        <v>0</v>
      </c>
    </row>
    <row r="128" spans="1:23" ht="15" customHeight="1">
      <c r="A128" s="120"/>
      <c r="B128" s="114"/>
      <c r="C128" s="174">
        <v>4</v>
      </c>
      <c r="D128" s="77">
        <f>IF(初期登録!$B$10*12+初期登録!$D$10&lt;$A128,NA(),[3]各月DI数値!$J18)</f>
        <v>85.714285714285708</v>
      </c>
      <c r="E128" s="78">
        <f>IF(初期登録!$B$10*12+初期登録!$D$10&lt;$A128,NA(),[3]各月DI数値!$S18)</f>
        <v>50</v>
      </c>
      <c r="F128" s="77">
        <f>IF(初期登録!$B$10*12+初期登録!$D$10&lt;$A128,NA(),[3]各月DI数値!$AA18)</f>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f>D:D-[3]各月DI数値!J18</f>
        <v>0</v>
      </c>
      <c r="V128" s="56">
        <f>E:E-[3]各月DI数値!S18</f>
        <v>0</v>
      </c>
      <c r="W128" s="56">
        <f>F:F-[3]各月DI数値!AA18</f>
        <v>0</v>
      </c>
    </row>
    <row r="129" spans="1:23" ht="15" customHeight="1">
      <c r="A129" s="120"/>
      <c r="B129" s="114"/>
      <c r="C129" s="174">
        <v>5</v>
      </c>
      <c r="D129" s="77">
        <f>IF(初期登録!$B$10*12+初期登録!$D$10&lt;$A129,NA(),[3]各月DI数値!$J19)</f>
        <v>78.571428571428569</v>
      </c>
      <c r="E129" s="78">
        <f>IF(初期登録!$B$10*12+初期登録!$D$10&lt;$A129,NA(),[3]各月DI数値!$S19)</f>
        <v>75</v>
      </c>
      <c r="F129" s="77">
        <f>IF(初期登録!$B$10*12+初期登録!$D$10&lt;$A129,NA(),[3]各月DI数値!$AA19)</f>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f>D:D-[3]各月DI数値!J19</f>
        <v>0</v>
      </c>
      <c r="V129" s="56">
        <f>E:E-[3]各月DI数値!S19</f>
        <v>0</v>
      </c>
      <c r="W129" s="56">
        <f>F:F-[3]各月DI数値!AA19</f>
        <v>0</v>
      </c>
    </row>
    <row r="130" spans="1:23" ht="15" customHeight="1">
      <c r="A130" s="120"/>
      <c r="B130" s="114"/>
      <c r="C130" s="174">
        <v>6</v>
      </c>
      <c r="D130" s="77">
        <f>IF(初期登録!$B$10*12+初期登録!$D$10&lt;$A130,NA(),[3]各月DI数値!$J20)</f>
        <v>100</v>
      </c>
      <c r="E130" s="78">
        <f>IF(初期登録!$B$10*12+初期登録!$D$10&lt;$A130,NA(),[3]各月DI数値!$S20)</f>
        <v>62.5</v>
      </c>
      <c r="F130" s="77">
        <f>IF(初期登録!$B$10*12+初期登録!$D$10&lt;$A130,NA(),[3]各月DI数値!$AA20)</f>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f>D:D-[3]各月DI数値!J20</f>
        <v>0</v>
      </c>
      <c r="V130" s="56">
        <f>E:E-[3]各月DI数値!S20</f>
        <v>0</v>
      </c>
      <c r="W130" s="56">
        <f>F:F-[3]各月DI数値!AA20</f>
        <v>0</v>
      </c>
    </row>
    <row r="131" spans="1:23" ht="15" customHeight="1">
      <c r="A131" s="120"/>
      <c r="B131" s="114"/>
      <c r="C131" s="174">
        <v>7</v>
      </c>
      <c r="D131" s="77">
        <f>IF(初期登録!$B$10*12+初期登録!$D$10&lt;$A131,NA(),[3]各月DI数値!$J21)</f>
        <v>71.428571428571431</v>
      </c>
      <c r="E131" s="78">
        <f>IF(初期登録!$B$10*12+初期登録!$D$10&lt;$A131,NA(),[3]各月DI数値!$S21)</f>
        <v>75</v>
      </c>
      <c r="F131" s="77">
        <f>IF(初期登録!$B$10*12+初期登録!$D$10&lt;$A131,NA(),[3]各月DI数値!$AA21)</f>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f>D:D-[3]各月DI数値!J21</f>
        <v>0</v>
      </c>
      <c r="V131" s="56">
        <f>E:E-[3]各月DI数値!S21</f>
        <v>0</v>
      </c>
      <c r="W131" s="56">
        <f>F:F-[3]各月DI数値!AA21</f>
        <v>0</v>
      </c>
    </row>
    <row r="132" spans="1:23" ht="15" customHeight="1">
      <c r="A132" s="120"/>
      <c r="B132" s="114"/>
      <c r="C132" s="174">
        <v>8</v>
      </c>
      <c r="D132" s="77">
        <f>IF(初期登録!$B$10*12+初期登録!$D$10&lt;$A132,NA(),[3]各月DI数値!$J22)</f>
        <v>57.142857142857146</v>
      </c>
      <c r="E132" s="78">
        <f>IF(初期登録!$B$10*12+初期登録!$D$10&lt;$A132,NA(),[3]各月DI数値!$S22)</f>
        <v>87.5</v>
      </c>
      <c r="F132" s="77">
        <f>IF(初期登録!$B$10*12+初期登録!$D$10&lt;$A132,NA(),[3]各月DI数値!$AA22)</f>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f>D:D-[3]各月DI数値!J22</f>
        <v>0</v>
      </c>
      <c r="V132" s="56">
        <f>E:E-[3]各月DI数値!S22</f>
        <v>0</v>
      </c>
      <c r="W132" s="56">
        <f>F:F-[3]各月DI数値!AA22</f>
        <v>0</v>
      </c>
    </row>
    <row r="133" spans="1:23" ht="15" customHeight="1">
      <c r="A133" s="120"/>
      <c r="B133" s="114"/>
      <c r="C133" s="174">
        <v>9</v>
      </c>
      <c r="D133" s="77">
        <f>IF(初期登録!$B$10*12+初期登録!$D$10&lt;$A133,NA(),[3]各月DI数値!$J23)</f>
        <v>57.142857142857146</v>
      </c>
      <c r="E133" s="78">
        <f>IF(初期登録!$B$10*12+初期登録!$D$10&lt;$A133,NA(),[3]各月DI数値!$S23)</f>
        <v>87.5</v>
      </c>
      <c r="F133" s="77">
        <f>IF(初期登録!$B$10*12+初期登録!$D$10&lt;$A133,NA(),[3]各月DI数値!$AA23)</f>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f>D:D-[3]各月DI数値!J23</f>
        <v>0</v>
      </c>
      <c r="V133" s="56">
        <f>E:E-[3]各月DI数値!S23</f>
        <v>0</v>
      </c>
      <c r="W133" s="56">
        <f>F:F-[3]各月DI数値!AA23</f>
        <v>0</v>
      </c>
    </row>
    <row r="134" spans="1:23" ht="15" customHeight="1">
      <c r="A134" s="120"/>
      <c r="B134" s="114"/>
      <c r="C134" s="174">
        <v>10</v>
      </c>
      <c r="D134" s="77">
        <f>IF(初期登録!$B$10*12+初期登録!$D$10&lt;$A134,NA(),[3]各月DI数値!$J24)</f>
        <v>71.428571428571431</v>
      </c>
      <c r="E134" s="78">
        <f>IF(初期登録!$B$10*12+初期登録!$D$10&lt;$A134,NA(),[3]各月DI数値!$S24)</f>
        <v>75</v>
      </c>
      <c r="F134" s="77">
        <f>IF(初期登録!$B$10*12+初期登録!$D$10&lt;$A134,NA(),[3]各月DI数値!$AA24)</f>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f>D:D-[3]各月DI数値!J24</f>
        <v>0</v>
      </c>
      <c r="V134" s="56">
        <f>E:E-[3]各月DI数値!S24</f>
        <v>0</v>
      </c>
      <c r="W134" s="56">
        <f>F:F-[3]各月DI数値!AA24</f>
        <v>0</v>
      </c>
    </row>
    <row r="135" spans="1:23" ht="15" customHeight="1">
      <c r="A135" s="120"/>
      <c r="B135" s="114"/>
      <c r="C135" s="174">
        <v>11</v>
      </c>
      <c r="D135" s="77">
        <f>IF(初期登録!$B$10*12+初期登録!$D$10&lt;$A135,NA(),[3]各月DI数値!$J25)</f>
        <v>57.142857142857146</v>
      </c>
      <c r="E135" s="78">
        <f>IF(初期登録!$B$10*12+初期登録!$D$10&lt;$A135,NA(),[3]各月DI数値!$S25)</f>
        <v>75</v>
      </c>
      <c r="F135" s="77">
        <f>IF(初期登録!$B$10*12+初期登録!$D$10&lt;$A135,NA(),[3]各月DI数値!$AA25)</f>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f>D:D-[3]各月DI数値!J25</f>
        <v>0</v>
      </c>
      <c r="V135" s="56">
        <f>E:E-[3]各月DI数値!S25</f>
        <v>0</v>
      </c>
      <c r="W135" s="56">
        <f>F:F-[3]各月DI数値!AA25</f>
        <v>0</v>
      </c>
    </row>
    <row r="136" spans="1:23" ht="15" customHeight="1">
      <c r="A136" s="132"/>
      <c r="B136" s="115"/>
      <c r="C136" s="175">
        <v>12</v>
      </c>
      <c r="D136" s="81">
        <f>IF(初期登録!$B$10*12+初期登録!$D$10&lt;$A136,NA(),[3]各月DI数値!$J26)</f>
        <v>71.428571428571431</v>
      </c>
      <c r="E136" s="82">
        <f>IF(初期登録!$B$10*12+初期登録!$D$10&lt;$A136,NA(),[3]各月DI数値!$S26)</f>
        <v>75</v>
      </c>
      <c r="F136" s="81">
        <f>IF(初期登録!$B$10*12+初期登録!$D$10&lt;$A136,NA(),[3]各月DI数値!$AA26)</f>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f>D:D-[3]各月DI数値!J26</f>
        <v>0</v>
      </c>
      <c r="V136" s="65">
        <f>E:E-[3]各月DI数値!S26</f>
        <v>0</v>
      </c>
      <c r="W136" s="65">
        <f>F:F-[3]各月DI数値!AA26</f>
        <v>0</v>
      </c>
    </row>
    <row r="137" spans="1:23" ht="15" customHeight="1">
      <c r="A137" s="120"/>
      <c r="B137" s="103">
        <v>2</v>
      </c>
      <c r="C137" s="176">
        <v>1</v>
      </c>
      <c r="D137" s="73">
        <f>IF(初期登録!$B$10*12+初期登録!$D$10&lt;$A137,NA(),[3]各月DI数値!$J27)</f>
        <v>50</v>
      </c>
      <c r="E137" s="74">
        <f>IF(初期登録!$B$10*12+初期登録!$D$10&lt;$A137,NA(),[3]各月DI数値!$S27)</f>
        <v>62.5</v>
      </c>
      <c r="F137" s="73">
        <f>IF(初期登録!$B$10*12+初期登録!$D$10&lt;$A137,NA(),[3]各月DI数値!$AA27)</f>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c r="U137" s="34">
        <f>D:D-[3]各月DI数値!J27</f>
        <v>0</v>
      </c>
      <c r="V137" s="34">
        <f>E:E-[3]各月DI数値!S27</f>
        <v>0</v>
      </c>
      <c r="W137" s="34">
        <f>F:F-[3]各月DI数値!AA27</f>
        <v>0</v>
      </c>
    </row>
    <row r="138" spans="1:23" ht="15" customHeight="1">
      <c r="A138" s="120"/>
      <c r="B138" s="114"/>
      <c r="C138" s="174">
        <v>2</v>
      </c>
      <c r="D138" s="77">
        <f>IF(初期登録!$B$10*12+初期登録!$D$10&lt;$A138,NA(),[3]各月DI数値!$J28)</f>
        <v>57.142857142857146</v>
      </c>
      <c r="E138" s="78">
        <f>IF(初期登録!$B$10*12+初期登録!$D$10&lt;$A138,NA(),[3]各月DI数値!$S28)</f>
        <v>75</v>
      </c>
      <c r="F138" s="77">
        <f>IF(初期登録!$B$10*12+初期登録!$D$10&lt;$A138,NA(),[3]各月DI数値!$AA28)</f>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f>D:D-[3]各月DI数値!J28</f>
        <v>0</v>
      </c>
      <c r="V138" s="56">
        <f>E:E-[3]各月DI数値!S28</f>
        <v>0</v>
      </c>
      <c r="W138" s="56">
        <f>F:F-[3]各月DI数値!AA28</f>
        <v>0</v>
      </c>
    </row>
    <row r="139" spans="1:23" ht="15" customHeight="1">
      <c r="A139" s="120"/>
      <c r="B139" s="114"/>
      <c r="C139" s="174">
        <v>3</v>
      </c>
      <c r="D139" s="77">
        <f>IF(初期登録!$B$10*12+初期登録!$D$10&lt;$A139,NA(),[3]各月DI数値!$J29)</f>
        <v>42.857142857142854</v>
      </c>
      <c r="E139" s="78">
        <f>IF(初期登録!$B$10*12+初期登録!$D$10&lt;$A139,NA(),[3]各月DI数値!$S29)</f>
        <v>87.5</v>
      </c>
      <c r="F139" s="77">
        <f>IF(初期登録!$B$10*12+初期登録!$D$10&lt;$A139,NA(),[3]各月DI数値!$AA29)</f>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f>D:D-[3]各月DI数値!J29</f>
        <v>0</v>
      </c>
      <c r="V139" s="56">
        <f>E:E-[3]各月DI数値!S29</f>
        <v>0</v>
      </c>
      <c r="W139" s="56">
        <f>F:F-[3]各月DI数値!AA29</f>
        <v>0</v>
      </c>
    </row>
    <row r="140" spans="1:23" ht="15" customHeight="1">
      <c r="A140" s="120"/>
      <c r="B140" s="114"/>
      <c r="C140" s="174">
        <v>4</v>
      </c>
      <c r="D140" s="77">
        <f>IF(初期登録!$B$10*12+初期登録!$D$10&lt;$A140,NA(),[3]各月DI数値!$J30)</f>
        <v>64.285714285714292</v>
      </c>
      <c r="E140" s="78">
        <f>IF(初期登録!$B$10*12+初期登録!$D$10&lt;$A140,NA(),[3]各月DI数値!$S30)</f>
        <v>50</v>
      </c>
      <c r="F140" s="77">
        <f>IF(初期登録!$B$10*12+初期登録!$D$10&lt;$A140,NA(),[3]各月DI数値!$AA30)</f>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f>D:D-[3]各月DI数値!J30</f>
        <v>0</v>
      </c>
      <c r="V140" s="56">
        <f>E:E-[3]各月DI数値!S30</f>
        <v>0</v>
      </c>
      <c r="W140" s="56">
        <f>F:F-[3]各月DI数値!AA30</f>
        <v>0</v>
      </c>
    </row>
    <row r="141" spans="1:23" ht="15" customHeight="1">
      <c r="A141" s="120"/>
      <c r="B141" s="114"/>
      <c r="C141" s="174">
        <v>5</v>
      </c>
      <c r="D141" s="77">
        <f>IF(初期登録!$B$10*12+初期登録!$D$10&lt;$A141,NA(),[3]各月DI数値!$J31)</f>
        <v>71.428571428571431</v>
      </c>
      <c r="E141" s="78">
        <f>IF(初期登録!$B$10*12+初期登録!$D$10&lt;$A141,NA(),[3]各月DI数値!$S31)</f>
        <v>43.75</v>
      </c>
      <c r="F141" s="77">
        <f>IF(初期登録!$B$10*12+初期登録!$D$10&lt;$A141,NA(),[3]各月DI数値!$AA31)</f>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f>D:D-[3]各月DI数値!J31</f>
        <v>0</v>
      </c>
      <c r="V141" s="56">
        <f>E:E-[3]各月DI数値!S31</f>
        <v>0</v>
      </c>
      <c r="W141" s="56">
        <f>F:F-[3]各月DI数値!AA31</f>
        <v>0</v>
      </c>
    </row>
    <row r="142" spans="1:23" ht="15" customHeight="1">
      <c r="A142" s="120"/>
      <c r="B142" s="114"/>
      <c r="C142" s="174">
        <v>6</v>
      </c>
      <c r="D142" s="77">
        <f>IF(初期登録!$B$10*12+初期登録!$D$10&lt;$A142,NA(),[3]各月DI数値!$J32)</f>
        <v>71.428571428571431</v>
      </c>
      <c r="E142" s="78">
        <f>IF(初期登録!$B$10*12+初期登録!$D$10&lt;$A142,NA(),[3]各月DI数値!$S32)</f>
        <v>62.5</v>
      </c>
      <c r="F142" s="77">
        <f>IF(初期登録!$B$10*12+初期登録!$D$10&lt;$A142,NA(),[3]各月DI数値!$AA32)</f>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f>D:D-[3]各月DI数値!J32</f>
        <v>0</v>
      </c>
      <c r="V142" s="56">
        <f>E:E-[3]各月DI数値!S32</f>
        <v>0</v>
      </c>
      <c r="W142" s="56">
        <f>F:F-[3]各月DI数値!AA32</f>
        <v>0</v>
      </c>
    </row>
    <row r="143" spans="1:23" ht="15" customHeight="1">
      <c r="A143" s="120"/>
      <c r="B143" s="114"/>
      <c r="C143" s="174">
        <v>7</v>
      </c>
      <c r="D143" s="77">
        <f>IF(初期登録!$B$10*12+初期登録!$D$10&lt;$A143,NA(),[3]各月DI数値!$J33)</f>
        <v>85.714285714285708</v>
      </c>
      <c r="E143" s="78">
        <f>IF(初期登録!$B$10*12+初期登録!$D$10&lt;$A143,NA(),[3]各月DI数値!$S33)</f>
        <v>75</v>
      </c>
      <c r="F143" s="77">
        <f>IF(初期登録!$B$10*12+初期登録!$D$10&lt;$A143,NA(),[3]各月DI数値!$AA33)</f>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f>D:D-[3]各月DI数値!J33</f>
        <v>0</v>
      </c>
      <c r="V143" s="56">
        <f>E:E-[3]各月DI数値!S33</f>
        <v>0</v>
      </c>
      <c r="W143" s="56">
        <f>F:F-[3]各月DI数値!AA33</f>
        <v>0</v>
      </c>
    </row>
    <row r="144" spans="1:23" ht="15" customHeight="1">
      <c r="A144" s="120"/>
      <c r="B144" s="114"/>
      <c r="C144" s="174">
        <v>8</v>
      </c>
      <c r="D144" s="77">
        <f>IF(初期登録!$B$10*12+初期登録!$D$10&lt;$A144,NA(),[3]各月DI数値!$J34)</f>
        <v>85.714285714285708</v>
      </c>
      <c r="E144" s="78">
        <f>IF(初期登録!$B$10*12+初期登録!$D$10&lt;$A144,NA(),[3]各月DI数値!$S34)</f>
        <v>87.5</v>
      </c>
      <c r="F144" s="77">
        <f>IF(初期登録!$B$10*12+初期登録!$D$10&lt;$A144,NA(),[3]各月DI数値!$AA34)</f>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f>D:D-[3]各月DI数値!J34</f>
        <v>0</v>
      </c>
      <c r="V144" s="56">
        <f>E:E-[3]各月DI数値!S34</f>
        <v>0</v>
      </c>
      <c r="W144" s="56">
        <f>F:F-[3]各月DI数値!AA34</f>
        <v>0</v>
      </c>
    </row>
    <row r="145" spans="1:23" ht="15" customHeight="1">
      <c r="A145" s="120"/>
      <c r="B145" s="114"/>
      <c r="C145" s="174">
        <v>9</v>
      </c>
      <c r="D145" s="77">
        <f>IF(初期登録!$B$10*12+初期登録!$D$10&lt;$A145,NA(),[3]各月DI数値!$J35)</f>
        <v>85.714285714285708</v>
      </c>
      <c r="E145" s="78">
        <f>IF(初期登録!$B$10*12+初期登録!$D$10&lt;$A145,NA(),[3]各月DI数値!$S35)</f>
        <v>37.5</v>
      </c>
      <c r="F145" s="77">
        <f>IF(初期登録!$B$10*12+初期登録!$D$10&lt;$A145,NA(),[3]各月DI数値!$AA35)</f>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f>D:D-[3]各月DI数値!J35</f>
        <v>0</v>
      </c>
      <c r="V145" s="56">
        <f>E:E-[3]各月DI数値!S35</f>
        <v>0</v>
      </c>
      <c r="W145" s="56">
        <f>F:F-[3]各月DI数値!AA35</f>
        <v>0</v>
      </c>
    </row>
    <row r="146" spans="1:23" ht="15" customHeight="1">
      <c r="A146" s="120"/>
      <c r="B146" s="114"/>
      <c r="C146" s="174">
        <v>10</v>
      </c>
      <c r="D146" s="77">
        <f>IF(初期登録!$B$10*12+初期登録!$D$10&lt;$A146,NA(),[3]各月DI数値!$J36)</f>
        <v>35.714285714285715</v>
      </c>
      <c r="E146" s="78">
        <f>IF(初期登録!$B$10*12+初期登録!$D$10&lt;$A146,NA(),[3]各月DI数値!$S36)</f>
        <v>75</v>
      </c>
      <c r="F146" s="77">
        <f>IF(初期登録!$B$10*12+初期登録!$D$10&lt;$A146,NA(),[3]各月DI数値!$AA36)</f>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f>D:D-[3]各月DI数値!J36</f>
        <v>0</v>
      </c>
      <c r="V146" s="56">
        <f>E:E-[3]各月DI数値!S36</f>
        <v>0</v>
      </c>
      <c r="W146" s="56">
        <f>F:F-[3]各月DI数値!AA36</f>
        <v>0</v>
      </c>
    </row>
    <row r="147" spans="1:23" ht="15" customHeight="1">
      <c r="A147" s="120"/>
      <c r="B147" s="114"/>
      <c r="C147" s="174">
        <v>11</v>
      </c>
      <c r="D147" s="77">
        <f>IF(初期登録!$B$10*12+初期登録!$D$10&lt;$A147,NA(),[3]各月DI数値!$J37)</f>
        <v>28.571428571428573</v>
      </c>
      <c r="E147" s="78">
        <f>IF(初期登録!$B$10*12+初期登録!$D$10&lt;$A147,NA(),[3]各月DI数値!$S37)</f>
        <v>56.25</v>
      </c>
      <c r="F147" s="77">
        <f>IF(初期登録!$B$10*12+初期登録!$D$10&lt;$A147,NA(),[3]各月DI数値!$AA37)</f>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f>D:D-[3]各月DI数値!J37</f>
        <v>0</v>
      </c>
      <c r="V147" s="56">
        <f>E:E-[3]各月DI数値!S37</f>
        <v>0</v>
      </c>
      <c r="W147" s="56">
        <f>F:F-[3]各月DI数値!AA37</f>
        <v>0</v>
      </c>
    </row>
    <row r="148" spans="1:23" ht="15" customHeight="1">
      <c r="A148" s="120"/>
      <c r="B148" s="116"/>
      <c r="C148" s="177">
        <v>12</v>
      </c>
      <c r="D148" s="150">
        <f>IF(初期登録!$B$10*12+初期登録!$D$10&lt;$A148,NA(),[3]各月DI数値!$J38)</f>
        <v>14.285714285714286</v>
      </c>
      <c r="E148" s="151">
        <f>IF(初期登録!$B$10*12+初期登録!$D$10&lt;$A148,NA(),[3]各月DI数値!$S38)</f>
        <v>25</v>
      </c>
      <c r="F148" s="150">
        <f>IF(初期登録!$B$10*12+初期登録!$D$10&lt;$A148,NA(),[3]各月DI数値!$AA38)</f>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f>D:D-[3]各月DI数値!J38</f>
        <v>0</v>
      </c>
      <c r="V148" s="65">
        <f>E:E-[3]各月DI数値!S38</f>
        <v>0</v>
      </c>
      <c r="W148" s="65">
        <f>F:F-[3]各月DI数値!AA38</f>
        <v>0</v>
      </c>
    </row>
    <row r="149" spans="1:23" ht="15" customHeight="1">
      <c r="A149" s="125"/>
      <c r="B149" s="126">
        <v>3</v>
      </c>
      <c r="C149" s="173">
        <v>1</v>
      </c>
      <c r="D149" s="161">
        <f>IF(初期登録!$B$10*12+初期登録!$D$10&lt;$A149,NA(),[3]各月DI数値!$J39)</f>
        <v>28.571428571428573</v>
      </c>
      <c r="E149" s="162">
        <f>IF(初期登録!$B$10*12+初期登録!$D$10&lt;$A149,NA(),[3]各月DI数値!$S39)</f>
        <v>50</v>
      </c>
      <c r="F149" s="161">
        <f>IF(初期登録!$B$10*12+初期登録!$D$10&lt;$A149,NA(),[3]各月DI数値!$AA39)</f>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c r="U149" s="34">
        <f>D:D-[3]各月DI数値!J39</f>
        <v>0</v>
      </c>
      <c r="V149" s="34">
        <f>E:E-[3]各月DI数値!S39</f>
        <v>0</v>
      </c>
      <c r="W149" s="34">
        <f>F:F-[3]各月DI数値!AA39</f>
        <v>0</v>
      </c>
    </row>
    <row r="150" spans="1:23" ht="15" customHeight="1">
      <c r="A150" s="120"/>
      <c r="B150" s="114"/>
      <c r="C150" s="174">
        <v>2</v>
      </c>
      <c r="D150" s="77">
        <f>IF(初期登録!$B$10*12+初期登録!$D$10&lt;$A150,NA(),[3]各月DI数値!$J40)</f>
        <v>42.857142857142854</v>
      </c>
      <c r="E150" s="78">
        <f>IF(初期登録!$B$10*12+初期登録!$D$10&lt;$A150,NA(),[3]各月DI数値!$S40)</f>
        <v>62.5</v>
      </c>
      <c r="F150" s="77">
        <f>IF(初期登録!$B$10*12+初期登録!$D$10&lt;$A150,NA(),[3]各月DI数値!$AA40)</f>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f>D:D-[3]各月DI数値!J40</f>
        <v>0</v>
      </c>
      <c r="V150" s="56">
        <f>E:E-[3]各月DI数値!S40</f>
        <v>0</v>
      </c>
      <c r="W150" s="56">
        <f>F:F-[3]各月DI数値!AA40</f>
        <v>0</v>
      </c>
    </row>
    <row r="151" spans="1:23" ht="15" customHeight="1">
      <c r="A151" s="120"/>
      <c r="B151" s="114"/>
      <c r="C151" s="174">
        <v>3</v>
      </c>
      <c r="D151" s="77">
        <f>IF(初期登録!$B$10*12+初期登録!$D$10&lt;$A151,NA(),[3]各月DI数値!$J41)</f>
        <v>42.857142857142854</v>
      </c>
      <c r="E151" s="78">
        <f>IF(初期登録!$B$10*12+初期登録!$D$10&lt;$A151,NA(),[3]各月DI数値!$S41)</f>
        <v>37.5</v>
      </c>
      <c r="F151" s="77">
        <f>IF(初期登録!$B$10*12+初期登録!$D$10&lt;$A151,NA(),[3]各月DI数値!$AA41)</f>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f>D:D-[3]各月DI数値!J41</f>
        <v>0</v>
      </c>
      <c r="V151" s="56">
        <f>E:E-[3]各月DI数値!S41</f>
        <v>0</v>
      </c>
      <c r="W151" s="56">
        <f>F:F-[3]各月DI数値!AA41</f>
        <v>0</v>
      </c>
    </row>
    <row r="152" spans="1:23" ht="15" customHeight="1">
      <c r="A152" s="120"/>
      <c r="B152" s="114"/>
      <c r="C152" s="174">
        <v>4</v>
      </c>
      <c r="D152" s="77">
        <f>IF(初期登録!$B$10*12+初期登録!$D$10&lt;$A152,NA(),[3]各月DI数値!$J42)</f>
        <v>71.428571428571431</v>
      </c>
      <c r="E152" s="78">
        <f>IF(初期登録!$B$10*12+初期登録!$D$10&lt;$A152,NA(),[3]各月DI数値!$S42)</f>
        <v>75</v>
      </c>
      <c r="F152" s="77">
        <f>IF(初期登録!$B$10*12+初期登録!$D$10&lt;$A152,NA(),[3]各月DI数値!$AA42)</f>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f>D:D-[3]各月DI数値!J42</f>
        <v>0</v>
      </c>
      <c r="V152" s="56">
        <f>E:E-[3]各月DI数値!S42</f>
        <v>0</v>
      </c>
      <c r="W152" s="56">
        <f>F:F-[3]各月DI数値!AA42</f>
        <v>0</v>
      </c>
    </row>
    <row r="153" spans="1:23" ht="15" customHeight="1">
      <c r="A153" s="120"/>
      <c r="B153" s="114"/>
      <c r="C153" s="174">
        <v>5</v>
      </c>
      <c r="D153" s="77">
        <f>IF(初期登録!$B$10*12+初期登録!$D$10&lt;$A153,NA(),[3]各月DI数値!$J43)</f>
        <v>42.857142857142854</v>
      </c>
      <c r="E153" s="78">
        <f>IF(初期登録!$B$10*12+初期登録!$D$10&lt;$A153,NA(),[3]各月DI数値!$S43)</f>
        <v>75</v>
      </c>
      <c r="F153" s="77">
        <f>IF(初期登録!$B$10*12+初期登録!$D$10&lt;$A153,NA(),[3]各月DI数値!$AA43)</f>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f>D:D-[3]各月DI数値!J43</f>
        <v>0</v>
      </c>
      <c r="V153" s="56">
        <f>E:E-[3]各月DI数値!S43</f>
        <v>0</v>
      </c>
      <c r="W153" s="56">
        <f>F:F-[3]各月DI数値!AA43</f>
        <v>0</v>
      </c>
    </row>
    <row r="154" spans="1:23" ht="15" customHeight="1">
      <c r="A154" s="120"/>
      <c r="B154" s="114"/>
      <c r="C154" s="174">
        <v>6</v>
      </c>
      <c r="D154" s="77">
        <f>IF(初期登録!$B$10*12+初期登録!$D$10&lt;$A154,NA(),[3]各月DI数値!$J44)</f>
        <v>14.285714285714286</v>
      </c>
      <c r="E154" s="78">
        <f>IF(初期登録!$B$10*12+初期登録!$D$10&lt;$A154,NA(),[3]各月DI数値!$S44)</f>
        <v>62.5</v>
      </c>
      <c r="F154" s="77">
        <f>IF(初期登録!$B$10*12+初期登録!$D$10&lt;$A154,NA(),[3]各月DI数値!$AA44)</f>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f>D:D-[3]各月DI数値!J44</f>
        <v>0</v>
      </c>
      <c r="V154" s="56">
        <f>E:E-[3]各月DI数値!S44</f>
        <v>0</v>
      </c>
      <c r="W154" s="56">
        <f>F:F-[3]各月DI数値!AA44</f>
        <v>0</v>
      </c>
    </row>
    <row r="155" spans="1:23" ht="15" customHeight="1">
      <c r="A155" s="120"/>
      <c r="B155" s="114"/>
      <c r="C155" s="174">
        <v>7</v>
      </c>
      <c r="D155" s="77">
        <f>IF(初期登録!$B$10*12+初期登録!$D$10&lt;$A155,NA(),[3]各月DI数値!$J45)</f>
        <v>50</v>
      </c>
      <c r="E155" s="78">
        <f>IF(初期登録!$B$10*12+初期登録!$D$10&lt;$A155,NA(),[3]各月DI数値!$S45)</f>
        <v>50</v>
      </c>
      <c r="F155" s="77">
        <f>IF(初期登録!$B$10*12+初期登録!$D$10&lt;$A155,NA(),[3]各月DI数値!$AA45)</f>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f>D:D-[3]各月DI数値!J45</f>
        <v>0</v>
      </c>
      <c r="V155" s="56">
        <f>E:E-[3]各月DI数値!S45</f>
        <v>0</v>
      </c>
      <c r="W155" s="56">
        <f>F:F-[3]各月DI数値!AA45</f>
        <v>0</v>
      </c>
    </row>
    <row r="156" spans="1:23" ht="15" customHeight="1">
      <c r="A156" s="120"/>
      <c r="B156" s="114"/>
      <c r="C156" s="174">
        <v>8</v>
      </c>
      <c r="D156" s="77">
        <f>IF(初期登録!$B$10*12+初期登録!$D$10&lt;$A156,NA(),[3]各月DI数値!$J46)</f>
        <v>57.142857142857146</v>
      </c>
      <c r="E156" s="78">
        <f>IF(初期登録!$B$10*12+初期登録!$D$10&lt;$A156,NA(),[3]各月DI数値!$S46)</f>
        <v>37.5</v>
      </c>
      <c r="F156" s="77">
        <f>IF(初期登録!$B$10*12+初期登録!$D$10&lt;$A156,NA(),[3]各月DI数値!$AA46)</f>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f>D:D-[3]各月DI数値!J46</f>
        <v>0</v>
      </c>
      <c r="V156" s="56">
        <f>E:E-[3]各月DI数値!S46</f>
        <v>0</v>
      </c>
      <c r="W156" s="56">
        <f>F:F-[3]各月DI数値!AA46</f>
        <v>0</v>
      </c>
    </row>
    <row r="157" spans="1:23" ht="15" customHeight="1">
      <c r="A157" s="120"/>
      <c r="B157" s="114"/>
      <c r="C157" s="174">
        <v>9</v>
      </c>
      <c r="D157" s="77">
        <f>IF(初期登録!$B$10*12+初期登録!$D$10&lt;$A157,NA(),[3]各月DI数値!$J47)</f>
        <v>28.571428571428573</v>
      </c>
      <c r="E157" s="78">
        <f>IF(初期登録!$B$10*12+初期登録!$D$10&lt;$A157,NA(),[3]各月DI数値!$S47)</f>
        <v>0</v>
      </c>
      <c r="F157" s="77">
        <f>IF(初期登録!$B$10*12+初期登録!$D$10&lt;$A157,NA(),[3]各月DI数値!$AA47)</f>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f>D:D-[3]各月DI数値!J47</f>
        <v>0</v>
      </c>
      <c r="V157" s="56">
        <f>E:E-[3]各月DI数値!S47</f>
        <v>0</v>
      </c>
      <c r="W157" s="56">
        <f>F:F-[3]各月DI数値!AA47</f>
        <v>0</v>
      </c>
    </row>
    <row r="158" spans="1:23" ht="15" customHeight="1">
      <c r="A158" s="120"/>
      <c r="B158" s="114"/>
      <c r="C158" s="174">
        <v>10</v>
      </c>
      <c r="D158" s="77">
        <f>IF(初期登録!$B$10*12+初期登録!$D$10&lt;$A158,NA(),[3]各月DI数値!$J48)</f>
        <v>57.142857142857146</v>
      </c>
      <c r="E158" s="78">
        <f>IF(初期登録!$B$10*12+初期登録!$D$10&lt;$A158,NA(),[3]各月DI数値!$S48)</f>
        <v>12.5</v>
      </c>
      <c r="F158" s="77">
        <f>IF(初期登録!$B$10*12+初期登録!$D$10&lt;$A158,NA(),[3]各月DI数値!$AA48)</f>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f>D:D-[3]各月DI数値!J48</f>
        <v>0</v>
      </c>
      <c r="V158" s="56">
        <f>E:E-[3]各月DI数値!S48</f>
        <v>0</v>
      </c>
      <c r="W158" s="56">
        <f>F:F-[3]各月DI数値!AA48</f>
        <v>0</v>
      </c>
    </row>
    <row r="159" spans="1:23" ht="15" customHeight="1">
      <c r="A159" s="120"/>
      <c r="B159" s="114"/>
      <c r="C159" s="174">
        <v>11</v>
      </c>
      <c r="D159" s="77">
        <f>IF(初期登録!$B$10*12+初期登録!$D$10&lt;$A159,NA(),[3]各月DI数値!$J49)</f>
        <v>57.142857142857146</v>
      </c>
      <c r="E159" s="78">
        <f>IF(初期登録!$B$10*12+初期登録!$D$10&lt;$A159,NA(),[3]各月DI数値!$S49)</f>
        <v>50</v>
      </c>
      <c r="F159" s="77">
        <f>IF(初期登録!$B$10*12+初期登録!$D$10&lt;$A159,NA(),[3]各月DI数値!$AA49)</f>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f>D:D-[3]各月DI数値!J49</f>
        <v>0</v>
      </c>
      <c r="V159" s="56">
        <f>E:E-[3]各月DI数値!S49</f>
        <v>0</v>
      </c>
      <c r="W159" s="56">
        <f>F:F-[3]各月DI数値!AA49</f>
        <v>0</v>
      </c>
    </row>
    <row r="160" spans="1:23" ht="15" customHeight="1">
      <c r="A160" s="132"/>
      <c r="B160" s="115"/>
      <c r="C160" s="175">
        <v>12</v>
      </c>
      <c r="D160" s="81">
        <f>IF(初期登録!$B$10*12+初期登録!$D$10&lt;$A160,NA(),[3]各月DI数値!$J50)</f>
        <v>28.571428571428573</v>
      </c>
      <c r="E160" s="82">
        <f>IF(初期登録!$B$10*12+初期登録!$D$10&lt;$A160,NA(),[3]各月DI数値!$S50)</f>
        <v>25</v>
      </c>
      <c r="F160" s="81">
        <f>IF(初期登録!$B$10*12+初期登録!$D$10&lt;$A160,NA(),[3]各月DI数値!$AA50)</f>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f>D:D-[3]各月DI数値!J50</f>
        <v>0</v>
      </c>
      <c r="V160" s="65">
        <f>E:E-[3]各月DI数値!S50</f>
        <v>0</v>
      </c>
      <c r="W160" s="65">
        <f>F:F-[3]各月DI数値!AA50</f>
        <v>0</v>
      </c>
    </row>
    <row r="161" spans="1:23" ht="15" customHeight="1">
      <c r="A161" s="120"/>
      <c r="B161" s="103">
        <v>4</v>
      </c>
      <c r="C161" s="176">
        <v>1</v>
      </c>
      <c r="D161" s="73">
        <f>IF(初期登録!$B$10*12+初期登録!$D$10&lt;$A161,NA(),[3]各月DI数値!$J51)</f>
        <v>42.857142857142854</v>
      </c>
      <c r="E161" s="74">
        <f>IF(初期登録!$B$10*12+初期登録!$D$10&lt;$A161,NA(),[3]各月DI数値!$S51)</f>
        <v>37.5</v>
      </c>
      <c r="F161" s="73">
        <f>IF(初期登録!$B$10*12+初期登録!$D$10&lt;$A161,NA(),[3]各月DI数値!$AA51)</f>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c r="U161" s="34">
        <f>D:D-[3]各月DI数値!J51</f>
        <v>0</v>
      </c>
      <c r="V161" s="34">
        <f>E:E-[3]各月DI数値!S51</f>
        <v>0</v>
      </c>
      <c r="W161" s="34">
        <f>F:F-[3]各月DI数値!AA51</f>
        <v>0</v>
      </c>
    </row>
    <row r="162" spans="1:23" ht="15" customHeight="1">
      <c r="A162" s="120"/>
      <c r="B162" s="114"/>
      <c r="C162" s="174">
        <v>2</v>
      </c>
      <c r="D162" s="77">
        <f>IF(初期登録!$B$10*12+初期登録!$D$10&lt;$A162,NA(),[3]各月DI数値!$J52)</f>
        <v>14.285714285714286</v>
      </c>
      <c r="E162" s="78">
        <f>IF(初期登録!$B$10*12+初期登録!$D$10&lt;$A162,NA(),[3]各月DI数値!$S52)</f>
        <v>37.5</v>
      </c>
      <c r="F162" s="77">
        <f>IF(初期登録!$B$10*12+初期登録!$D$10&lt;$A162,NA(),[3]各月DI数値!$AA52)</f>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f>D:D-[3]各月DI数値!J52</f>
        <v>0</v>
      </c>
      <c r="V162" s="56">
        <f>E:E-[3]各月DI数値!S52</f>
        <v>0</v>
      </c>
      <c r="W162" s="56">
        <f>F:F-[3]各月DI数値!AA52</f>
        <v>0</v>
      </c>
    </row>
    <row r="163" spans="1:23" ht="15" customHeight="1">
      <c r="A163" s="120"/>
      <c r="B163" s="114"/>
      <c r="C163" s="174">
        <v>3</v>
      </c>
      <c r="D163" s="77">
        <f>IF(初期登録!$B$10*12+初期登録!$D$10&lt;$A163,NA(),[3]各月DI数値!$J53)</f>
        <v>14.285714285714286</v>
      </c>
      <c r="E163" s="78">
        <f>IF(初期登録!$B$10*12+初期登録!$D$10&lt;$A163,NA(),[3]各月DI数値!$S53)</f>
        <v>0</v>
      </c>
      <c r="F163" s="77">
        <f>IF(初期登録!$B$10*12+初期登録!$D$10&lt;$A163,NA(),[3]各月DI数値!$AA53)</f>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f>D:D-[3]各月DI数値!J53</f>
        <v>0</v>
      </c>
      <c r="V163" s="56">
        <f>E:E-[3]各月DI数値!S53</f>
        <v>0</v>
      </c>
      <c r="W163" s="56">
        <f>F:F-[3]各月DI数値!AA53</f>
        <v>0</v>
      </c>
    </row>
    <row r="164" spans="1:23" ht="15" customHeight="1">
      <c r="A164" s="120"/>
      <c r="B164" s="114"/>
      <c r="C164" s="174">
        <v>4</v>
      </c>
      <c r="D164" s="77">
        <f>IF(初期登録!$B$10*12+初期登録!$D$10&lt;$A164,NA(),[3]各月DI数値!$J54)</f>
        <v>71.428571428571431</v>
      </c>
      <c r="E164" s="78">
        <f>IF(初期登録!$B$10*12+初期登録!$D$10&lt;$A164,NA(),[3]各月DI数値!$S54)</f>
        <v>12.5</v>
      </c>
      <c r="F164" s="77">
        <f>IF(初期登録!$B$10*12+初期登録!$D$10&lt;$A164,NA(),[3]各月DI数値!$AA54)</f>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f>D:D-[3]各月DI数値!J54</f>
        <v>0</v>
      </c>
      <c r="V164" s="56">
        <f>E:E-[3]各月DI数値!S54</f>
        <v>0</v>
      </c>
      <c r="W164" s="56">
        <f>F:F-[3]各月DI数値!AA54</f>
        <v>0</v>
      </c>
    </row>
    <row r="165" spans="1:23" ht="15" customHeight="1">
      <c r="A165" s="120"/>
      <c r="B165" s="114"/>
      <c r="C165" s="174">
        <v>5</v>
      </c>
      <c r="D165" s="77">
        <f>IF(初期登録!$B$10*12+初期登録!$D$10&lt;$A165,NA(),[3]各月DI数値!$J55)</f>
        <v>28.571428571428573</v>
      </c>
      <c r="E165" s="78">
        <f>IF(初期登録!$B$10*12+初期登録!$D$10&lt;$A165,NA(),[3]各月DI数値!$S55)</f>
        <v>25</v>
      </c>
      <c r="F165" s="77">
        <f>IF(初期登録!$B$10*12+初期登録!$D$10&lt;$A165,NA(),[3]各月DI数値!$AA55)</f>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f>D:D-[3]各月DI数値!J55</f>
        <v>0</v>
      </c>
      <c r="V165" s="56">
        <f>E:E-[3]各月DI数値!S55</f>
        <v>0</v>
      </c>
      <c r="W165" s="56">
        <f>F:F-[3]各月DI数値!AA55</f>
        <v>0</v>
      </c>
    </row>
    <row r="166" spans="1:23" ht="15" customHeight="1">
      <c r="A166" s="120"/>
      <c r="B166" s="114"/>
      <c r="C166" s="174">
        <v>6</v>
      </c>
      <c r="D166" s="77">
        <f>IF(初期登録!$B$10*12+初期登録!$D$10&lt;$A166,NA(),[3]各月DI数値!$J56)</f>
        <v>57.142857142857146</v>
      </c>
      <c r="E166" s="78">
        <f>IF(初期登録!$B$10*12+初期登録!$D$10&lt;$A166,NA(),[3]各月DI数値!$S56)</f>
        <v>0</v>
      </c>
      <c r="F166" s="77">
        <f>IF(初期登録!$B$10*12+初期登録!$D$10&lt;$A166,NA(),[3]各月DI数値!$AA56)</f>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f>D:D-[3]各月DI数値!J56</f>
        <v>0</v>
      </c>
      <c r="V166" s="56">
        <f>E:E-[3]各月DI数値!S56</f>
        <v>0</v>
      </c>
      <c r="W166" s="56">
        <f>F:F-[3]各月DI数値!AA56</f>
        <v>0</v>
      </c>
    </row>
    <row r="167" spans="1:23" ht="15" customHeight="1">
      <c r="A167" s="120"/>
      <c r="B167" s="114"/>
      <c r="C167" s="174">
        <v>7</v>
      </c>
      <c r="D167" s="77">
        <f>IF(初期登録!$B$10*12+初期登録!$D$10&lt;$A167,NA(),[3]各月DI数値!$J57)</f>
        <v>57.142857142857146</v>
      </c>
      <c r="E167" s="78">
        <f>IF(初期登録!$B$10*12+初期登録!$D$10&lt;$A167,NA(),[3]各月DI数値!$S57)</f>
        <v>0</v>
      </c>
      <c r="F167" s="77">
        <f>IF(初期登録!$B$10*12+初期登録!$D$10&lt;$A167,NA(),[3]各月DI数値!$AA57)</f>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f>D:D-[3]各月DI数値!J57</f>
        <v>0</v>
      </c>
      <c r="V167" s="56">
        <f>E:E-[3]各月DI数値!S57</f>
        <v>0</v>
      </c>
      <c r="W167" s="56">
        <f>F:F-[3]各月DI数値!AA57</f>
        <v>0</v>
      </c>
    </row>
    <row r="168" spans="1:23" ht="15" customHeight="1">
      <c r="A168" s="120"/>
      <c r="B168" s="114"/>
      <c r="C168" s="174">
        <v>8</v>
      </c>
      <c r="D168" s="77">
        <f>IF(初期登録!$B$10*12+初期登録!$D$10&lt;$A168,NA(),[3]各月DI数値!$J58)</f>
        <v>57.142857142857146</v>
      </c>
      <c r="E168" s="78">
        <f>IF(初期登録!$B$10*12+初期登録!$D$10&lt;$A168,NA(),[3]各月DI数値!$S58)</f>
        <v>12.5</v>
      </c>
      <c r="F168" s="77">
        <f>IF(初期登録!$B$10*12+初期登録!$D$10&lt;$A168,NA(),[3]各月DI数値!$AA58)</f>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f>D:D-[3]各月DI数値!J58</f>
        <v>0</v>
      </c>
      <c r="V168" s="56">
        <f>E:E-[3]各月DI数値!S58</f>
        <v>0</v>
      </c>
      <c r="W168" s="56">
        <f>F:F-[3]各月DI数値!AA58</f>
        <v>0</v>
      </c>
    </row>
    <row r="169" spans="1:23" ht="15" customHeight="1">
      <c r="A169" s="120"/>
      <c r="B169" s="114"/>
      <c r="C169" s="174">
        <v>9</v>
      </c>
      <c r="D169" s="77">
        <f>IF(初期登録!$B$10*12+初期登録!$D$10&lt;$A169,NA(),[3]各月DI数値!$J59)</f>
        <v>14.285714285714286</v>
      </c>
      <c r="E169" s="78">
        <f>IF(初期登録!$B$10*12+初期登録!$D$10&lt;$A169,NA(),[3]各月DI数値!$S59)</f>
        <v>37.5</v>
      </c>
      <c r="F169" s="77">
        <f>IF(初期登録!$B$10*12+初期登録!$D$10&lt;$A169,NA(),[3]各月DI数値!$AA59)</f>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f>D:D-[3]各月DI数値!J59</f>
        <v>0</v>
      </c>
      <c r="V169" s="56">
        <f>E:E-[3]各月DI数値!S59</f>
        <v>0</v>
      </c>
      <c r="W169" s="56">
        <f>F:F-[3]各月DI数値!AA59</f>
        <v>0</v>
      </c>
    </row>
    <row r="170" spans="1:23" ht="15" customHeight="1">
      <c r="A170" s="120"/>
      <c r="B170" s="114"/>
      <c r="C170" s="174">
        <v>10</v>
      </c>
      <c r="D170" s="77">
        <f>IF(初期登録!$B$10*12+初期登録!$D$10&lt;$A170,NA(),[3]各月DI数値!$J60)</f>
        <v>57.142857142857146</v>
      </c>
      <c r="E170" s="78">
        <f>IF(初期登録!$B$10*12+初期登録!$D$10&lt;$A170,NA(),[3]各月DI数値!$S60)</f>
        <v>12.5</v>
      </c>
      <c r="F170" s="77">
        <f>IF(初期登録!$B$10*12+初期登録!$D$10&lt;$A170,NA(),[3]各月DI数値!$AA60)</f>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f>D:D-[3]各月DI数値!J60</f>
        <v>0</v>
      </c>
      <c r="V170" s="56">
        <f>E:E-[3]各月DI数値!S60</f>
        <v>0</v>
      </c>
      <c r="W170" s="56">
        <f>F:F-[3]各月DI数値!AA60</f>
        <v>0</v>
      </c>
    </row>
    <row r="171" spans="1:23" ht="15" customHeight="1">
      <c r="A171" s="120"/>
      <c r="B171" s="114"/>
      <c r="C171" s="174">
        <v>11</v>
      </c>
      <c r="D171" s="77">
        <f>IF(初期登録!$B$10*12+初期登録!$D$10&lt;$A171,NA(),[3]各月DI数値!$J61)</f>
        <v>14.285714285714286</v>
      </c>
      <c r="E171" s="78">
        <f>IF(初期登録!$B$10*12+初期登録!$D$10&lt;$A171,NA(),[3]各月DI数値!$S61)</f>
        <v>12.5</v>
      </c>
      <c r="F171" s="77">
        <f>IF(初期登録!$B$10*12+初期登録!$D$10&lt;$A171,NA(),[3]各月DI数値!$AA61)</f>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f>D:D-[3]各月DI数値!J61</f>
        <v>0</v>
      </c>
      <c r="V171" s="56">
        <f>E:E-[3]各月DI数値!S61</f>
        <v>0</v>
      </c>
      <c r="W171" s="56">
        <f>F:F-[3]各月DI数値!AA61</f>
        <v>0</v>
      </c>
    </row>
    <row r="172" spans="1:23" ht="15" customHeight="1">
      <c r="A172" s="120"/>
      <c r="B172" s="116"/>
      <c r="C172" s="177">
        <v>12</v>
      </c>
      <c r="D172" s="150">
        <f>IF(初期登録!$B$10*12+初期登録!$D$10&lt;$A172,NA(),[3]各月DI数値!$J62)</f>
        <v>28.571428571428573</v>
      </c>
      <c r="E172" s="151">
        <f>IF(初期登録!$B$10*12+初期登録!$D$10&lt;$A172,NA(),[3]各月DI数値!$S62)</f>
        <v>18.75</v>
      </c>
      <c r="F172" s="150">
        <f>IF(初期登録!$B$10*12+初期登録!$D$10&lt;$A172,NA(),[3]各月DI数値!$AA62)</f>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f>D:D-[3]各月DI数値!J62</f>
        <v>0</v>
      </c>
      <c r="V172" s="65">
        <f>E:E-[3]各月DI数値!S62</f>
        <v>0</v>
      </c>
      <c r="W172" s="65">
        <f>F:F-[3]各月DI数値!AA62</f>
        <v>0</v>
      </c>
    </row>
    <row r="173" spans="1:23" ht="15" customHeight="1">
      <c r="A173" s="125"/>
      <c r="B173" s="126">
        <v>5</v>
      </c>
      <c r="C173" s="173">
        <v>1</v>
      </c>
      <c r="D173" s="161">
        <f>IF(初期登録!$B$10*12+初期登録!$D$10&lt;$A173,NA(),[3]各月DI数値!$J63)</f>
        <v>28.571428571428573</v>
      </c>
      <c r="E173" s="162">
        <f>IF(初期登録!$B$10*12+初期登録!$D$10&lt;$A173,NA(),[3]各月DI数値!$S63)</f>
        <v>62.5</v>
      </c>
      <c r="F173" s="161">
        <f>IF(初期登録!$B$10*12+初期登録!$D$10&lt;$A173,NA(),[3]各月DI数値!$AA63)</f>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c r="U173" s="34">
        <f>D:D-[3]各月DI数値!J63</f>
        <v>0</v>
      </c>
      <c r="V173" s="34">
        <f>E:E-[3]各月DI数値!S63</f>
        <v>0</v>
      </c>
      <c r="W173" s="34">
        <f>F:F-[3]各月DI数値!AA63</f>
        <v>0</v>
      </c>
    </row>
    <row r="174" spans="1:23" ht="15" customHeight="1">
      <c r="A174" s="120"/>
      <c r="B174" s="114"/>
      <c r="C174" s="174">
        <v>2</v>
      </c>
      <c r="D174" s="77">
        <f>IF(初期登録!$B$10*12+初期登録!$D$10&lt;$A174,NA(),[3]各月DI数値!$J64)</f>
        <v>0</v>
      </c>
      <c r="E174" s="78">
        <f>IF(初期登録!$B$10*12+初期登録!$D$10&lt;$A174,NA(),[3]各月DI数値!$S64)</f>
        <v>12.5</v>
      </c>
      <c r="F174" s="77">
        <f>IF(初期登録!$B$10*12+初期登録!$D$10&lt;$A174,NA(),[3]各月DI数値!$AA64)</f>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f>D:D-[3]各月DI数値!J64</f>
        <v>0</v>
      </c>
      <c r="V174" s="56">
        <f>E:E-[3]各月DI数値!S64</f>
        <v>0</v>
      </c>
      <c r="W174" s="56">
        <f>F:F-[3]各月DI数値!AA64</f>
        <v>0</v>
      </c>
    </row>
    <row r="175" spans="1:23" ht="15" customHeight="1">
      <c r="A175" s="120"/>
      <c r="B175" s="114"/>
      <c r="C175" s="174">
        <v>3</v>
      </c>
      <c r="D175" s="77">
        <f>IF(初期登録!$B$10*12+初期登録!$D$10&lt;$A175,NA(),[3]各月DI数値!$J65)</f>
        <v>28.571428571428573</v>
      </c>
      <c r="E175" s="78">
        <f>IF(初期登録!$B$10*12+初期登録!$D$10&lt;$A175,NA(),[3]各月DI数値!$S65)</f>
        <v>62.5</v>
      </c>
      <c r="F175" s="77">
        <f>IF(初期登録!$B$10*12+初期登録!$D$10&lt;$A175,NA(),[3]各月DI数値!$AA65)</f>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f>D:D-[3]各月DI数値!J65</f>
        <v>0</v>
      </c>
      <c r="V175" s="56">
        <f>E:E-[3]各月DI数値!S65</f>
        <v>0</v>
      </c>
      <c r="W175" s="56">
        <f>F:F-[3]各月DI数値!AA65</f>
        <v>0</v>
      </c>
    </row>
    <row r="176" spans="1:23" ht="15" customHeight="1">
      <c r="A176" s="120"/>
      <c r="B176" s="114"/>
      <c r="C176" s="174">
        <v>4</v>
      </c>
      <c r="D176" s="77">
        <f>IF(初期登録!$B$10*12+初期登録!$D$10&lt;$A176,NA(),[3]各月DI数値!$J66)</f>
        <v>57.142857142857146</v>
      </c>
      <c r="E176" s="78">
        <f>IF(初期登録!$B$10*12+初期登録!$D$10&lt;$A176,NA(),[3]各月DI数値!$S66)</f>
        <v>62.5</v>
      </c>
      <c r="F176" s="77">
        <f>IF(初期登録!$B$10*12+初期登録!$D$10&lt;$A176,NA(),[3]各月DI数値!$AA66)</f>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f>D:D-[3]各月DI数値!J66</f>
        <v>0</v>
      </c>
      <c r="V176" s="56">
        <f>E:E-[3]各月DI数値!S66</f>
        <v>0</v>
      </c>
      <c r="W176" s="56">
        <f>F:F-[3]各月DI数値!AA66</f>
        <v>0</v>
      </c>
    </row>
    <row r="177" spans="1:23" ht="15" customHeight="1">
      <c r="A177" s="120"/>
      <c r="B177" s="114"/>
      <c r="C177" s="174">
        <v>5</v>
      </c>
      <c r="D177" s="77">
        <f>IF(初期登録!$B$10*12+初期登録!$D$10&lt;$A177,NA(),[3]各月DI数値!$J67)</f>
        <v>14.285714285714286</v>
      </c>
      <c r="E177" s="78">
        <f>IF(初期登録!$B$10*12+初期登録!$D$10&lt;$A177,NA(),[3]各月DI数値!$S67)</f>
        <v>25</v>
      </c>
      <c r="F177" s="77">
        <f>IF(初期登録!$B$10*12+初期登録!$D$10&lt;$A177,NA(),[3]各月DI数値!$AA67)</f>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f>D:D-[3]各月DI数値!J67</f>
        <v>0</v>
      </c>
      <c r="V177" s="56">
        <f>E:E-[3]各月DI数値!S67</f>
        <v>0</v>
      </c>
      <c r="W177" s="56">
        <f>F:F-[3]各月DI数値!AA67</f>
        <v>0</v>
      </c>
    </row>
    <row r="178" spans="1:23" ht="15" customHeight="1">
      <c r="A178" s="120"/>
      <c r="B178" s="114"/>
      <c r="C178" s="174">
        <v>6</v>
      </c>
      <c r="D178" s="77">
        <f>IF(初期登録!$B$10*12+初期登録!$D$10&lt;$A178,NA(),[3]各月DI数値!$J68)</f>
        <v>28.571428571428573</v>
      </c>
      <c r="E178" s="78">
        <f>IF(初期登録!$B$10*12+初期登録!$D$10&lt;$A178,NA(),[3]各月DI数値!$S68)</f>
        <v>37.5</v>
      </c>
      <c r="F178" s="77">
        <f>IF(初期登録!$B$10*12+初期登録!$D$10&lt;$A178,NA(),[3]各月DI数値!$AA68)</f>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f>D:D-[3]各月DI数値!J68</f>
        <v>0</v>
      </c>
      <c r="V178" s="56">
        <f>E:E-[3]各月DI数値!S68</f>
        <v>0</v>
      </c>
      <c r="W178" s="56">
        <f>F:F-[3]各月DI数値!AA68</f>
        <v>0</v>
      </c>
    </row>
    <row r="179" spans="1:23" ht="15" customHeight="1">
      <c r="A179" s="120"/>
      <c r="B179" s="114"/>
      <c r="C179" s="174">
        <v>7</v>
      </c>
      <c r="D179" s="77">
        <f>IF(初期登録!$B$10*12+初期登録!$D$10&lt;$A179,NA(),[3]各月DI数値!$J69)</f>
        <v>57.142857142857146</v>
      </c>
      <c r="E179" s="78">
        <f>IF(初期登録!$B$10*12+初期登録!$D$10&lt;$A179,NA(),[3]各月DI数値!$S69)</f>
        <v>62.5</v>
      </c>
      <c r="F179" s="77">
        <f>IF(初期登録!$B$10*12+初期登録!$D$10&lt;$A179,NA(),[3]各月DI数値!$AA69)</f>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f>D:D-[3]各月DI数値!J69</f>
        <v>0</v>
      </c>
      <c r="V179" s="56">
        <f>E:E-[3]各月DI数値!S69</f>
        <v>0</v>
      </c>
      <c r="W179" s="56">
        <f>F:F-[3]各月DI数値!AA69</f>
        <v>0</v>
      </c>
    </row>
    <row r="180" spans="1:23" ht="15" customHeight="1">
      <c r="A180" s="120"/>
      <c r="B180" s="114"/>
      <c r="C180" s="174">
        <v>8</v>
      </c>
      <c r="D180" s="77">
        <f>IF(初期登録!$B$10*12+初期登録!$D$10&lt;$A180,NA(),[3]各月DI数値!$J70)</f>
        <v>42.857142857142854</v>
      </c>
      <c r="E180" s="78">
        <f>IF(初期登録!$B$10*12+初期登録!$D$10&lt;$A180,NA(),[3]各月DI数値!$S70)</f>
        <v>25</v>
      </c>
      <c r="F180" s="77">
        <f>IF(初期登録!$B$10*12+初期登録!$D$10&lt;$A180,NA(),[3]各月DI数値!$AA70)</f>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f>D:D-[3]各月DI数値!J70</f>
        <v>0</v>
      </c>
      <c r="V180" s="56">
        <f>E:E-[3]各月DI数値!S70</f>
        <v>0</v>
      </c>
      <c r="W180" s="56">
        <f>F:F-[3]各月DI数値!AA70</f>
        <v>0</v>
      </c>
    </row>
    <row r="181" spans="1:23" ht="15" customHeight="1">
      <c r="A181" s="120"/>
      <c r="B181" s="114"/>
      <c r="C181" s="174">
        <v>9</v>
      </c>
      <c r="D181" s="77">
        <f>IF(初期登録!$B$10*12+初期登録!$D$10&lt;$A181,NA(),[3]各月DI数値!$J71)</f>
        <v>14.285714285714286</v>
      </c>
      <c r="E181" s="78">
        <f>IF(初期登録!$B$10*12+初期登録!$D$10&lt;$A181,NA(),[3]各月DI数値!$S71)</f>
        <v>37.5</v>
      </c>
      <c r="F181" s="77">
        <f>IF(初期登録!$B$10*12+初期登録!$D$10&lt;$A181,NA(),[3]各月DI数値!$AA71)</f>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f>D:D-[3]各月DI数値!J71</f>
        <v>0</v>
      </c>
      <c r="V181" s="56">
        <f>E:E-[3]各月DI数値!S71</f>
        <v>0</v>
      </c>
      <c r="W181" s="56">
        <f>F:F-[3]各月DI数値!AA71</f>
        <v>0</v>
      </c>
    </row>
    <row r="182" spans="1:23" ht="15" customHeight="1">
      <c r="A182" s="120"/>
      <c r="B182" s="114"/>
      <c r="C182" s="174">
        <v>10</v>
      </c>
      <c r="D182" s="77">
        <f>IF(初期登録!$B$10*12+初期登録!$D$10&lt;$A182,NA(),[3]各月DI数値!$J72)</f>
        <v>42.857142857142854</v>
      </c>
      <c r="E182" s="78">
        <f>IF(初期登録!$B$10*12+初期登録!$D$10&lt;$A182,NA(),[3]各月DI数値!$S72)</f>
        <v>25</v>
      </c>
      <c r="F182" s="77">
        <f>IF(初期登録!$B$10*12+初期登録!$D$10&lt;$A182,NA(),[3]各月DI数値!$AA72)</f>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f>D:D-[3]各月DI数値!J72</f>
        <v>0</v>
      </c>
      <c r="V182" s="56">
        <f>E:E-[3]各月DI数値!S72</f>
        <v>0</v>
      </c>
      <c r="W182" s="56">
        <f>F:F-[3]各月DI数値!AA72</f>
        <v>0</v>
      </c>
    </row>
    <row r="183" spans="1:23" ht="15" customHeight="1">
      <c r="A183" s="120"/>
      <c r="B183" s="114"/>
      <c r="C183" s="174">
        <v>11</v>
      </c>
      <c r="D183" s="77">
        <f>IF(初期登録!$B$10*12+初期登録!$D$10&lt;$A183,NA(),[3]各月DI数値!$J73)</f>
        <v>57.142857142857146</v>
      </c>
      <c r="E183" s="78">
        <f>IF(初期登録!$B$10*12+初期登録!$D$10&lt;$A183,NA(),[3]各月DI数値!$S73)</f>
        <v>25</v>
      </c>
      <c r="F183" s="77">
        <f>IF(初期登録!$B$10*12+初期登録!$D$10&lt;$A183,NA(),[3]各月DI数値!$AA73)</f>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f>D:D-[3]各月DI数値!J73</f>
        <v>0</v>
      </c>
      <c r="V183" s="56">
        <f>E:E-[3]各月DI数値!S73</f>
        <v>0</v>
      </c>
      <c r="W183" s="56">
        <f>F:F-[3]各月DI数値!AA73</f>
        <v>0</v>
      </c>
    </row>
    <row r="184" spans="1:23" ht="15" customHeight="1">
      <c r="A184" s="132"/>
      <c r="B184" s="115"/>
      <c r="C184" s="175">
        <v>12</v>
      </c>
      <c r="D184" s="81">
        <f>IF(初期登録!$B$10*12+初期登録!$D$10&lt;$A184,NA(),[3]各月DI数値!$J74)</f>
        <v>42.857142857142854</v>
      </c>
      <c r="E184" s="82">
        <f>IF(初期登録!$B$10*12+初期登録!$D$10&lt;$A184,NA(),[3]各月DI数値!$S74)</f>
        <v>12.5</v>
      </c>
      <c r="F184" s="81">
        <f>IF(初期登録!$B$10*12+初期登録!$D$10&lt;$A184,NA(),[3]各月DI数値!$AA74)</f>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f>D:D-[3]各月DI数値!J74</f>
        <v>0</v>
      </c>
      <c r="V184" s="65">
        <f>E:E-[3]各月DI数値!S74</f>
        <v>0</v>
      </c>
      <c r="W184" s="65">
        <f>F:F-[3]各月DI数値!AA74</f>
        <v>0</v>
      </c>
    </row>
    <row r="185" spans="1:23" ht="15" customHeight="1">
      <c r="A185" s="120"/>
      <c r="B185" s="103">
        <v>6</v>
      </c>
      <c r="C185" s="176">
        <v>1</v>
      </c>
      <c r="D185" s="73">
        <f>IF(初期登録!$B$10*12+初期登録!$D$10&lt;$A185,NA(),[3]各月DI数値!$J75)</f>
        <v>85.714285714285708</v>
      </c>
      <c r="E185" s="74">
        <f>IF(初期登録!$B$10*12+初期登録!$D$10&lt;$A185,NA(),[3]各月DI数値!$S75)</f>
        <v>56.25</v>
      </c>
      <c r="F185" s="73">
        <f>IF(初期登録!$B$10*12+初期登録!$D$10&lt;$A185,NA(),[3]各月DI数値!$AA75)</f>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c r="U185" s="34">
        <f>D:D-[3]各月DI数値!J75</f>
        <v>0</v>
      </c>
      <c r="V185" s="34">
        <f>E:E-[3]各月DI数値!S75</f>
        <v>0</v>
      </c>
      <c r="W185" s="34">
        <f>F:F-[3]各月DI数値!AA75</f>
        <v>0</v>
      </c>
    </row>
    <row r="186" spans="1:23" ht="15" customHeight="1">
      <c r="A186" s="120"/>
      <c r="B186" s="114"/>
      <c r="C186" s="174">
        <v>2</v>
      </c>
      <c r="D186" s="77">
        <f>IF(初期登録!$B$10*12+初期登録!$D$10&lt;$A186,NA(),[3]各月DI数値!$J76)</f>
        <v>71.428571428571431</v>
      </c>
      <c r="E186" s="78">
        <f>IF(初期登録!$B$10*12+初期登録!$D$10&lt;$A186,NA(),[3]各月DI数値!$S76)</f>
        <v>25</v>
      </c>
      <c r="F186" s="77">
        <f>IF(初期登録!$B$10*12+初期登録!$D$10&lt;$A186,NA(),[3]各月DI数値!$AA76)</f>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f>D:D-[3]各月DI数値!J76</f>
        <v>0</v>
      </c>
      <c r="V186" s="56">
        <f>E:E-[3]各月DI数値!S76</f>
        <v>0</v>
      </c>
      <c r="W186" s="56">
        <f>F:F-[3]各月DI数値!AA76</f>
        <v>0</v>
      </c>
    </row>
    <row r="187" spans="1:23" ht="15" customHeight="1">
      <c r="A187" s="120"/>
      <c r="B187" s="114"/>
      <c r="C187" s="174">
        <v>3</v>
      </c>
      <c r="D187" s="77">
        <f>IF(初期登録!$B$10*12+初期登録!$D$10&lt;$A187,NA(),[3]各月DI数値!$J77)</f>
        <v>57.142857142857146</v>
      </c>
      <c r="E187" s="78">
        <f>IF(初期登録!$B$10*12+初期登録!$D$10&lt;$A187,NA(),[3]各月DI数値!$S77)</f>
        <v>87.5</v>
      </c>
      <c r="F187" s="77">
        <f>IF(初期登録!$B$10*12+初期登録!$D$10&lt;$A187,NA(),[3]各月DI数値!$AA77)</f>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f>D:D-[3]各月DI数値!J77</f>
        <v>0</v>
      </c>
      <c r="V187" s="56">
        <f>E:E-[3]各月DI数値!S77</f>
        <v>0</v>
      </c>
      <c r="W187" s="56">
        <f>F:F-[3]各月DI数値!AA77</f>
        <v>0</v>
      </c>
    </row>
    <row r="188" spans="1:23" ht="15" customHeight="1">
      <c r="A188" s="120"/>
      <c r="B188" s="114"/>
      <c r="C188" s="174">
        <v>4</v>
      </c>
      <c r="D188" s="77">
        <f>IF(初期登録!$B$10*12+初期登録!$D$10&lt;$A188,NA(),[3]各月DI数値!$J78)</f>
        <v>85.714285714285708</v>
      </c>
      <c r="E188" s="78">
        <f>IF(初期登録!$B$10*12+初期登録!$D$10&lt;$A188,NA(),[3]各月DI数値!$S78)</f>
        <v>68.75</v>
      </c>
      <c r="F188" s="77">
        <f>IF(初期登録!$B$10*12+初期登録!$D$10&lt;$A188,NA(),[3]各月DI数値!$AA78)</f>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f>D:D-[3]各月DI数値!J78</f>
        <v>0</v>
      </c>
      <c r="V188" s="56">
        <f>E:E-[3]各月DI数値!S78</f>
        <v>0</v>
      </c>
      <c r="W188" s="56">
        <f>F:F-[3]各月DI数値!AA78</f>
        <v>0</v>
      </c>
    </row>
    <row r="189" spans="1:23" ht="15" customHeight="1">
      <c r="A189" s="120"/>
      <c r="B189" s="114"/>
      <c r="C189" s="174">
        <v>5</v>
      </c>
      <c r="D189" s="77">
        <f>IF(初期登録!$B$10*12+初期登録!$D$10&lt;$A189,NA(),[3]各月DI数値!$J79)</f>
        <v>85.714285714285708</v>
      </c>
      <c r="E189" s="78">
        <f>IF(初期登録!$B$10*12+初期登録!$D$10&lt;$A189,NA(),[3]各月DI数値!$S79)</f>
        <v>62.5</v>
      </c>
      <c r="F189" s="77">
        <f>IF(初期登録!$B$10*12+初期登録!$D$10&lt;$A189,NA(),[3]各月DI数値!$AA79)</f>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f>D:D-[3]各月DI数値!J79</f>
        <v>0</v>
      </c>
      <c r="V189" s="56">
        <f>E:E-[3]各月DI数値!S79</f>
        <v>0</v>
      </c>
      <c r="W189" s="56">
        <f>F:F-[3]各月DI数値!AA79</f>
        <v>0</v>
      </c>
    </row>
    <row r="190" spans="1:23" ht="15" customHeight="1">
      <c r="A190" s="120"/>
      <c r="B190" s="114"/>
      <c r="C190" s="174">
        <v>6</v>
      </c>
      <c r="D190" s="77">
        <f>IF(初期登録!$B$10*12+初期登録!$D$10&lt;$A190,NA(),[3]各月DI数値!$J80)</f>
        <v>85.714285714285708</v>
      </c>
      <c r="E190" s="78">
        <f>IF(初期登録!$B$10*12+初期登録!$D$10&lt;$A190,NA(),[3]各月DI数値!$S80)</f>
        <v>50</v>
      </c>
      <c r="F190" s="77">
        <f>IF(初期登録!$B$10*12+初期登録!$D$10&lt;$A190,NA(),[3]各月DI数値!$AA80)</f>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f>D:D-[3]各月DI数値!J80</f>
        <v>0</v>
      </c>
      <c r="V190" s="56">
        <f>E:E-[3]各月DI数値!S80</f>
        <v>0</v>
      </c>
      <c r="W190" s="56">
        <f>F:F-[3]各月DI数値!AA80</f>
        <v>0</v>
      </c>
    </row>
    <row r="191" spans="1:23" ht="15" customHeight="1">
      <c r="A191" s="120"/>
      <c r="B191" s="114"/>
      <c r="C191" s="174">
        <v>7</v>
      </c>
      <c r="D191" s="77">
        <f>IF(初期登録!$B$10*12+初期登録!$D$10&lt;$A191,NA(),[3]各月DI数値!$J81)</f>
        <v>71.428571428571431</v>
      </c>
      <c r="E191" s="78">
        <f>IF(初期登録!$B$10*12+初期登録!$D$10&lt;$A191,NA(),[3]各月DI数値!$S81)</f>
        <v>62.5</v>
      </c>
      <c r="F191" s="77">
        <f>IF(初期登録!$B$10*12+初期登録!$D$10&lt;$A191,NA(),[3]各月DI数値!$AA81)</f>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f>D:D-[3]各月DI数値!J81</f>
        <v>0</v>
      </c>
      <c r="V191" s="56">
        <f>E:E-[3]各月DI数値!S81</f>
        <v>0</v>
      </c>
      <c r="W191" s="56">
        <f>F:F-[3]各月DI数値!AA81</f>
        <v>0</v>
      </c>
    </row>
    <row r="192" spans="1:23" ht="15" customHeight="1">
      <c r="A192" s="120"/>
      <c r="B192" s="114"/>
      <c r="C192" s="174">
        <v>8</v>
      </c>
      <c r="D192" s="77">
        <f>IF(初期登録!$B$10*12+初期登録!$D$10&lt;$A192,NA(),[3]各月DI数値!$J82)</f>
        <v>100</v>
      </c>
      <c r="E192" s="78">
        <f>IF(初期登録!$B$10*12+初期登録!$D$10&lt;$A192,NA(),[3]各月DI数値!$S82)</f>
        <v>31.25</v>
      </c>
      <c r="F192" s="77">
        <f>IF(初期登録!$B$10*12+初期登録!$D$10&lt;$A192,NA(),[3]各月DI数値!$AA82)</f>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f>D:D-[3]各月DI数値!J82</f>
        <v>0</v>
      </c>
      <c r="V192" s="56">
        <f>E:E-[3]各月DI数値!S82</f>
        <v>0</v>
      </c>
      <c r="W192" s="56">
        <f>F:F-[3]各月DI数値!AA82</f>
        <v>0</v>
      </c>
    </row>
    <row r="193" spans="1:23" ht="15" customHeight="1">
      <c r="A193" s="120"/>
      <c r="B193" s="114"/>
      <c r="C193" s="174">
        <v>9</v>
      </c>
      <c r="D193" s="77">
        <f>IF(初期登録!$B$10*12+初期登録!$D$10&lt;$A193,NA(),[3]各月DI数値!$J83)</f>
        <v>57.142857142857146</v>
      </c>
      <c r="E193" s="78">
        <f>IF(初期登録!$B$10*12+初期登録!$D$10&lt;$A193,NA(),[3]各月DI数値!$S83)</f>
        <v>25</v>
      </c>
      <c r="F193" s="77">
        <f>IF(初期登録!$B$10*12+初期登録!$D$10&lt;$A193,NA(),[3]各月DI数値!$AA83)</f>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f>D:D-[3]各月DI数値!J83</f>
        <v>0</v>
      </c>
      <c r="V193" s="56">
        <f>E:E-[3]各月DI数値!S83</f>
        <v>0</v>
      </c>
      <c r="W193" s="56">
        <f>F:F-[3]各月DI数値!AA83</f>
        <v>0</v>
      </c>
    </row>
    <row r="194" spans="1:23" ht="15" customHeight="1">
      <c r="A194" s="120"/>
      <c r="B194" s="114"/>
      <c r="C194" s="174">
        <v>10</v>
      </c>
      <c r="D194" s="77">
        <f>IF(初期登録!$B$10*12+初期登録!$D$10&lt;$A194,NA(),[3]各月DI数値!$J84)</f>
        <v>64.285714285714292</v>
      </c>
      <c r="E194" s="78">
        <f>IF(初期登録!$B$10*12+初期登録!$D$10&lt;$A194,NA(),[3]各月DI数値!$S84)</f>
        <v>50</v>
      </c>
      <c r="F194" s="77">
        <f>IF(初期登録!$B$10*12+初期登録!$D$10&lt;$A194,NA(),[3]各月DI数値!$AA84)</f>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f>D:D-[3]各月DI数値!J84</f>
        <v>0</v>
      </c>
      <c r="V194" s="56">
        <f>E:E-[3]各月DI数値!S84</f>
        <v>0</v>
      </c>
      <c r="W194" s="56">
        <f>F:F-[3]各月DI数値!AA84</f>
        <v>0</v>
      </c>
    </row>
    <row r="195" spans="1:23" ht="15" customHeight="1">
      <c r="A195" s="120"/>
      <c r="B195" s="114"/>
      <c r="C195" s="174">
        <v>11</v>
      </c>
      <c r="D195" s="77">
        <f>IF(初期登録!$B$10*12+初期登録!$D$10&lt;$A195,NA(),[3]各月DI数値!$J85)</f>
        <v>42.857142857142854</v>
      </c>
      <c r="E195" s="78">
        <f>IF(初期登録!$B$10*12+初期登録!$D$10&lt;$A195,NA(),[3]各月DI数値!$S85)</f>
        <v>87.5</v>
      </c>
      <c r="F195" s="77">
        <f>IF(初期登録!$B$10*12+初期登録!$D$10&lt;$A195,NA(),[3]各月DI数値!$AA85)</f>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f>D:D-[3]各月DI数値!J85</f>
        <v>0</v>
      </c>
      <c r="V195" s="56">
        <f>E:E-[3]各月DI数値!S85</f>
        <v>0</v>
      </c>
      <c r="W195" s="56">
        <f>F:F-[3]各月DI数値!AA85</f>
        <v>0</v>
      </c>
    </row>
    <row r="196" spans="1:23" ht="15" customHeight="1">
      <c r="A196" s="120"/>
      <c r="B196" s="116"/>
      <c r="C196" s="177">
        <v>12</v>
      </c>
      <c r="D196" s="150">
        <f>IF(初期登録!$B$10*12+初期登録!$D$10&lt;$A196,NA(),[3]各月DI数値!$J86)</f>
        <v>42.857142857142854</v>
      </c>
      <c r="E196" s="151">
        <f>IF(初期登録!$B$10*12+初期登録!$D$10&lt;$A196,NA(),[3]各月DI数値!$S86)</f>
        <v>62.5</v>
      </c>
      <c r="F196" s="150">
        <f>IF(初期登録!$B$10*12+初期登録!$D$10&lt;$A196,NA(),[3]各月DI数値!$AA86)</f>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f>D:D-[3]各月DI数値!J86</f>
        <v>0</v>
      </c>
      <c r="V196" s="65">
        <f>E:E-[3]各月DI数値!S86</f>
        <v>0</v>
      </c>
      <c r="W196" s="65">
        <f>F:F-[3]各月DI数値!AA86</f>
        <v>0</v>
      </c>
    </row>
    <row r="197" spans="1:23" ht="15" customHeight="1">
      <c r="A197" s="125"/>
      <c r="B197" s="126">
        <v>7</v>
      </c>
      <c r="C197" s="173">
        <v>1</v>
      </c>
      <c r="D197" s="640">
        <f>IF(初期登録!$B$10*12+初期登録!$D$10&lt;$A197,NA(),[3]各月DI数値!$J87)</f>
        <v>57.142857142857146</v>
      </c>
      <c r="E197" s="165">
        <f>IF(初期登録!$B$10*12+初期登録!$D$10&lt;$A197,NA(),[3]各月DI数値!$S87)</f>
        <v>62.5</v>
      </c>
      <c r="F197" s="641">
        <f>IF(初期登録!$B$10*12+初期登録!$D$10&lt;$A197,NA(),[3]各月DI数値!$AA87)</f>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c r="U197" s="34">
        <f>D:D-[3]各月DI数値!J87</f>
        <v>0</v>
      </c>
      <c r="V197" s="34">
        <f>E:E-[3]各月DI数値!S87</f>
        <v>0</v>
      </c>
      <c r="W197" s="34">
        <f>F:F-[3]各月DI数値!AA87</f>
        <v>0</v>
      </c>
    </row>
    <row r="198" spans="1:23" ht="15" customHeight="1">
      <c r="A198" s="120"/>
      <c r="B198" s="114"/>
      <c r="C198" s="174">
        <v>2</v>
      </c>
      <c r="D198" s="642">
        <f>IF(初期登録!$B$10*12+初期登録!$D$10&lt;$A198,NA(),[3]各月DI数値!$J88)</f>
        <v>57.142857142857146</v>
      </c>
      <c r="E198" s="88">
        <f>IF(初期登録!$B$10*12+初期登録!$D$10&lt;$A198,NA(),[3]各月DI数値!$S88)</f>
        <v>81.25</v>
      </c>
      <c r="F198" s="643">
        <f>IF(初期登録!$B$10*12+初期登録!$D$10&lt;$A198,NA(),[3]各月DI数値!$AA88)</f>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f>D:D-[3]各月DI数値!J88</f>
        <v>0</v>
      </c>
      <c r="V198" s="56">
        <f>E:E-[3]各月DI数値!S88</f>
        <v>0</v>
      </c>
      <c r="W198" s="56">
        <f>F:F-[3]各月DI数値!AA88</f>
        <v>0</v>
      </c>
    </row>
    <row r="199" spans="1:23" ht="15" customHeight="1">
      <c r="A199" s="120"/>
      <c r="B199" s="114"/>
      <c r="C199" s="174">
        <v>3</v>
      </c>
      <c r="D199" s="642">
        <f>IF(初期登録!$B$10*12+初期登録!$D$10&lt;$A199,NA(),[3]各月DI数値!$J89)</f>
        <v>28.571428571428573</v>
      </c>
      <c r="E199" s="88">
        <f>IF(初期登録!$B$10*12+初期登録!$D$10&lt;$A199,NA(),[3]各月DI数値!$S89)</f>
        <v>25</v>
      </c>
      <c r="F199" s="643">
        <f>IF(初期登録!$B$10*12+初期登録!$D$10&lt;$A199,NA(),[3]各月DI数値!$AA89)</f>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f>D:D-[3]各月DI数値!J89</f>
        <v>0</v>
      </c>
      <c r="V199" s="56">
        <f>E:E-[3]各月DI数値!S89</f>
        <v>0</v>
      </c>
      <c r="W199" s="56">
        <f>F:F-[3]各月DI数値!AA89</f>
        <v>0</v>
      </c>
    </row>
    <row r="200" spans="1:23" ht="15" customHeight="1">
      <c r="A200" s="120"/>
      <c r="B200" s="114"/>
      <c r="C200" s="174">
        <v>4</v>
      </c>
      <c r="D200" s="642">
        <f>IF(初期登録!$B$10*12+初期登録!$D$10&lt;$A200,NA(),[3]各月DI数値!$J90)</f>
        <v>28.571428571428573</v>
      </c>
      <c r="E200" s="88">
        <f>IF(初期登録!$B$10*12+初期登録!$D$10&lt;$A200,NA(),[3]各月DI数値!$S90)</f>
        <v>37.5</v>
      </c>
      <c r="F200" s="643">
        <f>IF(初期登録!$B$10*12+初期登録!$D$10&lt;$A200,NA(),[3]各月DI数値!$AA90)</f>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f>D:D-[3]各月DI数値!J90</f>
        <v>0</v>
      </c>
      <c r="V200" s="56">
        <f>E:E-[3]各月DI数値!S90</f>
        <v>0</v>
      </c>
      <c r="W200" s="56">
        <f>F:F-[3]各月DI数値!AA90</f>
        <v>0</v>
      </c>
    </row>
    <row r="201" spans="1:23" ht="15" customHeight="1">
      <c r="A201" s="120"/>
      <c r="B201" s="114"/>
      <c r="C201" s="174">
        <v>5</v>
      </c>
      <c r="D201" s="642">
        <f>IF(初期登録!$B$10*12+初期登録!$D$10&lt;$A201,NA(),[3]各月DI数値!$J91)</f>
        <v>28.571428571428573</v>
      </c>
      <c r="E201" s="88">
        <f>IF(初期登録!$B$10*12+初期登録!$D$10&lt;$A201,NA(),[3]各月DI数値!$S91)</f>
        <v>50</v>
      </c>
      <c r="F201" s="643">
        <f>IF(初期登録!$B$10*12+初期登録!$D$10&lt;$A201,NA(),[3]各月DI数値!$AA91)</f>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f>D:D-[3]各月DI数値!J91</f>
        <v>0</v>
      </c>
      <c r="V201" s="56">
        <f>E:E-[3]各月DI数値!S91</f>
        <v>0</v>
      </c>
      <c r="W201" s="56">
        <f>F:F-[3]各月DI数値!AA91</f>
        <v>0</v>
      </c>
    </row>
    <row r="202" spans="1:23" ht="15" customHeight="1">
      <c r="A202" s="120"/>
      <c r="B202" s="114"/>
      <c r="C202" s="174">
        <v>6</v>
      </c>
      <c r="D202" s="642">
        <f>IF(初期登録!$B$10*12+初期登録!$D$10&lt;$A202,NA(),[3]各月DI数値!$J92)</f>
        <v>28.571428571428573</v>
      </c>
      <c r="E202" s="88">
        <f>IF(初期登録!$B$10*12+初期登録!$D$10&lt;$A202,NA(),[3]各月DI数値!$S92)</f>
        <v>37.5</v>
      </c>
      <c r="F202" s="643">
        <f>IF(初期登録!$B$10*12+初期登録!$D$10&lt;$A202,NA(),[3]各月DI数値!$AA92)</f>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f>D:D-[3]各月DI数値!J92</f>
        <v>0</v>
      </c>
      <c r="V202" s="56">
        <f>E:E-[3]各月DI数値!S92</f>
        <v>0</v>
      </c>
      <c r="W202" s="56">
        <f>F:F-[3]各月DI数値!AA92</f>
        <v>0</v>
      </c>
    </row>
    <row r="203" spans="1:23" ht="15" customHeight="1">
      <c r="A203" s="120"/>
      <c r="B203" s="114"/>
      <c r="C203" s="174">
        <v>7</v>
      </c>
      <c r="D203" s="642">
        <f>IF(初期登録!$B$10*12+初期登録!$D$10&lt;$A203,NA(),[3]各月DI数値!$J93)</f>
        <v>28.571428571428573</v>
      </c>
      <c r="E203" s="88">
        <f>IF(初期登録!$B$10*12+初期登録!$D$10&lt;$A203,NA(),[3]各月DI数値!$S93)</f>
        <v>25</v>
      </c>
      <c r="F203" s="643">
        <f>IF(初期登録!$B$10*12+初期登録!$D$10&lt;$A203,NA(),[3]各月DI数値!$AA93)</f>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f>D:D-[3]各月DI数値!J93</f>
        <v>0</v>
      </c>
      <c r="V203" s="56">
        <f>E:E-[3]各月DI数値!S93</f>
        <v>0</v>
      </c>
      <c r="W203" s="56">
        <f>F:F-[3]各月DI数値!AA93</f>
        <v>0</v>
      </c>
    </row>
    <row r="204" spans="1:23" ht="15" customHeight="1">
      <c r="A204" s="120"/>
      <c r="B204" s="114"/>
      <c r="C204" s="174">
        <v>8</v>
      </c>
      <c r="D204" s="642">
        <f>IF(初期登録!$B$10*12+初期登録!$D$10&lt;$A204,NA(),[3]各月DI数値!$J94)</f>
        <v>57.142857142857146</v>
      </c>
      <c r="E204" s="88">
        <f>IF(初期登録!$B$10*12+初期登録!$D$10&lt;$A204,NA(),[3]各月DI数値!$S94)</f>
        <v>62.5</v>
      </c>
      <c r="F204" s="643">
        <f>IF(初期登録!$B$10*12+初期登録!$D$10&lt;$A204,NA(),[3]各月DI数値!$AA94)</f>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f>D:D-[3]各月DI数値!J94</f>
        <v>0</v>
      </c>
      <c r="V204" s="56">
        <f>E:E-[3]各月DI数値!S94</f>
        <v>0</v>
      </c>
      <c r="W204" s="56">
        <f>F:F-[3]各月DI数値!AA94</f>
        <v>0</v>
      </c>
    </row>
    <row r="205" spans="1:23" ht="15" customHeight="1">
      <c r="A205" s="120"/>
      <c r="B205" s="114"/>
      <c r="C205" s="174">
        <v>9</v>
      </c>
      <c r="D205" s="642">
        <f>IF(初期登録!$B$10*12+初期登録!$D$10&lt;$A205,NA(),[3]各月DI数値!$J95)</f>
        <v>57.142857142857146</v>
      </c>
      <c r="E205" s="88">
        <f>IF(初期登録!$B$10*12+初期登録!$D$10&lt;$A205,NA(),[3]各月DI数値!$S95)</f>
        <v>62.5</v>
      </c>
      <c r="F205" s="643">
        <f>IF(初期登録!$B$10*12+初期登録!$D$10&lt;$A205,NA(),[3]各月DI数値!$AA95)</f>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f>D:D-[3]各月DI数値!J95</f>
        <v>0</v>
      </c>
      <c r="V205" s="56">
        <f>E:E-[3]各月DI数値!S95</f>
        <v>0</v>
      </c>
      <c r="W205" s="56">
        <f>F:F-[3]各月DI数値!AA95</f>
        <v>0</v>
      </c>
    </row>
    <row r="206" spans="1:23" ht="15" customHeight="1">
      <c r="A206" s="120"/>
      <c r="B206" s="114"/>
      <c r="C206" s="174">
        <v>10</v>
      </c>
      <c r="D206" s="642">
        <f>IF(初期登録!$B$10*12+初期登録!$D$10&lt;$A206,NA(),[3]各月DI数値!$J96)</f>
        <v>71.428571428571431</v>
      </c>
      <c r="E206" s="88">
        <f>IF(初期登録!$B$10*12+初期登録!$D$10&lt;$A206,NA(),[3]各月DI数値!$S96)</f>
        <v>62.5</v>
      </c>
      <c r="F206" s="643">
        <f>IF(初期登録!$B$10*12+初期登録!$D$10&lt;$A206,NA(),[3]各月DI数値!$AA96)</f>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f>D:D-[3]各月DI数値!J96</f>
        <v>0</v>
      </c>
      <c r="V206" s="56">
        <f>E:E-[3]各月DI数値!S96</f>
        <v>0</v>
      </c>
      <c r="W206" s="56">
        <f>F:F-[3]各月DI数値!AA96</f>
        <v>0</v>
      </c>
    </row>
    <row r="207" spans="1:23" ht="15" customHeight="1">
      <c r="A207" s="120"/>
      <c r="B207" s="114"/>
      <c r="C207" s="174">
        <v>11</v>
      </c>
      <c r="D207" s="642">
        <f>IF(初期登録!$B$10*12+初期登録!$D$10&lt;$A207,NA(),[3]各月DI数値!$J97)</f>
        <v>42.857142857142854</v>
      </c>
      <c r="E207" s="88">
        <f>IF(初期登録!$B$10*12+初期登録!$D$10&lt;$A207,NA(),[3]各月DI数値!$S97)</f>
        <v>62.5</v>
      </c>
      <c r="F207" s="643">
        <f>IF(初期登録!$B$10*12+初期登録!$D$10&lt;$A207,NA(),[3]各月DI数値!$AA97)</f>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f>D:D-[3]各月DI数値!J97</f>
        <v>0</v>
      </c>
      <c r="V207" s="56">
        <f>E:E-[3]各月DI数値!S97</f>
        <v>0</v>
      </c>
      <c r="W207" s="56">
        <f>F:F-[3]各月DI数値!AA97</f>
        <v>0</v>
      </c>
    </row>
    <row r="208" spans="1:23" ht="15" customHeight="1">
      <c r="A208" s="132"/>
      <c r="B208" s="115"/>
      <c r="C208" s="175">
        <v>12</v>
      </c>
      <c r="D208" s="644">
        <f>IF(初期登録!$B$10*12+初期登録!$D$10&lt;$A208,NA(),[3]各月DI数値!$J98)</f>
        <v>71.428571428571431</v>
      </c>
      <c r="E208" s="92">
        <f>IF(初期登録!$B$10*12+初期登録!$D$10&lt;$A208,NA(),[3]各月DI数値!$S98)</f>
        <v>75</v>
      </c>
      <c r="F208" s="93">
        <f>IF(初期登録!$B$10*12+初期登録!$D$10&lt;$A208,NA(),[3]各月DI数値!$AA98)</f>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f>D:D-[3]各月DI数値!J98</f>
        <v>0</v>
      </c>
      <c r="V208" s="65">
        <f>E:E-[3]各月DI数値!S98</f>
        <v>0</v>
      </c>
      <c r="W208" s="65">
        <f>F:F-[3]各月DI数値!AA98</f>
        <v>0</v>
      </c>
    </row>
    <row r="209" spans="1:23" ht="15" customHeight="1">
      <c r="A209" s="120"/>
      <c r="B209" s="103">
        <v>8</v>
      </c>
      <c r="C209" s="176">
        <v>1</v>
      </c>
      <c r="D209" s="640">
        <f>IF(初期登録!$B$10*12+初期登録!$D$10&lt;$A209,NA(),[3]各月DI数値!$J99)</f>
        <v>57.142857142857146</v>
      </c>
      <c r="E209" s="165">
        <f>IF(初期登録!$B$10*12+初期登録!$D$10&lt;$A209,NA(),[3]各月DI数値!$S99)</f>
        <v>75</v>
      </c>
      <c r="F209" s="641">
        <f>IF(初期登録!$B$10*12+初期登録!$D$10&lt;$A209,NA(),[3]各月DI数値!$AA99)</f>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c r="U209" s="34">
        <f>D:D-[3]各月DI数値!J99</f>
        <v>0</v>
      </c>
      <c r="V209" s="34">
        <f>E:E-[3]各月DI数値!S99</f>
        <v>0</v>
      </c>
      <c r="W209" s="34">
        <f>F:F-[3]各月DI数値!AA99</f>
        <v>0</v>
      </c>
    </row>
    <row r="210" spans="1:23" ht="15" customHeight="1">
      <c r="A210" s="120"/>
      <c r="B210" s="114"/>
      <c r="C210" s="174">
        <v>2</v>
      </c>
      <c r="D210" s="642">
        <f>IF(初期登録!$B$10*12+初期登録!$D$10&lt;$A210,NA(),[3]各月DI数値!$J100)</f>
        <v>50</v>
      </c>
      <c r="E210" s="88">
        <f>IF(初期登録!$B$10*12+初期登録!$D$10&lt;$A210,NA(),[3]各月DI数値!$S100)</f>
        <v>62.5</v>
      </c>
      <c r="F210" s="643">
        <f>IF(初期登録!$B$10*12+初期登録!$D$10&lt;$A210,NA(),[3]各月DI数値!$AA100)</f>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f>D:D-[3]各月DI数値!J100</f>
        <v>0</v>
      </c>
      <c r="V210" s="56">
        <f>E:E-[3]各月DI数値!S100</f>
        <v>0</v>
      </c>
      <c r="W210" s="56">
        <f>F:F-[3]各月DI数値!AA100</f>
        <v>0</v>
      </c>
    </row>
    <row r="211" spans="1:23" ht="15" customHeight="1">
      <c r="A211" s="120"/>
      <c r="B211" s="114"/>
      <c r="C211" s="174">
        <v>3</v>
      </c>
      <c r="D211" s="642">
        <f>IF(初期登録!$B$10*12+初期登録!$D$10&lt;$A211,NA(),[3]各月DI数値!$J101)</f>
        <v>85.714285714285708</v>
      </c>
      <c r="E211" s="88">
        <f>IF(初期登録!$B$10*12+初期登録!$D$10&lt;$A211,NA(),[3]各月DI数値!$S101)</f>
        <v>56.25</v>
      </c>
      <c r="F211" s="643">
        <f>IF(初期登録!$B$10*12+初期登録!$D$10&lt;$A211,NA(),[3]各月DI数値!$AA101)</f>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f>D:D-[3]各月DI数値!J101</f>
        <v>0</v>
      </c>
      <c r="V211" s="56">
        <f>E:E-[3]各月DI数値!S101</f>
        <v>0</v>
      </c>
      <c r="W211" s="56">
        <f>F:F-[3]各月DI数値!AA101</f>
        <v>0</v>
      </c>
    </row>
    <row r="212" spans="1:23" ht="15" customHeight="1">
      <c r="A212" s="120"/>
      <c r="B212" s="114"/>
      <c r="C212" s="174">
        <v>4</v>
      </c>
      <c r="D212" s="642">
        <f>IF(初期登録!$B$10*12+初期登録!$D$10&lt;$A212,NA(),[3]各月DI数値!$J102)</f>
        <v>71.428571428571431</v>
      </c>
      <c r="E212" s="88">
        <f>IF(初期登録!$B$10*12+初期登録!$D$10&lt;$A212,NA(),[3]各月DI数値!$S102)</f>
        <v>37.5</v>
      </c>
      <c r="F212" s="643">
        <f>IF(初期登録!$B$10*12+初期登録!$D$10&lt;$A212,NA(),[3]各月DI数値!$AA102)</f>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f>D:D-[3]各月DI数値!J102</f>
        <v>0</v>
      </c>
      <c r="V212" s="56">
        <f>E:E-[3]各月DI数値!S102</f>
        <v>0</v>
      </c>
      <c r="W212" s="56">
        <f>F:F-[3]各月DI数値!AA102</f>
        <v>0</v>
      </c>
    </row>
    <row r="213" spans="1:23" ht="15" customHeight="1">
      <c r="A213" s="120"/>
      <c r="B213" s="114"/>
      <c r="C213" s="174">
        <v>5</v>
      </c>
      <c r="D213" s="642">
        <f>IF(初期登録!$B$10*12+初期登録!$D$10&lt;$A213,NA(),[3]各月DI数値!$J103)</f>
        <v>71.428571428571431</v>
      </c>
      <c r="E213" s="88">
        <f>IF(初期登録!$B$10*12+初期登録!$D$10&lt;$A213,NA(),[3]各月DI数値!$S103)</f>
        <v>50</v>
      </c>
      <c r="F213" s="643">
        <f>IF(初期登録!$B$10*12+初期登録!$D$10&lt;$A213,NA(),[3]各月DI数値!$AA103)</f>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f>D:D-[3]各月DI数値!J103</f>
        <v>0</v>
      </c>
      <c r="V213" s="56">
        <f>E:E-[3]各月DI数値!S103</f>
        <v>0</v>
      </c>
      <c r="W213" s="56">
        <f>F:F-[3]各月DI数値!AA103</f>
        <v>0</v>
      </c>
    </row>
    <row r="214" spans="1:23" ht="15" customHeight="1">
      <c r="A214" s="120"/>
      <c r="B214" s="114"/>
      <c r="C214" s="174">
        <v>6</v>
      </c>
      <c r="D214" s="642">
        <f>IF(初期登録!$B$10*12+初期登録!$D$10&lt;$A214,NA(),[3]各月DI数値!$J104)</f>
        <v>42.857142857142854</v>
      </c>
      <c r="E214" s="88">
        <f>IF(初期登録!$B$10*12+初期登録!$D$10&lt;$A214,NA(),[3]各月DI数値!$S104)</f>
        <v>37.5</v>
      </c>
      <c r="F214" s="643">
        <f>IF(初期登録!$B$10*12+初期登録!$D$10&lt;$A214,NA(),[3]各月DI数値!$AA104)</f>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f>D:D-[3]各月DI数値!J104</f>
        <v>0</v>
      </c>
      <c r="V214" s="56">
        <f>E:E-[3]各月DI数値!S104</f>
        <v>0</v>
      </c>
      <c r="W214" s="56">
        <f>F:F-[3]各月DI数値!AA104</f>
        <v>0</v>
      </c>
    </row>
    <row r="215" spans="1:23" ht="15" customHeight="1">
      <c r="A215" s="120"/>
      <c r="B215" s="114"/>
      <c r="C215" s="174">
        <v>7</v>
      </c>
      <c r="D215" s="642">
        <f>IF(初期登録!$B$10*12+初期登録!$D$10&lt;$A215,NA(),[3]各月DI数値!$J105)</f>
        <v>71.428571428571431</v>
      </c>
      <c r="E215" s="88">
        <f>IF(初期登録!$B$10*12+初期登録!$D$10&lt;$A215,NA(),[3]各月DI数値!$S105)</f>
        <v>25</v>
      </c>
      <c r="F215" s="643">
        <f>IF(初期登録!$B$10*12+初期登録!$D$10&lt;$A215,NA(),[3]各月DI数値!$AA105)</f>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f>D:D-[3]各月DI数値!J105</f>
        <v>0</v>
      </c>
      <c r="V215" s="56">
        <f>E:E-[3]各月DI数値!S105</f>
        <v>0</v>
      </c>
      <c r="W215" s="56">
        <f>F:F-[3]各月DI数値!AA105</f>
        <v>0</v>
      </c>
    </row>
    <row r="216" spans="1:23" ht="15" customHeight="1">
      <c r="A216" s="120"/>
      <c r="B216" s="114"/>
      <c r="C216" s="174">
        <v>8</v>
      </c>
      <c r="D216" s="642">
        <f>IF(初期登録!$B$10*12+初期登録!$D$10&lt;$A216,NA(),[3]各月DI数値!$J106)</f>
        <v>85.714285714285708</v>
      </c>
      <c r="E216" s="88">
        <f>IF(初期登録!$B$10*12+初期登録!$D$10&lt;$A216,NA(),[3]各月DI数値!$S106)</f>
        <v>75</v>
      </c>
      <c r="F216" s="643">
        <f>IF(初期登録!$B$10*12+初期登録!$D$10&lt;$A216,NA(),[3]各月DI数値!$AA106)</f>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f>D:D-[3]各月DI数値!J106</f>
        <v>0</v>
      </c>
      <c r="V216" s="56">
        <f>E:E-[3]各月DI数値!S106</f>
        <v>0</v>
      </c>
      <c r="W216" s="56">
        <f>F:F-[3]各月DI数値!AA106</f>
        <v>0</v>
      </c>
    </row>
    <row r="217" spans="1:23" ht="15" customHeight="1">
      <c r="A217" s="120"/>
      <c r="B217" s="114"/>
      <c r="C217" s="174">
        <v>9</v>
      </c>
      <c r="D217" s="642">
        <f>IF(初期登録!$B$10*12+初期登録!$D$10&lt;$A217,NA(),[3]各月DI数値!$J107)</f>
        <v>85.714285714285708</v>
      </c>
      <c r="E217" s="88">
        <f>IF(初期登録!$B$10*12+初期登録!$D$10&lt;$A217,NA(),[3]各月DI数値!$S107)</f>
        <v>75</v>
      </c>
      <c r="F217" s="643">
        <f>IF(初期登録!$B$10*12+初期登録!$D$10&lt;$A217,NA(),[3]各月DI数値!$AA107)</f>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f>D:D-[3]各月DI数値!J107</f>
        <v>0</v>
      </c>
      <c r="V217" s="56">
        <f>E:E-[3]各月DI数値!S107</f>
        <v>0</v>
      </c>
      <c r="W217" s="56">
        <f>F:F-[3]各月DI数値!AA107</f>
        <v>0</v>
      </c>
    </row>
    <row r="218" spans="1:23" ht="15" customHeight="1">
      <c r="A218" s="120"/>
      <c r="B218" s="114"/>
      <c r="C218" s="174">
        <v>10</v>
      </c>
      <c r="D218" s="642">
        <f>IF(初期登録!$B$10*12+初期登録!$D$10&lt;$A218,NA(),[3]各月DI数値!$J108)</f>
        <v>57.142857142857146</v>
      </c>
      <c r="E218" s="88">
        <f>IF(初期登録!$B$10*12+初期登録!$D$10&lt;$A218,NA(),[3]各月DI数値!$S108)</f>
        <v>75</v>
      </c>
      <c r="F218" s="643">
        <f>IF(初期登録!$B$10*12+初期登録!$D$10&lt;$A218,NA(),[3]各月DI数値!$AA108)</f>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f>D:D-[3]各月DI数値!J108</f>
        <v>0</v>
      </c>
      <c r="V218" s="56">
        <f>E:E-[3]各月DI数値!S108</f>
        <v>0</v>
      </c>
      <c r="W218" s="56">
        <f>F:F-[3]各月DI数値!AA108</f>
        <v>0</v>
      </c>
    </row>
    <row r="219" spans="1:23" ht="15" customHeight="1">
      <c r="A219" s="120"/>
      <c r="B219" s="114"/>
      <c r="C219" s="174">
        <v>11</v>
      </c>
      <c r="D219" s="642">
        <f>IF(初期登録!$B$10*12+初期登録!$D$10&lt;$A219,NA(),[3]各月DI数値!$J109)</f>
        <v>71.428571428571431</v>
      </c>
      <c r="E219" s="88">
        <f>IF(初期登録!$B$10*12+初期登録!$D$10&lt;$A219,NA(),[3]各月DI数値!$S109)</f>
        <v>87.5</v>
      </c>
      <c r="F219" s="643">
        <f>IF(初期登録!$B$10*12+初期登録!$D$10&lt;$A219,NA(),[3]各月DI数値!$AA109)</f>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f>D:D-[3]各月DI数値!J109</f>
        <v>0</v>
      </c>
      <c r="V219" s="56">
        <f>E:E-[3]各月DI数値!S109</f>
        <v>0</v>
      </c>
      <c r="W219" s="56">
        <f>F:F-[3]各月DI数値!AA109</f>
        <v>0</v>
      </c>
    </row>
    <row r="220" spans="1:23" ht="15" customHeight="1">
      <c r="A220" s="120"/>
      <c r="B220" s="116"/>
      <c r="C220" s="177">
        <v>12</v>
      </c>
      <c r="D220" s="644">
        <f>IF(初期登録!$B$10*12+初期登録!$D$10&lt;$A220,NA(),[3]各月DI数値!$J110)</f>
        <v>42.857142857142854</v>
      </c>
      <c r="E220" s="92">
        <f>IF(初期登録!$B$10*12+初期登録!$D$10&lt;$A220,NA(),[3]各月DI数値!$S110)</f>
        <v>50</v>
      </c>
      <c r="F220" s="93">
        <f>IF(初期登録!$B$10*12+初期登録!$D$10&lt;$A220,NA(),[3]各月DI数値!$AA110)</f>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f>D:D-[3]各月DI数値!J110</f>
        <v>0</v>
      </c>
      <c r="V220" s="65">
        <f>E:E-[3]各月DI数値!S110</f>
        <v>0</v>
      </c>
      <c r="W220" s="65">
        <f>F:F-[3]各月DI数値!AA110</f>
        <v>0</v>
      </c>
    </row>
    <row r="221" spans="1:23" ht="15" customHeight="1">
      <c r="A221" s="125"/>
      <c r="B221" s="126">
        <v>9</v>
      </c>
      <c r="C221" s="173">
        <v>1</v>
      </c>
      <c r="D221" s="640">
        <f>IF(初期登録!$B$10*12+初期登録!$D$10&lt;$A221,NA(),[3]各月DI数値!$J111)</f>
        <v>57.142857142857146</v>
      </c>
      <c r="E221" s="165">
        <f>IF(初期登録!$B$10*12+初期登録!$D$10&lt;$A221,NA(),[3]各月DI数値!$S111)</f>
        <v>62.5</v>
      </c>
      <c r="F221" s="641">
        <f>IF(初期登録!$B$10*12+初期登録!$D$10&lt;$A221,NA(),[3]各月DI数値!$AA111)</f>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c r="U221" s="34">
        <f>D:D-[3]各月DI数値!J111</f>
        <v>0</v>
      </c>
      <c r="V221" s="34">
        <f>E:E-[3]各月DI数値!S111</f>
        <v>0</v>
      </c>
      <c r="W221" s="34">
        <f>F:F-[3]各月DI数値!AA111</f>
        <v>0</v>
      </c>
    </row>
    <row r="222" spans="1:23" ht="15" customHeight="1">
      <c r="A222" s="120"/>
      <c r="B222" s="114"/>
      <c r="C222" s="174">
        <v>2</v>
      </c>
      <c r="D222" s="642">
        <f>IF(初期登録!$B$10*12+初期登録!$D$10&lt;$A222,NA(),[3]各月DI数値!$J112)</f>
        <v>57.142857142857146</v>
      </c>
      <c r="E222" s="88">
        <f>IF(初期登録!$B$10*12+初期登録!$D$10&lt;$A222,NA(),[3]各月DI数値!$S112)</f>
        <v>75</v>
      </c>
      <c r="F222" s="643">
        <f>IF(初期登録!$B$10*12+初期登録!$D$10&lt;$A222,NA(),[3]各月DI数値!$AA112)</f>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f>D:D-[3]各月DI数値!J112</f>
        <v>0</v>
      </c>
      <c r="V222" s="56">
        <f>E:E-[3]各月DI数値!S112</f>
        <v>0</v>
      </c>
      <c r="W222" s="56">
        <f>F:F-[3]各月DI数値!AA112</f>
        <v>0</v>
      </c>
    </row>
    <row r="223" spans="1:23" ht="15" customHeight="1">
      <c r="A223" s="120"/>
      <c r="B223" s="114"/>
      <c r="C223" s="174">
        <v>3</v>
      </c>
      <c r="D223" s="642">
        <f>IF(初期登録!$B$10*12+初期登録!$D$10&lt;$A223,NA(),[3]各月DI数値!$J113)</f>
        <v>71.428571428571431</v>
      </c>
      <c r="E223" s="88">
        <f>IF(初期登録!$B$10*12+初期登録!$D$10&lt;$A223,NA(),[3]各月DI数値!$S113)</f>
        <v>50</v>
      </c>
      <c r="F223" s="643">
        <f>IF(初期登録!$B$10*12+初期登録!$D$10&lt;$A223,NA(),[3]各月DI数値!$AA113)</f>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f>D:D-[3]各月DI数値!J113</f>
        <v>0</v>
      </c>
      <c r="V223" s="56">
        <f>E:E-[3]各月DI数値!S113</f>
        <v>0</v>
      </c>
      <c r="W223" s="56">
        <f>F:F-[3]各月DI数値!AA113</f>
        <v>0</v>
      </c>
    </row>
    <row r="224" spans="1:23" ht="15" customHeight="1">
      <c r="A224" s="120"/>
      <c r="B224" s="114"/>
      <c r="C224" s="174">
        <v>4</v>
      </c>
      <c r="D224" s="642">
        <f>IF(初期登録!$B$10*12+初期登録!$D$10&lt;$A224,NA(),[3]各月DI数値!$J114)</f>
        <v>42.857142857142854</v>
      </c>
      <c r="E224" s="88">
        <f>IF(初期登録!$B$10*12+初期登録!$D$10&lt;$A224,NA(),[3]各月DI数値!$S114)</f>
        <v>50</v>
      </c>
      <c r="F224" s="643">
        <f>IF(初期登録!$B$10*12+初期登録!$D$10&lt;$A224,NA(),[3]各月DI数値!$AA114)</f>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f>D:D-[3]各月DI数値!J114</f>
        <v>0</v>
      </c>
      <c r="V224" s="56">
        <f>E:E-[3]各月DI数値!S114</f>
        <v>0</v>
      </c>
      <c r="W224" s="56">
        <f>F:F-[3]各月DI数値!AA114</f>
        <v>0</v>
      </c>
    </row>
    <row r="225" spans="1:23" ht="15" customHeight="1">
      <c r="A225" s="120"/>
      <c r="B225" s="114"/>
      <c r="C225" s="174">
        <v>5</v>
      </c>
      <c r="D225" s="642">
        <f>IF(初期登録!$B$10*12+初期登録!$D$10&lt;$A225,NA(),[3]各月DI数値!$J115)</f>
        <v>42.857142857142854</v>
      </c>
      <c r="E225" s="88">
        <f>IF(初期登録!$B$10*12+初期登録!$D$10&lt;$A225,NA(),[3]各月DI数値!$S115)</f>
        <v>87.5</v>
      </c>
      <c r="F225" s="643">
        <f>IF(初期登録!$B$10*12+初期登録!$D$10&lt;$A225,NA(),[3]各月DI数値!$AA115)</f>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f>D:D-[3]各月DI数値!J115</f>
        <v>0</v>
      </c>
      <c r="V225" s="56">
        <f>E:E-[3]各月DI数値!S115</f>
        <v>0</v>
      </c>
      <c r="W225" s="56">
        <f>F:F-[3]各月DI数値!AA115</f>
        <v>0</v>
      </c>
    </row>
    <row r="226" spans="1:23" ht="15" customHeight="1">
      <c r="A226" s="120"/>
      <c r="B226" s="114"/>
      <c r="C226" s="174">
        <v>6</v>
      </c>
      <c r="D226" s="642">
        <f>IF(初期登録!$B$10*12+初期登録!$D$10&lt;$A226,NA(),[3]各月DI数値!$J116)</f>
        <v>14.285714285714286</v>
      </c>
      <c r="E226" s="88">
        <f>IF(初期登録!$B$10*12+初期登録!$D$10&lt;$A226,NA(),[3]各月DI数値!$S116)</f>
        <v>68.75</v>
      </c>
      <c r="F226" s="643">
        <f>IF(初期登録!$B$10*12+初期登録!$D$10&lt;$A226,NA(),[3]各月DI数値!$AA116)</f>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f>D:D-[3]各月DI数値!J116</f>
        <v>0</v>
      </c>
      <c r="V226" s="56">
        <f>E:E-[3]各月DI数値!S116</f>
        <v>0</v>
      </c>
      <c r="W226" s="56">
        <f>F:F-[3]各月DI数値!AA116</f>
        <v>0</v>
      </c>
    </row>
    <row r="227" spans="1:23" ht="15" customHeight="1">
      <c r="A227" s="120"/>
      <c r="B227" s="114"/>
      <c r="C227" s="174">
        <v>7</v>
      </c>
      <c r="D227" s="642">
        <f>IF(初期登録!$B$10*12+初期登録!$D$10&lt;$A227,NA(),[3]各月DI数値!$J117)</f>
        <v>7.1428571428571432</v>
      </c>
      <c r="E227" s="88">
        <f>IF(初期登録!$B$10*12+初期登録!$D$10&lt;$A227,NA(),[3]各月DI数値!$S117)</f>
        <v>75</v>
      </c>
      <c r="F227" s="643">
        <f>IF(初期登録!$B$10*12+初期登録!$D$10&lt;$A227,NA(),[3]各月DI数値!$AA117)</f>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f>D:D-[3]各月DI数値!J117</f>
        <v>0</v>
      </c>
      <c r="V227" s="56">
        <f>E:E-[3]各月DI数値!S117</f>
        <v>0</v>
      </c>
      <c r="W227" s="56">
        <f>F:F-[3]各月DI数値!AA117</f>
        <v>0</v>
      </c>
    </row>
    <row r="228" spans="1:23" ht="15" customHeight="1">
      <c r="A228" s="120"/>
      <c r="B228" s="114"/>
      <c r="C228" s="174">
        <v>8</v>
      </c>
      <c r="D228" s="642">
        <f>IF(初期登録!$B$10*12+初期登録!$D$10&lt;$A228,NA(),[3]各月DI数値!$J118)</f>
        <v>14.285714285714286</v>
      </c>
      <c r="E228" s="88">
        <f>IF(初期登録!$B$10*12+初期登録!$D$10&lt;$A228,NA(),[3]各月DI数値!$S118)</f>
        <v>31.25</v>
      </c>
      <c r="F228" s="643">
        <f>IF(初期登録!$B$10*12+初期登録!$D$10&lt;$A228,NA(),[3]各月DI数値!$AA118)</f>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f>D:D-[3]各月DI数値!J118</f>
        <v>0</v>
      </c>
      <c r="V228" s="56">
        <f>E:E-[3]各月DI数値!S118</f>
        <v>0</v>
      </c>
      <c r="W228" s="56">
        <f>F:F-[3]各月DI数値!AA118</f>
        <v>0</v>
      </c>
    </row>
    <row r="229" spans="1:23" ht="15" customHeight="1">
      <c r="A229" s="120"/>
      <c r="B229" s="114"/>
      <c r="C229" s="174">
        <v>9</v>
      </c>
      <c r="D229" s="642">
        <f>IF(初期登録!$B$10*12+初期登録!$D$10&lt;$A229,NA(),[3]各月DI数値!$J119)</f>
        <v>42.857142857142854</v>
      </c>
      <c r="E229" s="88">
        <f>IF(初期登録!$B$10*12+初期登録!$D$10&lt;$A229,NA(),[3]各月DI数値!$S119)</f>
        <v>25</v>
      </c>
      <c r="F229" s="643">
        <f>IF(初期登録!$B$10*12+初期登録!$D$10&lt;$A229,NA(),[3]各月DI数値!$AA119)</f>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f>D:D-[3]各月DI数値!J119</f>
        <v>0</v>
      </c>
      <c r="V229" s="56">
        <f>E:E-[3]各月DI数値!S119</f>
        <v>0</v>
      </c>
      <c r="W229" s="56">
        <f>F:F-[3]各月DI数値!AA119</f>
        <v>0</v>
      </c>
    </row>
    <row r="230" spans="1:23" ht="15" customHeight="1">
      <c r="A230" s="120"/>
      <c r="B230" s="114"/>
      <c r="C230" s="174">
        <v>10</v>
      </c>
      <c r="D230" s="642">
        <f>IF(初期登録!$B$10*12+初期登録!$D$10&lt;$A230,NA(),[3]各月DI数値!$J120)</f>
        <v>14.285714285714286</v>
      </c>
      <c r="E230" s="88">
        <f>IF(初期登録!$B$10*12+初期登録!$D$10&lt;$A230,NA(),[3]各月DI数値!$S120)</f>
        <v>12.5</v>
      </c>
      <c r="F230" s="643">
        <f>IF(初期登録!$B$10*12+初期登録!$D$10&lt;$A230,NA(),[3]各月DI数値!$AA120)</f>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f>D:D-[3]各月DI数値!J120</f>
        <v>0</v>
      </c>
      <c r="V230" s="56">
        <f>E:E-[3]各月DI数値!S120</f>
        <v>0</v>
      </c>
      <c r="W230" s="56">
        <f>F:F-[3]各月DI数値!AA120</f>
        <v>0</v>
      </c>
    </row>
    <row r="231" spans="1:23" ht="15" customHeight="1">
      <c r="A231" s="120"/>
      <c r="B231" s="114"/>
      <c r="C231" s="174">
        <v>11</v>
      </c>
      <c r="D231" s="642">
        <f>IF(初期登録!$B$10*12+初期登録!$D$10&lt;$A231,NA(),[3]各月DI数値!$J121)</f>
        <v>14.285714285714286</v>
      </c>
      <c r="E231" s="88">
        <f>IF(初期登録!$B$10*12+初期登録!$D$10&lt;$A231,NA(),[3]各月DI数値!$S121)</f>
        <v>0</v>
      </c>
      <c r="F231" s="643">
        <f>IF(初期登録!$B$10*12+初期登録!$D$10&lt;$A231,NA(),[3]各月DI数値!$AA121)</f>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f>D:D-[3]各月DI数値!J121</f>
        <v>0</v>
      </c>
      <c r="V231" s="56">
        <f>E:E-[3]各月DI数値!S121</f>
        <v>0</v>
      </c>
      <c r="W231" s="56">
        <f>F:F-[3]各月DI数値!AA121</f>
        <v>0</v>
      </c>
    </row>
    <row r="232" spans="1:23" ht="15" customHeight="1">
      <c r="A232" s="132"/>
      <c r="B232" s="115"/>
      <c r="C232" s="175">
        <v>12</v>
      </c>
      <c r="D232" s="644">
        <f>IF(初期登録!$B$10*12+初期登録!$D$10&lt;$A232,NA(),[3]各月DI数値!$J122)</f>
        <v>28.571428571428573</v>
      </c>
      <c r="E232" s="92">
        <f>IF(初期登録!$B$10*12+初期登録!$D$10&lt;$A232,NA(),[3]各月DI数値!$S122)</f>
        <v>0</v>
      </c>
      <c r="F232" s="93">
        <f>IF(初期登録!$B$10*12+初期登録!$D$10&lt;$A232,NA(),[3]各月DI数値!$AA122)</f>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f>D:D-[3]各月DI数値!J122</f>
        <v>0</v>
      </c>
      <c r="V232" s="65">
        <f>E:E-[3]各月DI数値!S122</f>
        <v>0</v>
      </c>
      <c r="W232" s="65">
        <f>F:F-[3]各月DI数値!AA122</f>
        <v>0</v>
      </c>
    </row>
    <row r="233" spans="1:23" ht="15" customHeight="1">
      <c r="A233" s="120"/>
      <c r="B233" s="103">
        <v>10</v>
      </c>
      <c r="C233" s="176">
        <v>1</v>
      </c>
      <c r="D233" s="640">
        <f>IF(初期登録!$B$10*12+初期登録!$D$10&lt;$A233,NA(),[3]各月DI数値!$J123)</f>
        <v>14.285714285714286</v>
      </c>
      <c r="E233" s="165">
        <f>IF(初期登録!$B$10*12+初期登録!$D$10&lt;$A233,NA(),[3]各月DI数値!$S123)</f>
        <v>0</v>
      </c>
      <c r="F233" s="641">
        <f>IF(初期登録!$B$10*12+初期登録!$D$10&lt;$A233,NA(),[3]各月DI数値!$AA123)</f>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c r="U233" s="34">
        <f>D:D-[3]各月DI数値!J123</f>
        <v>0</v>
      </c>
      <c r="V233" s="34">
        <f>E:E-[3]各月DI数値!S123</f>
        <v>0</v>
      </c>
      <c r="W233" s="34">
        <f>F:F-[3]各月DI数値!AA123</f>
        <v>0</v>
      </c>
    </row>
    <row r="234" spans="1:23" ht="15" customHeight="1">
      <c r="A234" s="120"/>
      <c r="B234" s="114"/>
      <c r="C234" s="174">
        <v>2</v>
      </c>
      <c r="D234" s="642">
        <f>IF(初期登録!$B$10*12+初期登録!$D$10&lt;$A234,NA(),[3]各月DI数値!$J124)</f>
        <v>0</v>
      </c>
      <c r="E234" s="88">
        <f>IF(初期登録!$B$10*12+初期登録!$D$10&lt;$A234,NA(),[3]各月DI数値!$S124)</f>
        <v>0</v>
      </c>
      <c r="F234" s="643">
        <f>IF(初期登録!$B$10*12+初期登録!$D$10&lt;$A234,NA(),[3]各月DI数値!$AA124)</f>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f>D:D-[3]各月DI数値!J124</f>
        <v>0</v>
      </c>
      <c r="V234" s="56">
        <f>E:E-[3]各月DI数値!S124</f>
        <v>0</v>
      </c>
      <c r="W234" s="56">
        <f>F:F-[3]各月DI数値!AA124</f>
        <v>0</v>
      </c>
    </row>
    <row r="235" spans="1:23" ht="15" customHeight="1">
      <c r="A235" s="120"/>
      <c r="B235" s="114"/>
      <c r="C235" s="174">
        <v>3</v>
      </c>
      <c r="D235" s="642">
        <f>IF(初期登録!$B$10*12+初期登録!$D$10&lt;$A235,NA(),[3]各月DI数値!$J125)</f>
        <v>28.571428571428573</v>
      </c>
      <c r="E235" s="88">
        <f>IF(初期登録!$B$10*12+初期登録!$D$10&lt;$A235,NA(),[3]各月DI数値!$S125)</f>
        <v>37.5</v>
      </c>
      <c r="F235" s="643">
        <f>IF(初期登録!$B$10*12+初期登録!$D$10&lt;$A235,NA(),[3]各月DI数値!$AA125)</f>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f>D:D-[3]各月DI数値!J125</f>
        <v>0</v>
      </c>
      <c r="V235" s="56">
        <f>E:E-[3]各月DI数値!S125</f>
        <v>0</v>
      </c>
      <c r="W235" s="56">
        <f>F:F-[3]各月DI数値!AA125</f>
        <v>0</v>
      </c>
    </row>
    <row r="236" spans="1:23" ht="15" customHeight="1">
      <c r="A236" s="120"/>
      <c r="B236" s="114"/>
      <c r="C236" s="174">
        <v>4</v>
      </c>
      <c r="D236" s="642">
        <f>IF(初期登録!$B$10*12+初期登録!$D$10&lt;$A236,NA(),[3]各月DI数値!$J126)</f>
        <v>14.285714285714286</v>
      </c>
      <c r="E236" s="88">
        <f>IF(初期登録!$B$10*12+初期登録!$D$10&lt;$A236,NA(),[3]各月DI数値!$S126)</f>
        <v>0</v>
      </c>
      <c r="F236" s="643">
        <f>IF(初期登録!$B$10*12+初期登録!$D$10&lt;$A236,NA(),[3]各月DI数値!$AA126)</f>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f>D:D-[3]各月DI数値!J126</f>
        <v>0</v>
      </c>
      <c r="V236" s="56">
        <f>E:E-[3]各月DI数値!S126</f>
        <v>0</v>
      </c>
      <c r="W236" s="56">
        <f>F:F-[3]各月DI数値!AA126</f>
        <v>0</v>
      </c>
    </row>
    <row r="237" spans="1:23" ht="15" customHeight="1">
      <c r="A237" s="120"/>
      <c r="B237" s="114"/>
      <c r="C237" s="174">
        <v>5</v>
      </c>
      <c r="D237" s="642">
        <f>IF(初期登録!$B$10*12+初期登録!$D$10&lt;$A237,NA(),[3]各月DI数値!$J127)</f>
        <v>0</v>
      </c>
      <c r="E237" s="88">
        <f>IF(初期登録!$B$10*12+初期登録!$D$10&lt;$A237,NA(),[3]各月DI数値!$S127)</f>
        <v>12.5</v>
      </c>
      <c r="F237" s="643">
        <f>IF(初期登録!$B$10*12+初期登録!$D$10&lt;$A237,NA(),[3]各月DI数値!$AA127)</f>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f>D:D-[3]各月DI数値!J127</f>
        <v>0</v>
      </c>
      <c r="V237" s="56">
        <f>E:E-[3]各月DI数値!S127</f>
        <v>0</v>
      </c>
      <c r="W237" s="56">
        <f>F:F-[3]各月DI数値!AA127</f>
        <v>0</v>
      </c>
    </row>
    <row r="238" spans="1:23" ht="15" customHeight="1">
      <c r="A238" s="120"/>
      <c r="B238" s="114"/>
      <c r="C238" s="174">
        <v>6</v>
      </c>
      <c r="D238" s="642">
        <f>IF(初期登録!$B$10*12+初期登録!$D$10&lt;$A238,NA(),[3]各月DI数値!$J128)</f>
        <v>28.571428571428573</v>
      </c>
      <c r="E238" s="88">
        <f>IF(初期登録!$B$10*12+初期登録!$D$10&lt;$A238,NA(),[3]各月DI数値!$S128)</f>
        <v>37.5</v>
      </c>
      <c r="F238" s="643">
        <f>IF(初期登録!$B$10*12+初期登録!$D$10&lt;$A238,NA(),[3]各月DI数値!$AA128)</f>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f>D:D-[3]各月DI数値!J128</f>
        <v>0</v>
      </c>
      <c r="V238" s="56">
        <f>E:E-[3]各月DI数値!S128</f>
        <v>0</v>
      </c>
      <c r="W238" s="56">
        <f>F:F-[3]各月DI数値!AA128</f>
        <v>0</v>
      </c>
    </row>
    <row r="239" spans="1:23" ht="15" customHeight="1">
      <c r="A239" s="120"/>
      <c r="B239" s="114"/>
      <c r="C239" s="174">
        <v>7</v>
      </c>
      <c r="D239" s="642">
        <f>IF(初期登録!$B$10*12+初期登録!$D$10&lt;$A239,NA(),[3]各月DI数値!$J129)</f>
        <v>28.571428571428573</v>
      </c>
      <c r="E239" s="88">
        <f>IF(初期登録!$B$10*12+初期登録!$D$10&lt;$A239,NA(),[3]各月DI数値!$S129)</f>
        <v>25</v>
      </c>
      <c r="F239" s="643">
        <f>IF(初期登録!$B$10*12+初期登録!$D$10&lt;$A239,NA(),[3]各月DI数値!$AA129)</f>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f>D:D-[3]各月DI数値!J129</f>
        <v>0</v>
      </c>
      <c r="V239" s="56">
        <f>E:E-[3]各月DI数値!S129</f>
        <v>0</v>
      </c>
      <c r="W239" s="56">
        <f>F:F-[3]各月DI数値!AA129</f>
        <v>0</v>
      </c>
    </row>
    <row r="240" spans="1:23" ht="15" customHeight="1">
      <c r="A240" s="120"/>
      <c r="B240" s="114"/>
      <c r="C240" s="174">
        <v>8</v>
      </c>
      <c r="D240" s="642">
        <f>IF(初期登録!$B$10*12+初期登録!$D$10&lt;$A240,NA(),[3]各月DI数値!$J130)</f>
        <v>14.285714285714286</v>
      </c>
      <c r="E240" s="88">
        <f>IF(初期登録!$B$10*12+初期登録!$D$10&lt;$A240,NA(),[3]各月DI数値!$S130)</f>
        <v>12.5</v>
      </c>
      <c r="F240" s="643">
        <f>IF(初期登録!$B$10*12+初期登録!$D$10&lt;$A240,NA(),[3]各月DI数値!$AA130)</f>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f>D:D-[3]各月DI数値!J130</f>
        <v>0</v>
      </c>
      <c r="V240" s="56">
        <f>E:E-[3]各月DI数値!S130</f>
        <v>0</v>
      </c>
      <c r="W240" s="56">
        <f>F:F-[3]各月DI数値!AA130</f>
        <v>0</v>
      </c>
    </row>
    <row r="241" spans="1:23" ht="15" customHeight="1">
      <c r="A241" s="120"/>
      <c r="B241" s="114"/>
      <c r="C241" s="174">
        <v>9</v>
      </c>
      <c r="D241" s="642">
        <f>IF(初期登録!$B$10*12+初期登録!$D$10&lt;$A241,NA(),[3]各月DI数値!$J131)</f>
        <v>21.428571428571427</v>
      </c>
      <c r="E241" s="88">
        <f>IF(初期登録!$B$10*12+初期登録!$D$10&lt;$A241,NA(),[3]各月DI数値!$S131)</f>
        <v>25</v>
      </c>
      <c r="F241" s="643">
        <f>IF(初期登録!$B$10*12+初期登録!$D$10&lt;$A241,NA(),[3]各月DI数値!$AA131)</f>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f>D:D-[3]各月DI数値!J131</f>
        <v>0</v>
      </c>
      <c r="V241" s="56">
        <f>E:E-[3]各月DI数値!S131</f>
        <v>0</v>
      </c>
      <c r="W241" s="56">
        <f>F:F-[3]各月DI数値!AA131</f>
        <v>0</v>
      </c>
    </row>
    <row r="242" spans="1:23" ht="15" customHeight="1">
      <c r="A242" s="120"/>
      <c r="B242" s="114"/>
      <c r="C242" s="174">
        <v>10</v>
      </c>
      <c r="D242" s="642">
        <f>IF(初期登録!$B$10*12+初期登録!$D$10&lt;$A242,NA(),[3]各月DI数値!$J132)</f>
        <v>42.857142857142854</v>
      </c>
      <c r="E242" s="88">
        <f>IF(初期登録!$B$10*12+初期登録!$D$10&lt;$A242,NA(),[3]各月DI数値!$S132)</f>
        <v>50</v>
      </c>
      <c r="F242" s="643">
        <f>IF(初期登録!$B$10*12+初期登録!$D$10&lt;$A242,NA(),[3]各月DI数値!$AA132)</f>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f>D:D-[3]各月DI数値!J132</f>
        <v>0</v>
      </c>
      <c r="V242" s="56">
        <f>E:E-[3]各月DI数値!S132</f>
        <v>0</v>
      </c>
      <c r="W242" s="56">
        <f>F:F-[3]各月DI数値!AA132</f>
        <v>0</v>
      </c>
    </row>
    <row r="243" spans="1:23" ht="15" customHeight="1">
      <c r="A243" s="120"/>
      <c r="B243" s="114"/>
      <c r="C243" s="174">
        <v>11</v>
      </c>
      <c r="D243" s="642">
        <f>IF(初期登録!$B$10*12+初期登録!$D$10&lt;$A243,NA(),[3]各月DI数値!$J133)</f>
        <v>28.571428571428573</v>
      </c>
      <c r="E243" s="88">
        <f>IF(初期登録!$B$10*12+初期登録!$D$10&lt;$A243,NA(),[3]各月DI数値!$S133)</f>
        <v>37.5</v>
      </c>
      <c r="F243" s="643">
        <f>IF(初期登録!$B$10*12+初期登録!$D$10&lt;$A243,NA(),[3]各月DI数値!$AA133)</f>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f>D:D-[3]各月DI数値!J133</f>
        <v>0</v>
      </c>
      <c r="V243" s="56">
        <f>E:E-[3]各月DI数値!S133</f>
        <v>0</v>
      </c>
      <c r="W243" s="56">
        <f>F:F-[3]各月DI数値!AA133</f>
        <v>0</v>
      </c>
    </row>
    <row r="244" spans="1:23" ht="15" customHeight="1">
      <c r="A244" s="120"/>
      <c r="B244" s="116"/>
      <c r="C244" s="177">
        <v>12</v>
      </c>
      <c r="D244" s="644">
        <f>IF(初期登録!$B$10*12+初期登録!$D$10&lt;$A244,NA(),[3]各月DI数値!$J134)</f>
        <v>28.571428571428573</v>
      </c>
      <c r="E244" s="92">
        <f>IF(初期登録!$B$10*12+初期登録!$D$10&lt;$A244,NA(),[3]各月DI数値!$S134)</f>
        <v>25</v>
      </c>
      <c r="F244" s="93">
        <f>IF(初期登録!$B$10*12+初期登録!$D$10&lt;$A244,NA(),[3]各月DI数値!$AA134)</f>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f>D:D-[3]各月DI数値!J134</f>
        <v>0</v>
      </c>
      <c r="V244" s="65">
        <f>E:E-[3]各月DI数値!S134</f>
        <v>0</v>
      </c>
      <c r="W244" s="65">
        <f>F:F-[3]各月DI数値!AA134</f>
        <v>0</v>
      </c>
    </row>
    <row r="245" spans="1:23" ht="15" customHeight="1">
      <c r="A245" s="125"/>
      <c r="B245" s="126">
        <v>11</v>
      </c>
      <c r="C245" s="173">
        <v>1</v>
      </c>
      <c r="D245" s="640">
        <f>IF(初期登録!$B$10*12+初期登録!$D$10&lt;$A245,NA(),[3]各月DI数値!$J135)</f>
        <v>57.142857142857146</v>
      </c>
      <c r="E245" s="165">
        <f>IF(初期登録!$B$10*12+初期登録!$D$10&lt;$A245,NA(),[3]各月DI数値!$S135)</f>
        <v>37.5</v>
      </c>
      <c r="F245" s="641">
        <f>IF(初期登録!$B$10*12+初期登録!$D$10&lt;$A245,NA(),[3]各月DI数値!$AA135)</f>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c r="U245" s="34">
        <f>D:D-[3]各月DI数値!J135</f>
        <v>0</v>
      </c>
      <c r="V245" s="34">
        <f>E:E-[3]各月DI数値!S135</f>
        <v>0</v>
      </c>
      <c r="W245" s="34">
        <f>F:F-[3]各月DI数値!AA135</f>
        <v>0</v>
      </c>
    </row>
    <row r="246" spans="1:23" ht="15" customHeight="1">
      <c r="A246" s="120"/>
      <c r="B246" s="114"/>
      <c r="C246" s="174">
        <v>2</v>
      </c>
      <c r="D246" s="642">
        <f>IF(初期登録!$B$10*12+初期登録!$D$10&lt;$A246,NA(),[3]各月DI数値!$J136)</f>
        <v>57.142857142857146</v>
      </c>
      <c r="E246" s="88">
        <f>IF(初期登録!$B$10*12+初期登録!$D$10&lt;$A246,NA(),[3]各月DI数値!$S136)</f>
        <v>12.5</v>
      </c>
      <c r="F246" s="643">
        <f>IF(初期登録!$B$10*12+初期登録!$D$10&lt;$A246,NA(),[3]各月DI数値!$AA136)</f>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f>D:D-[3]各月DI数値!J136</f>
        <v>0</v>
      </c>
      <c r="V246" s="56">
        <f>E:E-[3]各月DI数値!S136</f>
        <v>0</v>
      </c>
      <c r="W246" s="56">
        <f>F:F-[3]各月DI数値!AA136</f>
        <v>0</v>
      </c>
    </row>
    <row r="247" spans="1:23" ht="15" customHeight="1">
      <c r="A247" s="120"/>
      <c r="B247" s="114"/>
      <c r="C247" s="174">
        <v>3</v>
      </c>
      <c r="D247" s="642">
        <f>IF(初期登録!$B$10*12+初期登録!$D$10&lt;$A247,NA(),[3]各月DI数値!$J137)</f>
        <v>35.714285714285715</v>
      </c>
      <c r="E247" s="88">
        <f>IF(初期登録!$B$10*12+初期登録!$D$10&lt;$A247,NA(),[3]各月DI数値!$S137)</f>
        <v>62.5</v>
      </c>
      <c r="F247" s="643">
        <f>IF(初期登録!$B$10*12+初期登録!$D$10&lt;$A247,NA(),[3]各月DI数値!$AA137)</f>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f>D:D-[3]各月DI数値!J137</f>
        <v>0</v>
      </c>
      <c r="V247" s="56">
        <f>E:E-[3]各月DI数値!S137</f>
        <v>0</v>
      </c>
      <c r="W247" s="56">
        <f>F:F-[3]各月DI数値!AA137</f>
        <v>0</v>
      </c>
    </row>
    <row r="248" spans="1:23" ht="15" customHeight="1">
      <c r="A248" s="120"/>
      <c r="B248" s="114"/>
      <c r="C248" s="174">
        <v>4</v>
      </c>
      <c r="D248" s="642">
        <f>IF(初期登録!$B$10*12+初期登録!$D$10&lt;$A248,NA(),[3]各月DI数値!$J138)</f>
        <v>57.142857142857146</v>
      </c>
      <c r="E248" s="88">
        <f>IF(初期登録!$B$10*12+初期登録!$D$10&lt;$A248,NA(),[3]各月DI数値!$S138)</f>
        <v>43.75</v>
      </c>
      <c r="F248" s="643">
        <f>IF(初期登録!$B$10*12+初期登録!$D$10&lt;$A248,NA(),[3]各月DI数値!$AA138)</f>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f>D:D-[3]各月DI数値!J138</f>
        <v>0</v>
      </c>
      <c r="V248" s="56">
        <f>E:E-[3]各月DI数値!S138</f>
        <v>0</v>
      </c>
      <c r="W248" s="56">
        <f>F:F-[3]各月DI数値!AA138</f>
        <v>0</v>
      </c>
    </row>
    <row r="249" spans="1:23" ht="15" customHeight="1">
      <c r="A249" s="120"/>
      <c r="B249" s="114"/>
      <c r="C249" s="174">
        <v>5</v>
      </c>
      <c r="D249" s="642">
        <f>IF(初期登録!$B$10*12+初期登録!$D$10&lt;$A249,NA(),[3]各月DI数値!$J139)</f>
        <v>71.428571428571431</v>
      </c>
      <c r="E249" s="88">
        <f>IF(初期登録!$B$10*12+初期登録!$D$10&lt;$A249,NA(),[3]各月DI数値!$S139)</f>
        <v>31.25</v>
      </c>
      <c r="F249" s="643">
        <f>IF(初期登録!$B$10*12+初期登録!$D$10&lt;$A249,NA(),[3]各月DI数値!$AA139)</f>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f>D:D-[3]各月DI数値!J139</f>
        <v>0</v>
      </c>
      <c r="V249" s="56">
        <f>E:E-[3]各月DI数値!S139</f>
        <v>0</v>
      </c>
      <c r="W249" s="56">
        <f>F:F-[3]各月DI数値!AA139</f>
        <v>0</v>
      </c>
    </row>
    <row r="250" spans="1:23" ht="15" customHeight="1">
      <c r="A250" s="120"/>
      <c r="B250" s="114"/>
      <c r="C250" s="174">
        <v>6</v>
      </c>
      <c r="D250" s="642">
        <f>IF(初期登録!$B$10*12+初期登録!$D$10&lt;$A250,NA(),[3]各月DI数値!$J140)</f>
        <v>57.142857142857146</v>
      </c>
      <c r="E250" s="88">
        <f>IF(初期登録!$B$10*12+初期登録!$D$10&lt;$A250,NA(),[3]各月DI数値!$S140)</f>
        <v>75</v>
      </c>
      <c r="F250" s="643">
        <f>IF(初期登録!$B$10*12+初期登録!$D$10&lt;$A250,NA(),[3]各月DI数値!$AA140)</f>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f>D:D-[3]各月DI数値!J140</f>
        <v>0</v>
      </c>
      <c r="V250" s="56">
        <f>E:E-[3]各月DI数値!S140</f>
        <v>0</v>
      </c>
      <c r="W250" s="56">
        <f>F:F-[3]各月DI数値!AA140</f>
        <v>0</v>
      </c>
    </row>
    <row r="251" spans="1:23" ht="15" customHeight="1">
      <c r="A251" s="120"/>
      <c r="B251" s="114"/>
      <c r="C251" s="174">
        <v>7</v>
      </c>
      <c r="D251" s="642">
        <f>IF(初期登録!$B$10*12+初期登録!$D$10&lt;$A251,NA(),[3]各月DI数値!$J141)</f>
        <v>57.142857142857146</v>
      </c>
      <c r="E251" s="88">
        <f>IF(初期登録!$B$10*12+初期登録!$D$10&lt;$A251,NA(),[3]各月DI数値!$S141)</f>
        <v>81.25</v>
      </c>
      <c r="F251" s="643">
        <f>IF(初期登録!$B$10*12+初期登録!$D$10&lt;$A251,NA(),[3]各月DI数値!$AA141)</f>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f>D:D-[3]各月DI数値!J141</f>
        <v>0</v>
      </c>
      <c r="V251" s="56">
        <f>E:E-[3]各月DI数値!S141</f>
        <v>0</v>
      </c>
      <c r="W251" s="56">
        <f>F:F-[3]各月DI数値!AA141</f>
        <v>0</v>
      </c>
    </row>
    <row r="252" spans="1:23" ht="15" customHeight="1">
      <c r="A252" s="120"/>
      <c r="B252" s="114"/>
      <c r="C252" s="174">
        <v>8</v>
      </c>
      <c r="D252" s="642">
        <f>IF(初期登録!$B$10*12+初期登録!$D$10&lt;$A252,NA(),[3]各月DI数値!$J142)</f>
        <v>57.142857142857146</v>
      </c>
      <c r="E252" s="88">
        <f>IF(初期登録!$B$10*12+初期登録!$D$10&lt;$A252,NA(),[3]各月DI数値!$S142)</f>
        <v>37.5</v>
      </c>
      <c r="F252" s="643">
        <f>IF(初期登録!$B$10*12+初期登録!$D$10&lt;$A252,NA(),[3]各月DI数値!$AA142)</f>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f>D:D-[3]各月DI数値!J142</f>
        <v>0</v>
      </c>
      <c r="V252" s="56">
        <f>E:E-[3]各月DI数値!S142</f>
        <v>0</v>
      </c>
      <c r="W252" s="56">
        <f>F:F-[3]各月DI数値!AA142</f>
        <v>0</v>
      </c>
    </row>
    <row r="253" spans="1:23" ht="15" customHeight="1">
      <c r="A253" s="120"/>
      <c r="B253" s="114"/>
      <c r="C253" s="174">
        <v>9</v>
      </c>
      <c r="D253" s="642">
        <f>IF(初期登録!$B$10*12+初期登録!$D$10&lt;$A253,NA(),[3]各月DI数値!$J143)</f>
        <v>57.142857142857146</v>
      </c>
      <c r="E253" s="88">
        <f>IF(初期登録!$B$10*12+初期登録!$D$10&lt;$A253,NA(),[3]各月DI数値!$S143)</f>
        <v>75</v>
      </c>
      <c r="F253" s="643">
        <f>IF(初期登録!$B$10*12+初期登録!$D$10&lt;$A253,NA(),[3]各月DI数値!$AA143)</f>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f>D:D-[3]各月DI数値!J143</f>
        <v>0</v>
      </c>
      <c r="V253" s="56">
        <f>E:E-[3]各月DI数値!S143</f>
        <v>0</v>
      </c>
      <c r="W253" s="56">
        <f>F:F-[3]各月DI数値!AA143</f>
        <v>0</v>
      </c>
    </row>
    <row r="254" spans="1:23" ht="15" customHeight="1">
      <c r="A254" s="120"/>
      <c r="B254" s="114"/>
      <c r="C254" s="174">
        <v>10</v>
      </c>
      <c r="D254" s="642">
        <f>IF(初期登録!$B$10*12+初期登録!$D$10&lt;$A254,NA(),[3]各月DI数値!$J144)</f>
        <v>71.428571428571431</v>
      </c>
      <c r="E254" s="88">
        <f>IF(初期登録!$B$10*12+初期登録!$D$10&lt;$A254,NA(),[3]各月DI数値!$S144)</f>
        <v>62.5</v>
      </c>
      <c r="F254" s="643">
        <f>IF(初期登録!$B$10*12+初期登録!$D$10&lt;$A254,NA(),[3]各月DI数値!$AA144)</f>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f>D:D-[3]各月DI数値!J144</f>
        <v>0</v>
      </c>
      <c r="V254" s="56">
        <f>E:E-[3]各月DI数値!S144</f>
        <v>0</v>
      </c>
      <c r="W254" s="56">
        <f>F:F-[3]各月DI数値!AA144</f>
        <v>0</v>
      </c>
    </row>
    <row r="255" spans="1:23" ht="15" customHeight="1">
      <c r="A255" s="120"/>
      <c r="B255" s="114"/>
      <c r="C255" s="174">
        <v>11</v>
      </c>
      <c r="D255" s="642">
        <f>IF(初期登録!$B$10*12+初期登録!$D$10&lt;$A255,NA(),[3]各月DI数値!$J145)</f>
        <v>71.428571428571431</v>
      </c>
      <c r="E255" s="88">
        <f>IF(初期登録!$B$10*12+初期登録!$D$10&lt;$A255,NA(),[3]各月DI数値!$S145)</f>
        <v>50</v>
      </c>
      <c r="F255" s="643">
        <f>IF(初期登録!$B$10*12+初期登録!$D$10&lt;$A255,NA(),[3]各月DI数値!$AA145)</f>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f>D:D-[3]各月DI数値!J145</f>
        <v>0</v>
      </c>
      <c r="V255" s="56">
        <f>E:E-[3]各月DI数値!S145</f>
        <v>0</v>
      </c>
      <c r="W255" s="56">
        <f>F:F-[3]各月DI数値!AA145</f>
        <v>0</v>
      </c>
    </row>
    <row r="256" spans="1:23" ht="15" customHeight="1">
      <c r="A256" s="132"/>
      <c r="B256" s="115"/>
      <c r="C256" s="175">
        <v>12</v>
      </c>
      <c r="D256" s="644">
        <f>IF(初期登録!$B$10*12+初期登録!$D$10&lt;$A256,NA(),[3]各月DI数値!$J146)</f>
        <v>57.142857142857146</v>
      </c>
      <c r="E256" s="92">
        <f>IF(初期登録!$B$10*12+初期登録!$D$10&lt;$A256,NA(),[3]各月DI数値!$S146)</f>
        <v>62.5</v>
      </c>
      <c r="F256" s="93">
        <f>IF(初期登録!$B$10*12+初期登録!$D$10&lt;$A256,NA(),[3]各月DI数値!$AA146)</f>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f>D:D-[3]各月DI数値!J146</f>
        <v>0</v>
      </c>
      <c r="V256" s="65">
        <f>E:E-[3]各月DI数値!S146</f>
        <v>0</v>
      </c>
      <c r="W256" s="65">
        <f>F:F-[3]各月DI数値!AA146</f>
        <v>0</v>
      </c>
    </row>
    <row r="257" spans="1:23" ht="15" customHeight="1">
      <c r="A257" s="120"/>
      <c r="B257" s="994" t="s">
        <v>672</v>
      </c>
      <c r="C257" s="176">
        <v>1</v>
      </c>
      <c r="D257" s="640">
        <f>IF(初期登録!$B$10*12+初期登録!$D$10&lt;$A257,NA(),[3]各月DI数値!$J147)</f>
        <v>57.142857142857146</v>
      </c>
      <c r="E257" s="165">
        <f>IF(初期登録!$B$10*12+初期登録!$D$10&lt;$A257,NA(),[3]各月DI数値!$S147)</f>
        <v>50</v>
      </c>
      <c r="F257" s="641">
        <f>IF(初期登録!$B$10*12+初期登録!$D$10&lt;$A257,NA(),[3]各月DI数値!$AA147)</f>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c r="U257" s="34">
        <f>D:D-[3]各月DI数値!J147</f>
        <v>0</v>
      </c>
      <c r="V257" s="34">
        <f>E:E-[3]各月DI数値!S147</f>
        <v>0</v>
      </c>
      <c r="W257" s="34">
        <f>F:F-[3]各月DI数値!AA147</f>
        <v>0</v>
      </c>
    </row>
    <row r="258" spans="1:23" ht="15" customHeight="1">
      <c r="A258" s="120"/>
      <c r="B258" s="114"/>
      <c r="C258" s="174">
        <v>2</v>
      </c>
      <c r="D258" s="642">
        <f>IF(初期登録!$B$10*12+初期登録!$D$10&lt;$A258,NA(),[3]各月DI数値!$J148)</f>
        <v>85.714285714285708</v>
      </c>
      <c r="E258" s="88">
        <f>IF(初期登録!$B$10*12+初期登録!$D$10&lt;$A258,NA(),[3]各月DI数値!$S148)</f>
        <v>56.25</v>
      </c>
      <c r="F258" s="643">
        <f>IF(初期登録!$B$10*12+初期登録!$D$10&lt;$A258,NA(),[3]各月DI数値!$AA148)</f>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f>D:D-[3]各月DI数値!J148</f>
        <v>0</v>
      </c>
      <c r="V258" s="56">
        <f>E:E-[3]各月DI数値!S148</f>
        <v>0</v>
      </c>
      <c r="W258" s="56">
        <f>F:F-[3]各月DI数値!AA148</f>
        <v>0</v>
      </c>
    </row>
    <row r="259" spans="1:23" ht="15" customHeight="1">
      <c r="A259" s="120"/>
      <c r="B259" s="114"/>
      <c r="C259" s="174">
        <v>3</v>
      </c>
      <c r="D259" s="642">
        <f>IF(初期登録!$B$10*12+初期登録!$D$10&lt;$A259,NA(),[3]各月DI数値!$J149)</f>
        <v>78.571428571428569</v>
      </c>
      <c r="E259" s="88">
        <f>IF(初期登録!$B$10*12+初期登録!$D$10&lt;$A259,NA(),[3]各月DI数値!$S149)</f>
        <v>100</v>
      </c>
      <c r="F259" s="643">
        <f>IF(初期登録!$B$10*12+初期登録!$D$10&lt;$A259,NA(),[3]各月DI数値!$AA149)</f>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f>D:D-[3]各月DI数値!J149</f>
        <v>0</v>
      </c>
      <c r="V259" s="56">
        <f>E:E-[3]各月DI数値!S149</f>
        <v>0</v>
      </c>
      <c r="W259" s="56">
        <f>F:F-[3]各月DI数値!AA149</f>
        <v>0</v>
      </c>
    </row>
    <row r="260" spans="1:23" ht="15" customHeight="1">
      <c r="A260" s="120"/>
      <c r="B260" s="114"/>
      <c r="C260" s="174">
        <v>4</v>
      </c>
      <c r="D260" s="642">
        <f>IF(初期登録!$B$10*12+初期登録!$D$10&lt;$A260,NA(),[3]各月DI数値!$J150)</f>
        <v>42.857142857142854</v>
      </c>
      <c r="E260" s="88">
        <f>IF(初期登録!$B$10*12+初期登録!$D$10&lt;$A260,NA(),[3]各月DI数値!$S150)</f>
        <v>37.5</v>
      </c>
      <c r="F260" s="643">
        <f>IF(初期登録!$B$10*12+初期登録!$D$10&lt;$A260,NA(),[3]各月DI数値!$AA150)</f>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f>D:D-[3]各月DI数値!J150</f>
        <v>0</v>
      </c>
      <c r="V260" s="56">
        <f>E:E-[3]各月DI数値!S150</f>
        <v>0</v>
      </c>
      <c r="W260" s="56">
        <f>F:F-[3]各月DI数値!AA150</f>
        <v>0</v>
      </c>
    </row>
    <row r="261" spans="1:23" ht="15" customHeight="1">
      <c r="A261" s="120"/>
      <c r="B261" s="114"/>
      <c r="C261" s="174">
        <v>5</v>
      </c>
      <c r="D261" s="642">
        <f>IF(初期登録!$B$10*12+初期登録!$D$10&lt;$A261,NA(),[3]各月DI数値!$J151)</f>
        <v>57.142857142857146</v>
      </c>
      <c r="E261" s="88">
        <f>IF(初期登録!$B$10*12+初期登録!$D$10&lt;$A261,NA(),[3]各月DI数値!$S151)</f>
        <v>87.5</v>
      </c>
      <c r="F261" s="643">
        <f>IF(初期登録!$B$10*12+初期登録!$D$10&lt;$A261,NA(),[3]各月DI数値!$AA151)</f>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f>D:D-[3]各月DI数値!J151</f>
        <v>0</v>
      </c>
      <c r="V261" s="56">
        <f>E:E-[3]各月DI数値!S151</f>
        <v>0</v>
      </c>
      <c r="W261" s="56">
        <f>F:F-[3]各月DI数値!AA151</f>
        <v>0</v>
      </c>
    </row>
    <row r="262" spans="1:23" ht="15" customHeight="1">
      <c r="A262" s="120"/>
      <c r="B262" s="114"/>
      <c r="C262" s="174">
        <v>6</v>
      </c>
      <c r="D262" s="642">
        <f>IF(初期登録!$B$10*12+初期登録!$D$10&lt;$A262,NA(),[3]各月DI数値!$J152)</f>
        <v>57.142857142857146</v>
      </c>
      <c r="E262" s="88">
        <f>IF(初期登録!$B$10*12+初期登録!$D$10&lt;$A262,NA(),[3]各月DI数値!$S152)</f>
        <v>87.5</v>
      </c>
      <c r="F262" s="643">
        <f>IF(初期登録!$B$10*12+初期登録!$D$10&lt;$A262,NA(),[3]各月DI数値!$AA152)</f>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f>D:D-[3]各月DI数値!J152</f>
        <v>0</v>
      </c>
      <c r="V262" s="56">
        <f>E:E-[3]各月DI数値!S152</f>
        <v>0</v>
      </c>
      <c r="W262" s="56">
        <f>F:F-[3]各月DI数値!AA152</f>
        <v>0</v>
      </c>
    </row>
    <row r="263" spans="1:23" ht="15" customHeight="1">
      <c r="A263" s="120"/>
      <c r="B263" s="114"/>
      <c r="C263" s="174">
        <v>7</v>
      </c>
      <c r="D263" s="642">
        <f>IF(初期登録!$B$10*12+初期登録!$D$10&lt;$A263,NA(),[3]各月DI数値!$J153)</f>
        <v>42.857142857142854</v>
      </c>
      <c r="E263" s="88">
        <f>IF(初期登録!$B$10*12+初期登録!$D$10&lt;$A263,NA(),[3]各月DI数値!$S153)</f>
        <v>100</v>
      </c>
      <c r="F263" s="643">
        <f>IF(初期登録!$B$10*12+初期登録!$D$10&lt;$A263,NA(),[3]各月DI数値!$AA153)</f>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f>D:D-[3]各月DI数値!J153</f>
        <v>0</v>
      </c>
      <c r="V263" s="56">
        <f>E:E-[3]各月DI数値!S153</f>
        <v>0</v>
      </c>
      <c r="W263" s="56">
        <f>F:F-[3]各月DI数値!AA153</f>
        <v>0</v>
      </c>
    </row>
    <row r="264" spans="1:23" ht="15" customHeight="1">
      <c r="A264" s="120"/>
      <c r="B264" s="114"/>
      <c r="C264" s="174">
        <v>8</v>
      </c>
      <c r="D264" s="642">
        <f>IF(初期登録!$B$10*12+初期登録!$D$10&lt;$A264,NA(),[3]各月DI数値!$J154)</f>
        <v>42.857142857142854</v>
      </c>
      <c r="E264" s="88">
        <f>IF(初期登録!$B$10*12+初期登録!$D$10&lt;$A264,NA(),[3]各月DI数値!$S154)</f>
        <v>25</v>
      </c>
      <c r="F264" s="643">
        <f>IF(初期登録!$B$10*12+初期登録!$D$10&lt;$A264,NA(),[3]各月DI数値!$AA154)</f>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f>D:D-[3]各月DI数値!J154</f>
        <v>0</v>
      </c>
      <c r="V264" s="56">
        <f>E:E-[3]各月DI数値!S154</f>
        <v>0</v>
      </c>
      <c r="W264" s="56">
        <f>F:F-[3]各月DI数値!AA154</f>
        <v>0</v>
      </c>
    </row>
    <row r="265" spans="1:23" ht="15" customHeight="1">
      <c r="A265" s="120"/>
      <c r="B265" s="114"/>
      <c r="C265" s="174">
        <v>9</v>
      </c>
      <c r="D265" s="642">
        <f>IF(初期登録!$B$10*12+初期登録!$D$10&lt;$A265,NA(),[3]各月DI数値!$J155)</f>
        <v>57.142857142857146</v>
      </c>
      <c r="E265" s="88">
        <f>IF(初期登録!$B$10*12+初期登録!$D$10&lt;$A265,NA(),[3]各月DI数値!$S155)</f>
        <v>100</v>
      </c>
      <c r="F265" s="643">
        <f>IF(初期登録!$B$10*12+初期登録!$D$10&lt;$A265,NA(),[3]各月DI数値!$AA155)</f>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f>D:D-[3]各月DI数値!J155</f>
        <v>0</v>
      </c>
      <c r="V265" s="56">
        <f>E:E-[3]各月DI数値!S155</f>
        <v>0</v>
      </c>
      <c r="W265" s="56">
        <f>F:F-[3]各月DI数値!AA155</f>
        <v>0</v>
      </c>
    </row>
    <row r="266" spans="1:23" ht="15" customHeight="1">
      <c r="A266" s="120"/>
      <c r="B266" s="114"/>
      <c r="C266" s="174">
        <v>10</v>
      </c>
      <c r="D266" s="642">
        <f>IF(初期登録!$B$10*12+初期登録!$D$10&lt;$A266,NA(),[3]各月DI数値!$J156)</f>
        <v>28.571428571428573</v>
      </c>
      <c r="E266" s="88">
        <f>IF(初期登録!$B$10*12+初期登録!$D$10&lt;$A266,NA(),[3]各月DI数値!$S156)</f>
        <v>87.5</v>
      </c>
      <c r="F266" s="643">
        <f>IF(初期登録!$B$10*12+初期登録!$D$10&lt;$A266,NA(),[3]各月DI数値!$AA156)</f>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f>D:D-[3]各月DI数値!J156</f>
        <v>0</v>
      </c>
      <c r="V266" s="56">
        <f>E:E-[3]各月DI数値!S156</f>
        <v>0</v>
      </c>
      <c r="W266" s="56">
        <f>F:F-[3]各月DI数値!AA156</f>
        <v>0</v>
      </c>
    </row>
    <row r="267" spans="1:23" ht="15" customHeight="1">
      <c r="A267" s="120"/>
      <c r="B267" s="114"/>
      <c r="C267" s="174">
        <v>11</v>
      </c>
      <c r="D267" s="642">
        <f>IF(初期登録!$B$10*12+初期登録!$D$10&lt;$A267,NA(),[3]各月DI数値!$J157)</f>
        <v>71.428571428571431</v>
      </c>
      <c r="E267" s="88">
        <f>IF(初期登録!$B$10*12+初期登録!$D$10&lt;$A267,NA(),[3]各月DI数値!$S157)</f>
        <v>81.25</v>
      </c>
      <c r="F267" s="643">
        <f>IF(初期登録!$B$10*12+初期登録!$D$10&lt;$A267,NA(),[3]各月DI数値!$AA157)</f>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f>D:D-[3]各月DI数値!J157</f>
        <v>0</v>
      </c>
      <c r="V267" s="56">
        <f>E:E-[3]各月DI数値!S157</f>
        <v>0</v>
      </c>
      <c r="W267" s="56">
        <f>F:F-[3]各月DI数値!AA157</f>
        <v>0</v>
      </c>
    </row>
    <row r="268" spans="1:23" ht="15" customHeight="1">
      <c r="A268" s="120"/>
      <c r="B268" s="116"/>
      <c r="C268" s="177">
        <v>12</v>
      </c>
      <c r="D268" s="644">
        <f>IF(初期登録!$B$10*12+初期登録!$D$10&lt;$A268,NA(),[3]各月DI数値!$J158)</f>
        <v>85.714285714285708</v>
      </c>
      <c r="E268" s="92">
        <f>IF(初期登録!$B$10*12+初期登録!$D$10&lt;$A268,NA(),[3]各月DI数値!$S158)</f>
        <v>68.75</v>
      </c>
      <c r="F268" s="93">
        <f>IF(初期登録!$B$10*12+初期登録!$D$10&lt;$A268,NA(),[3]各月DI数値!$AA158)</f>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f>D:D-[3]各月DI数値!J158</f>
        <v>0</v>
      </c>
      <c r="V268" s="65">
        <f>E:E-[3]各月DI数値!S158</f>
        <v>0</v>
      </c>
      <c r="W268" s="65">
        <f>F:F-[3]各月DI数値!AA158</f>
        <v>0</v>
      </c>
    </row>
    <row r="269" spans="1:23" ht="15" customHeight="1">
      <c r="A269" s="125"/>
      <c r="B269" s="995" t="s">
        <v>724</v>
      </c>
      <c r="C269" s="173">
        <v>1</v>
      </c>
      <c r="D269" s="640">
        <f>IF(初期登録!$B$10*12+初期登録!$D$10&lt;$A269,NA(),[3]各月DI数値!$J159)</f>
        <v>14.285714285714286</v>
      </c>
      <c r="E269" s="165">
        <f>IF(初期登録!$B$10*12+初期登録!$D$10&lt;$A269,NA(),[3]各月DI数値!$S159)</f>
        <v>50</v>
      </c>
      <c r="F269" s="641">
        <f>IF(初期登録!$B$10*12+初期登録!$D$10&lt;$A269,NA(),[3]各月DI数値!$AA159)</f>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c r="U269" s="34">
        <f>D:D-[3]各月DI数値!J159</f>
        <v>0</v>
      </c>
      <c r="V269" s="34">
        <f>E:E-[3]各月DI数値!S159</f>
        <v>0</v>
      </c>
      <c r="W269" s="34">
        <f>F:F-[3]各月DI数値!AA159</f>
        <v>0</v>
      </c>
    </row>
    <row r="270" spans="1:23" ht="15" customHeight="1">
      <c r="A270" s="120"/>
      <c r="B270" s="114"/>
      <c r="C270" s="174">
        <v>2</v>
      </c>
      <c r="D270" s="642">
        <f>IF(初期登録!$B$10*12+初期登録!$D$10&lt;$A270,NA(),[3]各月DI数値!$J160)</f>
        <v>28.571428571428573</v>
      </c>
      <c r="E270" s="88">
        <f>IF(初期登録!$B$10*12+初期登録!$D$10&lt;$A270,NA(),[3]各月DI数値!$S160)</f>
        <v>37.5</v>
      </c>
      <c r="F270" s="643">
        <f>IF(初期登録!$B$10*12+初期登録!$D$10&lt;$A270,NA(),[3]各月DI数値!$AA160)</f>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f>D:D-[3]各月DI数値!J160</f>
        <v>0</v>
      </c>
      <c r="V270" s="56">
        <f>E:E-[3]各月DI数値!S160</f>
        <v>0</v>
      </c>
      <c r="W270" s="56">
        <f>F:F-[3]各月DI数値!AA160</f>
        <v>0</v>
      </c>
    </row>
    <row r="271" spans="1:23" ht="15" customHeight="1">
      <c r="A271" s="120"/>
      <c r="B271" s="114"/>
      <c r="C271" s="174">
        <v>3</v>
      </c>
      <c r="D271" s="642">
        <f>IF(初期登録!$B$10*12+初期登録!$D$10&lt;$A271,NA(),[3]各月DI数値!$J161)</f>
        <v>28.571428571428573</v>
      </c>
      <c r="E271" s="88">
        <f>IF(初期登録!$B$10*12+初期登録!$D$10&lt;$A271,NA(),[3]各月DI数値!$S161)</f>
        <v>37.5</v>
      </c>
      <c r="F271" s="643">
        <f>IF(初期登録!$B$10*12+初期登録!$D$10&lt;$A271,NA(),[3]各月DI数値!$AA161)</f>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f>D:D-[3]各月DI数値!J161</f>
        <v>0</v>
      </c>
      <c r="V271" s="56">
        <f>E:E-[3]各月DI数値!S161</f>
        <v>0</v>
      </c>
      <c r="W271" s="56">
        <f>F:F-[3]各月DI数値!AA161</f>
        <v>0</v>
      </c>
    </row>
    <row r="272" spans="1:23" ht="15" customHeight="1">
      <c r="A272" s="120"/>
      <c r="B272" s="114"/>
      <c r="C272" s="174">
        <v>4</v>
      </c>
      <c r="D272" s="642">
        <f>IF(初期登録!$B$10*12+初期登録!$D$10&lt;$A272,NA(),[3]各月DI数値!$J162)</f>
        <v>14.285714285714286</v>
      </c>
      <c r="E272" s="88">
        <f>IF(初期登録!$B$10*12+初期登録!$D$10&lt;$A272,NA(),[3]各月DI数値!$S162)</f>
        <v>12.5</v>
      </c>
      <c r="F272" s="643">
        <f>IF(初期登録!$B$10*12+初期登録!$D$10&lt;$A272,NA(),[3]各月DI数値!$AA162)</f>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f>D:D-[3]各月DI数値!J162</f>
        <v>0</v>
      </c>
      <c r="V272" s="56">
        <f>E:E-[3]各月DI数値!S162</f>
        <v>0</v>
      </c>
      <c r="W272" s="56">
        <f>F:F-[3]各月DI数値!AA162</f>
        <v>0</v>
      </c>
    </row>
    <row r="273" spans="1:23" ht="15" customHeight="1">
      <c r="A273" s="120"/>
      <c r="B273" s="114"/>
      <c r="C273" s="174">
        <v>5</v>
      </c>
      <c r="D273" s="642">
        <f>IF(初期登録!$B$10*12+初期登録!$D$10&lt;$A273,NA(),[3]各月DI数値!$J163)</f>
        <v>14.285714285714286</v>
      </c>
      <c r="E273" s="88">
        <f>IF(初期登録!$B$10*12+初期登録!$D$10&lt;$A273,NA(),[3]各月DI数値!$S163)</f>
        <v>25</v>
      </c>
      <c r="F273" s="643">
        <f>IF(初期登録!$B$10*12+初期登録!$D$10&lt;$A273,NA(),[3]各月DI数値!$AA163)</f>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f>D:D-[3]各月DI数値!J163</f>
        <v>0</v>
      </c>
      <c r="V273" s="56">
        <f>E:E-[3]各月DI数値!S163</f>
        <v>0</v>
      </c>
      <c r="W273" s="56">
        <f>F:F-[3]各月DI数値!AA163</f>
        <v>0</v>
      </c>
    </row>
    <row r="274" spans="1:23" ht="15" customHeight="1">
      <c r="A274" s="120"/>
      <c r="B274" s="114"/>
      <c r="C274" s="174">
        <v>6</v>
      </c>
      <c r="D274" s="642">
        <f>IF(初期登録!$B$10*12+初期登録!$D$10&lt;$A274,NA(),[3]各月DI数値!$J164)</f>
        <v>57.142857142857146</v>
      </c>
      <c r="E274" s="88">
        <f>IF(初期登録!$B$10*12+初期登録!$D$10&lt;$A274,NA(),[3]各月DI数値!$S164)</f>
        <v>12.5</v>
      </c>
      <c r="F274" s="643">
        <f>IF(初期登録!$B$10*12+初期登録!$D$10&lt;$A274,NA(),[3]各月DI数値!$AA164)</f>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f>D:D-[3]各月DI数値!J164</f>
        <v>0</v>
      </c>
      <c r="V274" s="56">
        <f>E:E-[3]各月DI数値!S164</f>
        <v>0</v>
      </c>
      <c r="W274" s="56">
        <f>F:F-[3]各月DI数値!AA164</f>
        <v>0</v>
      </c>
    </row>
    <row r="275" spans="1:23" ht="15" customHeight="1">
      <c r="A275" s="120"/>
      <c r="B275" s="114"/>
      <c r="C275" s="174">
        <v>7</v>
      </c>
      <c r="D275" s="642">
        <f>IF(初期登録!$B$10*12+初期登録!$D$10&lt;$A275,NA(),[3]各月DI数値!$J165)</f>
        <v>57.142857142857146</v>
      </c>
      <c r="E275" s="88">
        <f>IF(初期登録!$B$10*12+初期登録!$D$10&lt;$A275,NA(),[3]各月DI数値!$S165)</f>
        <v>12.5</v>
      </c>
      <c r="F275" s="643">
        <f>IF(初期登録!$B$10*12+初期登録!$D$10&lt;$A275,NA(),[3]各月DI数値!$AA165)</f>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f>D:D-[3]各月DI数値!J165</f>
        <v>0</v>
      </c>
      <c r="V275" s="56">
        <f>E:E-[3]各月DI数値!S165</f>
        <v>0</v>
      </c>
      <c r="W275" s="56">
        <f>F:F-[3]各月DI数値!AA165</f>
        <v>0</v>
      </c>
    </row>
    <row r="276" spans="1:23" ht="15" customHeight="1">
      <c r="A276" s="120"/>
      <c r="B276" s="114"/>
      <c r="C276" s="174">
        <v>8</v>
      </c>
      <c r="D276" s="642">
        <f>IF(初期登録!$B$10*12+初期登録!$D$10&lt;$A276,NA(),[3]各月DI数値!$J166)</f>
        <v>42.857142857142854</v>
      </c>
      <c r="E276" s="88">
        <f>IF(初期登録!$B$10*12+初期登録!$D$10&lt;$A276,NA(),[3]各月DI数値!$S166)</f>
        <v>12.5</v>
      </c>
      <c r="F276" s="643">
        <f>IF(初期登録!$B$10*12+初期登録!$D$10&lt;$A276,NA(),[3]各月DI数値!$AA166)</f>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f>D:D-[3]各月DI数値!J166</f>
        <v>0</v>
      </c>
      <c r="V276" s="56">
        <f>E:E-[3]各月DI数値!S166</f>
        <v>0</v>
      </c>
      <c r="W276" s="56">
        <f>F:F-[3]各月DI数値!AA166</f>
        <v>0</v>
      </c>
    </row>
    <row r="277" spans="1:23" ht="15" customHeight="1">
      <c r="A277" s="120"/>
      <c r="B277" s="114"/>
      <c r="C277" s="174">
        <v>9</v>
      </c>
      <c r="D277" s="642">
        <f>IF(初期登録!$B$10*12+初期登録!$D$10&lt;$A277,NA(),[3]各月DI数値!$J167)</f>
        <v>42.857142857142854</v>
      </c>
      <c r="E277" s="88">
        <f>IF(初期登録!$B$10*12+初期登録!$D$10&lt;$A277,NA(),[3]各月DI数値!$S167)</f>
        <v>12.5</v>
      </c>
      <c r="F277" s="643">
        <f>IF(初期登録!$B$10*12+初期登録!$D$10&lt;$A277,NA(),[3]各月DI数値!$AA167)</f>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f>D:D-[3]各月DI数値!J167</f>
        <v>0</v>
      </c>
      <c r="V277" s="56">
        <f>E:E-[3]各月DI数値!S167</f>
        <v>0</v>
      </c>
      <c r="W277" s="56">
        <f>F:F-[3]各月DI数値!AA167</f>
        <v>0</v>
      </c>
    </row>
    <row r="278" spans="1:23" ht="15" customHeight="1">
      <c r="A278" s="120"/>
      <c r="B278" s="114"/>
      <c r="C278" s="174">
        <v>10</v>
      </c>
      <c r="D278" s="642">
        <f>IF(初期登録!$B$10*12+初期登録!$D$10&lt;$A278,NA(),[3]各月DI数値!$J168)</f>
        <v>42.857142857142854</v>
      </c>
      <c r="E278" s="88">
        <f>IF(初期登録!$B$10*12+初期登録!$D$10&lt;$A278,NA(),[3]各月DI数値!$S168)</f>
        <v>0</v>
      </c>
      <c r="F278" s="643">
        <f>IF(初期登録!$B$10*12+初期登録!$D$10&lt;$A278,NA(),[3]各月DI数値!$AA168)</f>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f>D:D-[3]各月DI数値!J168</f>
        <v>0</v>
      </c>
      <c r="V278" s="56">
        <f>E:E-[3]各月DI数値!S168</f>
        <v>0</v>
      </c>
      <c r="W278" s="56">
        <f>F:F-[3]各月DI数値!AA168</f>
        <v>0</v>
      </c>
    </row>
    <row r="279" spans="1:23" ht="15" customHeight="1">
      <c r="A279" s="120"/>
      <c r="B279" s="114"/>
      <c r="C279" s="174">
        <v>11</v>
      </c>
      <c r="D279" s="642">
        <f>IF(初期登録!$B$10*12+初期登録!$D$10&lt;$A279,NA(),[3]各月DI数値!$J169)</f>
        <v>28.571428571428573</v>
      </c>
      <c r="E279" s="88">
        <f>IF(初期登録!$B$10*12+初期登録!$D$10&lt;$A279,NA(),[3]各月DI数値!$S169)</f>
        <v>0</v>
      </c>
      <c r="F279" s="643">
        <f>IF(初期登録!$B$10*12+初期登録!$D$10&lt;$A279,NA(),[3]各月DI数値!$AA169)</f>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f>D:D-[3]各月DI数値!J169</f>
        <v>0</v>
      </c>
      <c r="V279" s="56">
        <f>E:E-[3]各月DI数値!S169</f>
        <v>0</v>
      </c>
      <c r="W279" s="56">
        <f>F:F-[3]各月DI数値!AA169</f>
        <v>0</v>
      </c>
    </row>
    <row r="280" spans="1:23" ht="15" customHeight="1">
      <c r="A280" s="132"/>
      <c r="B280" s="115"/>
      <c r="C280" s="175">
        <v>12</v>
      </c>
      <c r="D280" s="644">
        <f>IF(初期登録!$B$10*12+初期登録!$D$10&lt;$A280,NA(),[3]各月DI数値!$J170)</f>
        <v>21.428571428571427</v>
      </c>
      <c r="E280" s="92">
        <f>IF(初期登録!$B$10*12+初期登録!$D$10&lt;$A280,NA(),[3]各月DI数値!$S170)</f>
        <v>12.5</v>
      </c>
      <c r="F280" s="93">
        <f>IF(初期登録!$B$10*12+初期登録!$D$10&lt;$A280,NA(),[3]各月DI数値!$AA170)</f>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f>D:D-[3]各月DI数値!J170</f>
        <v>0</v>
      </c>
      <c r="V280" s="65">
        <f>E:E-[3]各月DI数値!S170</f>
        <v>0</v>
      </c>
      <c r="W280" s="65">
        <f>F:F-[3]各月DI数値!AA170</f>
        <v>0</v>
      </c>
    </row>
    <row r="281" spans="1:23" ht="15" customHeight="1">
      <c r="A281" s="120"/>
      <c r="B281" s="994" t="s">
        <v>725</v>
      </c>
      <c r="C281" s="176">
        <v>1</v>
      </c>
      <c r="D281" s="640">
        <f>IF(初期登録!$B$10*12+初期登録!$D$10&lt;$A281,NA(),[3]各月DI数値!$J171)</f>
        <v>14.285714285714286</v>
      </c>
      <c r="E281" s="165">
        <f>IF(初期登録!$B$10*12+初期登録!$D$10&lt;$A281,NA(),[3]各月DI数値!$S171)</f>
        <v>25</v>
      </c>
      <c r="F281" s="641">
        <f>IF(初期登録!$B$10*12+初期登録!$D$10&lt;$A281,NA(),[3]各月DI数値!$AA171)</f>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c r="U281" s="34">
        <f>D:D-[3]各月DI数値!J171</f>
        <v>0</v>
      </c>
      <c r="V281" s="34">
        <f>E:E-[3]各月DI数値!S171</f>
        <v>0</v>
      </c>
      <c r="W281" s="34">
        <f>F:F-[3]各月DI数値!AA171</f>
        <v>0</v>
      </c>
    </row>
    <row r="282" spans="1:23" ht="15" customHeight="1">
      <c r="A282" s="120"/>
      <c r="B282" s="114"/>
      <c r="C282" s="174">
        <v>2</v>
      </c>
      <c r="D282" s="642">
        <f>IF(初期登録!$B$10*12+初期登録!$D$10&lt;$A282,NA(),[3]各月DI数値!$J172)</f>
        <v>28.571428571428573</v>
      </c>
      <c r="E282" s="88">
        <f>IF(初期登録!$B$10*12+初期登録!$D$10&lt;$A282,NA(),[3]各月DI数値!$S172)</f>
        <v>12.5</v>
      </c>
      <c r="F282" s="643">
        <f>IF(初期登録!$B$10*12+初期登録!$D$10&lt;$A282,NA(),[3]各月DI数値!$AA172)</f>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f>D:D-[3]各月DI数値!J172</f>
        <v>0</v>
      </c>
      <c r="V282" s="56">
        <f>E:E-[3]各月DI数値!S172</f>
        <v>0</v>
      </c>
      <c r="W282" s="56">
        <f>F:F-[3]各月DI数値!AA172</f>
        <v>0</v>
      </c>
    </row>
    <row r="283" spans="1:23" ht="15" customHeight="1">
      <c r="A283" s="120"/>
      <c r="B283" s="114"/>
      <c r="C283" s="174">
        <v>3</v>
      </c>
      <c r="D283" s="642">
        <f>IF(初期登録!$B$10*12+初期登録!$D$10&lt;$A283,NA(),[3]各月DI数値!$J173)</f>
        <v>42.857142857142854</v>
      </c>
      <c r="E283" s="88">
        <f>IF(初期登録!$B$10*12+初期登録!$D$10&lt;$A283,NA(),[3]各月DI数値!$S173)</f>
        <v>68.75</v>
      </c>
      <c r="F283" s="643">
        <f>IF(初期登録!$B$10*12+初期登録!$D$10&lt;$A283,NA(),[3]各月DI数値!$AA173)</f>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f>D:D-[3]各月DI数値!J173</f>
        <v>0</v>
      </c>
      <c r="V283" s="56">
        <f>E:E-[3]各月DI数値!S173</f>
        <v>0</v>
      </c>
      <c r="W283" s="56">
        <f>F:F-[3]各月DI数値!AA173</f>
        <v>0</v>
      </c>
    </row>
    <row r="284" spans="1:23" ht="15" customHeight="1">
      <c r="A284" s="120"/>
      <c r="B284" s="114"/>
      <c r="C284" s="174">
        <v>4</v>
      </c>
      <c r="D284" s="642">
        <f>IF(初期登録!$B$10*12+初期登録!$D$10&lt;$A284,NA(),[3]各月DI数値!$J174)</f>
        <v>50</v>
      </c>
      <c r="E284" s="88">
        <f>IF(初期登録!$B$10*12+初期登録!$D$10&lt;$A284,NA(),[3]各月DI数値!$S174)</f>
        <v>62.5</v>
      </c>
      <c r="F284" s="643">
        <f>IF(初期登録!$B$10*12+初期登録!$D$10&lt;$A284,NA(),[3]各月DI数値!$AA174)</f>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f>D:D-[3]各月DI数値!J174</f>
        <v>0</v>
      </c>
      <c r="V284" s="56">
        <f>E:E-[3]各月DI数値!S174</f>
        <v>0</v>
      </c>
      <c r="W284" s="56">
        <f>F:F-[3]各月DI数値!AA174</f>
        <v>0</v>
      </c>
    </row>
    <row r="285" spans="1:23" ht="15" customHeight="1">
      <c r="A285" s="120"/>
      <c r="B285" s="114"/>
      <c r="C285" s="174">
        <v>5</v>
      </c>
      <c r="D285" s="642">
        <f>IF(初期登録!$B$10*12+初期登録!$D$10&lt;$A285,NA(),[3]各月DI数値!$J175)</f>
        <v>57.142857142857146</v>
      </c>
      <c r="E285" s="88">
        <f>IF(初期登録!$B$10*12+初期登録!$D$10&lt;$A285,NA(),[3]各月DI数値!$S175)</f>
        <v>87.5</v>
      </c>
      <c r="F285" s="643">
        <f>IF(初期登録!$B$10*12+初期登録!$D$10&lt;$A285,NA(),[3]各月DI数値!$AA175)</f>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f>D:D-[3]各月DI数値!J175</f>
        <v>0</v>
      </c>
      <c r="V285" s="56">
        <f>E:E-[3]各月DI数値!S175</f>
        <v>0</v>
      </c>
      <c r="W285" s="56">
        <f>F:F-[3]各月DI数値!AA175</f>
        <v>0</v>
      </c>
    </row>
    <row r="286" spans="1:23" ht="15" customHeight="1">
      <c r="A286" s="120"/>
      <c r="B286" s="114"/>
      <c r="C286" s="174">
        <v>6</v>
      </c>
      <c r="D286" s="642">
        <f>IF(初期登録!$B$10*12+初期登録!$D$10&lt;$A286,NA(),[3]各月DI数値!$J176)</f>
        <v>71.428571428571431</v>
      </c>
      <c r="E286" s="88">
        <f>IF(初期登録!$B$10*12+初期登録!$D$10&lt;$A286,NA(),[3]各月DI数値!$S176)</f>
        <v>87.5</v>
      </c>
      <c r="F286" s="643">
        <f>IF(初期登録!$B$10*12+初期登録!$D$10&lt;$A286,NA(),[3]各月DI数値!$AA176)</f>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f>D:D-[3]各月DI数値!J176</f>
        <v>0</v>
      </c>
      <c r="V286" s="56">
        <f>E:E-[3]各月DI数値!S176</f>
        <v>0</v>
      </c>
      <c r="W286" s="56">
        <f>F:F-[3]各月DI数値!AA176</f>
        <v>0</v>
      </c>
    </row>
    <row r="287" spans="1:23" ht="15" customHeight="1">
      <c r="A287" s="120"/>
      <c r="B287" s="114"/>
      <c r="C287" s="174">
        <v>7</v>
      </c>
      <c r="D287" s="642">
        <f>IF(初期登録!$B$10*12+初期登録!$D$10&lt;$A287,NA(),[3]各月DI数値!$J177)</f>
        <v>71.428571428571431</v>
      </c>
      <c r="E287" s="88">
        <f>IF(初期登録!$B$10*12+初期登録!$D$10&lt;$A287,NA(),[3]各月DI数値!$S177)</f>
        <v>75</v>
      </c>
      <c r="F287" s="643">
        <f>IF(初期登録!$B$10*12+初期登録!$D$10&lt;$A287,NA(),[3]各月DI数値!$AA177)</f>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f>D:D-[3]各月DI数値!J177</f>
        <v>0</v>
      </c>
      <c r="V287" s="56">
        <f>E:E-[3]各月DI数値!S177</f>
        <v>0</v>
      </c>
      <c r="W287" s="56">
        <f>F:F-[3]各月DI数値!AA177</f>
        <v>0</v>
      </c>
    </row>
    <row r="288" spans="1:23" ht="15" customHeight="1">
      <c r="A288" s="120"/>
      <c r="B288" s="114"/>
      <c r="C288" s="174">
        <v>8</v>
      </c>
      <c r="D288" s="642">
        <f>IF(初期登録!$B$10*12+初期登録!$D$10&lt;$A288,NA(),[3]各月DI数値!$J178)</f>
        <v>42.857142857142854</v>
      </c>
      <c r="E288" s="88">
        <f>IF(初期登録!$B$10*12+初期登録!$D$10&lt;$A288,NA(),[3]各月DI数値!$S178)</f>
        <v>50</v>
      </c>
      <c r="F288" s="643">
        <f>IF(初期登録!$B$10*12+初期登録!$D$10&lt;$A288,NA(),[3]各月DI数値!$AA178)</f>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f>D:D-[3]各月DI数値!J178</f>
        <v>0</v>
      </c>
      <c r="V288" s="56">
        <f>E:E-[3]各月DI数値!S178</f>
        <v>0</v>
      </c>
      <c r="W288" s="56">
        <f>F:F-[3]各月DI数値!AA178</f>
        <v>0</v>
      </c>
    </row>
    <row r="289" spans="1:23" ht="15" customHeight="1">
      <c r="A289" s="120"/>
      <c r="B289" s="114"/>
      <c r="C289" s="174">
        <v>9</v>
      </c>
      <c r="D289" s="642">
        <f>IF(初期登録!$B$10*12+初期登録!$D$10&lt;$A289,NA(),[3]各月DI数値!$J179)</f>
        <v>85.714285714285708</v>
      </c>
      <c r="E289" s="88">
        <f>IF(初期登録!$B$10*12+初期登録!$D$10&lt;$A289,NA(),[3]各月DI数値!$S179)</f>
        <v>100</v>
      </c>
      <c r="F289" s="643">
        <f>IF(初期登録!$B$10*12+初期登録!$D$10&lt;$A289,NA(),[3]各月DI数値!$AA179)</f>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f>D:D-[3]各月DI数値!J179</f>
        <v>0</v>
      </c>
      <c r="V289" s="56">
        <f>E:E-[3]各月DI数値!S179</f>
        <v>0</v>
      </c>
      <c r="W289" s="56">
        <f>F:F-[3]各月DI数値!AA179</f>
        <v>0</v>
      </c>
    </row>
    <row r="290" spans="1:23" ht="15" customHeight="1">
      <c r="A290" s="120"/>
      <c r="B290" s="114"/>
      <c r="C290" s="174">
        <v>10</v>
      </c>
      <c r="D290" s="642">
        <f>IF(初期登録!$B$10*12+初期登録!$D$10&lt;$A290,NA(),[3]各月DI数値!$J180)</f>
        <v>71.428571428571431</v>
      </c>
      <c r="E290" s="88">
        <f>IF(初期登録!$B$10*12+初期登録!$D$10&lt;$A290,NA(),[3]各月DI数値!$S180)</f>
        <v>87.5</v>
      </c>
      <c r="F290" s="643">
        <f>IF(初期登録!$B$10*12+初期登録!$D$10&lt;$A290,NA(),[3]各月DI数値!$AA180)</f>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f>D:D-[3]各月DI数値!J180</f>
        <v>0</v>
      </c>
      <c r="V290" s="56">
        <f>E:E-[3]各月DI数値!S180</f>
        <v>0</v>
      </c>
      <c r="W290" s="56">
        <f>F:F-[3]各月DI数値!AA180</f>
        <v>0</v>
      </c>
    </row>
    <row r="291" spans="1:23" ht="15" customHeight="1">
      <c r="A291" s="120"/>
      <c r="B291" s="114"/>
      <c r="C291" s="174">
        <v>11</v>
      </c>
      <c r="D291" s="642">
        <f>IF(初期登録!$B$10*12+初期登録!$D$10&lt;$A291,NA(),[3]各月DI数値!$J181)</f>
        <v>100</v>
      </c>
      <c r="E291" s="88">
        <f>IF(初期登録!$B$10*12+初期登録!$D$10&lt;$A291,NA(),[3]各月DI数値!$S181)</f>
        <v>87.5</v>
      </c>
      <c r="F291" s="643">
        <f>IF(初期登録!$B$10*12+初期登録!$D$10&lt;$A291,NA(),[3]各月DI数値!$AA181)</f>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f>D:D-[3]各月DI数値!J181</f>
        <v>0</v>
      </c>
      <c r="V291" s="56">
        <f>E:E-[3]各月DI数値!S181</f>
        <v>0</v>
      </c>
      <c r="W291" s="56">
        <f>F:F-[3]各月DI数値!AA181</f>
        <v>0</v>
      </c>
    </row>
    <row r="292" spans="1:23" ht="15" customHeight="1">
      <c r="A292" s="120"/>
      <c r="B292" s="116"/>
      <c r="C292" s="177">
        <v>12</v>
      </c>
      <c r="D292" s="644">
        <f>IF(初期登録!$B$10*12+初期登録!$D$10&lt;$A292,NA(),[3]各月DI数値!$J182)</f>
        <v>71.428571428571431</v>
      </c>
      <c r="E292" s="92">
        <f>IF(初期登録!$B$10*12+初期登録!$D$10&lt;$A292,NA(),[3]各月DI数値!$S182)</f>
        <v>87.5</v>
      </c>
      <c r="F292" s="93">
        <f>IF(初期登録!$B$10*12+初期登録!$D$10&lt;$A292,NA(),[3]各月DI数値!$AA182)</f>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f>D:D-[3]各月DI数値!J182</f>
        <v>0</v>
      </c>
      <c r="V292" s="65">
        <f>E:E-[3]各月DI数値!S182</f>
        <v>0</v>
      </c>
      <c r="W292" s="65">
        <f>F:F-[3]各月DI数値!AA182</f>
        <v>0</v>
      </c>
    </row>
    <row r="293" spans="1:23" ht="15" customHeight="1">
      <c r="A293" s="125"/>
      <c r="B293" s="995" t="s">
        <v>726</v>
      </c>
      <c r="C293" s="173">
        <v>1</v>
      </c>
      <c r="D293" s="640">
        <f>IF(初期登録!$B$10*12+初期登録!$D$10&lt;$A293,NA(),[3]各月DI数値!$J183)</f>
        <v>71.428571428571431</v>
      </c>
      <c r="E293" s="165">
        <f>IF(初期登録!$B$10*12+初期登録!$D$10&lt;$A293,NA(),[3]各月DI数値!$S183)</f>
        <v>75</v>
      </c>
      <c r="F293" s="641">
        <f>IF(初期登録!$B$10*12+初期登録!$D$10&lt;$A293,NA(),[3]各月DI数値!$AA183)</f>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c r="U293" s="34">
        <f>D:D-[3]各月DI数値!J183</f>
        <v>0</v>
      </c>
      <c r="V293" s="34">
        <f>E:E-[3]各月DI数値!S183</f>
        <v>0</v>
      </c>
      <c r="W293" s="34">
        <f>F:F-[3]各月DI数値!AA183</f>
        <v>0</v>
      </c>
    </row>
    <row r="294" spans="1:23" ht="15" customHeight="1">
      <c r="A294" s="120"/>
      <c r="B294" s="114"/>
      <c r="C294" s="174">
        <v>2</v>
      </c>
      <c r="D294" s="642">
        <f>IF(初期登録!$B$10*12+初期登録!$D$10&lt;$A294,NA(),[3]各月DI数値!$J184)</f>
        <v>14.285714285714286</v>
      </c>
      <c r="E294" s="88">
        <f>IF(初期登録!$B$10*12+初期登録!$D$10&lt;$A294,NA(),[3]各月DI数値!$S184)</f>
        <v>37.5</v>
      </c>
      <c r="F294" s="643">
        <f>IF(初期登録!$B$10*12+初期登録!$D$10&lt;$A294,NA(),[3]各月DI数値!$AA184)</f>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f>D:D-[3]各月DI数値!J184</f>
        <v>0</v>
      </c>
      <c r="V294" s="56">
        <f>E:E-[3]各月DI数値!S184</f>
        <v>0</v>
      </c>
      <c r="W294" s="56">
        <f>F:F-[3]各月DI数値!AA184</f>
        <v>0</v>
      </c>
    </row>
    <row r="295" spans="1:23" ht="15" customHeight="1">
      <c r="A295" s="120"/>
      <c r="B295" s="114"/>
      <c r="C295" s="174">
        <v>3</v>
      </c>
      <c r="D295" s="642">
        <f>IF(初期登録!$B$10*12+初期登録!$D$10&lt;$A295,NA(),[3]各月DI数値!$J185)</f>
        <v>14.285714285714286</v>
      </c>
      <c r="E295" s="88">
        <f>IF(初期登録!$B$10*12+初期登録!$D$10&lt;$A295,NA(),[3]各月DI数値!$S185)</f>
        <v>75</v>
      </c>
      <c r="F295" s="643">
        <f>IF(初期登録!$B$10*12+初期登録!$D$10&lt;$A295,NA(),[3]各月DI数値!$AA185)</f>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f>D:D-[3]各月DI数値!J185</f>
        <v>0</v>
      </c>
      <c r="V295" s="56">
        <f>E:E-[3]各月DI数値!S185</f>
        <v>0</v>
      </c>
      <c r="W295" s="56">
        <f>F:F-[3]各月DI数値!AA185</f>
        <v>0</v>
      </c>
    </row>
    <row r="296" spans="1:23" ht="15" customHeight="1">
      <c r="A296" s="120"/>
      <c r="B296" s="114"/>
      <c r="C296" s="174">
        <v>4</v>
      </c>
      <c r="D296" s="642">
        <f>IF(初期登録!$B$10*12+初期登録!$D$10&lt;$A296,NA(),[3]各月DI数値!$J186)</f>
        <v>0</v>
      </c>
      <c r="E296" s="88">
        <f>IF(初期登録!$B$10*12+初期登録!$D$10&lt;$A296,NA(),[3]各月DI数値!$S186)</f>
        <v>25</v>
      </c>
      <c r="F296" s="643">
        <f>IF(初期登録!$B$10*12+初期登録!$D$10&lt;$A296,NA(),[3]各月DI数値!$AA186)</f>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f>D:D-[3]各月DI数値!J186</f>
        <v>0</v>
      </c>
      <c r="V296" s="56">
        <f>E:E-[3]各月DI数値!S186</f>
        <v>0</v>
      </c>
      <c r="W296" s="56">
        <f>F:F-[3]各月DI数値!AA186</f>
        <v>0</v>
      </c>
    </row>
    <row r="297" spans="1:23" ht="15" customHeight="1">
      <c r="A297" s="120"/>
      <c r="B297" s="114"/>
      <c r="C297" s="174">
        <v>5</v>
      </c>
      <c r="D297" s="642">
        <f>IF(初期登録!$B$10*12+初期登録!$D$10&lt;$A297,NA(),[3]各月DI数値!$J187)</f>
        <v>14.285714285714286</v>
      </c>
      <c r="E297" s="88">
        <f>IF(初期登録!$B$10*12+初期登録!$D$10&lt;$A297,NA(),[3]各月DI数値!$S187)</f>
        <v>50</v>
      </c>
      <c r="F297" s="643">
        <f>IF(初期登録!$B$10*12+初期登録!$D$10&lt;$A297,NA(),[3]各月DI数値!$AA187)</f>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f>D:D-[3]各月DI数値!J187</f>
        <v>0</v>
      </c>
      <c r="V297" s="56">
        <f>E:E-[3]各月DI数値!S187</f>
        <v>0</v>
      </c>
      <c r="W297" s="56">
        <f>F:F-[3]各月DI数値!AA187</f>
        <v>0</v>
      </c>
    </row>
    <row r="298" spans="1:23" ht="15" customHeight="1">
      <c r="A298" s="120"/>
      <c r="B298" s="114"/>
      <c r="C298" s="174">
        <v>6</v>
      </c>
      <c r="D298" s="642">
        <f>IF(初期登録!$B$10*12+初期登録!$D$10&lt;$A298,NA(),[3]各月DI数値!$J188)</f>
        <v>57.142857142857146</v>
      </c>
      <c r="E298" s="88">
        <f>IF(初期登録!$B$10*12+初期登録!$D$10&lt;$A298,NA(),[3]各月DI数値!$S188)</f>
        <v>75</v>
      </c>
      <c r="F298" s="643">
        <f>IF(初期登録!$B$10*12+初期登録!$D$10&lt;$A298,NA(),[3]各月DI数値!$AA188)</f>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f>D:D-[3]各月DI数値!J188</f>
        <v>0</v>
      </c>
      <c r="V298" s="56">
        <f>E:E-[3]各月DI数値!S188</f>
        <v>0</v>
      </c>
      <c r="W298" s="56">
        <f>F:F-[3]各月DI数値!AA188</f>
        <v>0</v>
      </c>
    </row>
    <row r="299" spans="1:23" ht="15" customHeight="1">
      <c r="A299" s="120"/>
      <c r="B299" s="114"/>
      <c r="C299" s="174">
        <v>7</v>
      </c>
      <c r="D299" s="642">
        <f>IF(初期登録!$B$10*12+初期登録!$D$10&lt;$A299,NA(),[3]各月DI数値!$J189)</f>
        <v>71.428571428571431</v>
      </c>
      <c r="E299" s="88">
        <f>IF(初期登録!$B$10*12+初期登録!$D$10&lt;$A299,NA(),[3]各月DI数値!$S189)</f>
        <v>100</v>
      </c>
      <c r="F299" s="643">
        <f>IF(初期登録!$B$10*12+初期登録!$D$10&lt;$A299,NA(),[3]各月DI数値!$AA189)</f>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f>D:D-[3]各月DI数値!J189</f>
        <v>0</v>
      </c>
      <c r="V299" s="56">
        <f>E:E-[3]各月DI数値!S189</f>
        <v>0</v>
      </c>
      <c r="W299" s="56">
        <f>F:F-[3]各月DI数値!AA189</f>
        <v>0</v>
      </c>
    </row>
    <row r="300" spans="1:23" ht="15" customHeight="1">
      <c r="A300" s="120"/>
      <c r="B300" s="114"/>
      <c r="C300" s="174">
        <v>8</v>
      </c>
      <c r="D300" s="642">
        <f>IF(初期登録!$B$10*12+初期登録!$D$10&lt;$A300,NA(),[3]各月DI数値!$J190)</f>
        <v>57.142857142857146</v>
      </c>
      <c r="E300" s="88">
        <f>IF(初期登録!$B$10*12+初期登録!$D$10&lt;$A300,NA(),[3]各月DI数値!$S190)</f>
        <v>50</v>
      </c>
      <c r="F300" s="643">
        <f>IF(初期登録!$B$10*12+初期登録!$D$10&lt;$A300,NA(),[3]各月DI数値!$AA190)</f>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f>D:D-[3]各月DI数値!J190</f>
        <v>0</v>
      </c>
      <c r="V300" s="56">
        <f>E:E-[3]各月DI数値!S190</f>
        <v>0</v>
      </c>
      <c r="W300" s="56">
        <f>F:F-[3]各月DI数値!AA190</f>
        <v>0</v>
      </c>
    </row>
    <row r="301" spans="1:23" ht="15" customHeight="1">
      <c r="A301" s="120"/>
      <c r="B301" s="114"/>
      <c r="C301" s="174">
        <v>9</v>
      </c>
      <c r="D301" s="642">
        <f>IF(初期登録!$B$10*12+初期登録!$D$10&lt;$A301,NA(),[3]各月DI数値!$J191)</f>
        <v>57.142857142857146</v>
      </c>
      <c r="E301" s="88">
        <f>IF(初期登録!$B$10*12+初期登録!$D$10&lt;$A301,NA(),[3]各月DI数値!$S191)</f>
        <v>100</v>
      </c>
      <c r="F301" s="643">
        <f>IF(初期登録!$B$10*12+初期登録!$D$10&lt;$A301,NA(),[3]各月DI数値!$AA191)</f>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f>D:D-[3]各月DI数値!J191</f>
        <v>0</v>
      </c>
      <c r="V301" s="56">
        <f>E:E-[3]各月DI数値!S191</f>
        <v>0</v>
      </c>
      <c r="W301" s="56">
        <f>F:F-[3]各月DI数値!AA191</f>
        <v>0</v>
      </c>
    </row>
    <row r="302" spans="1:23" ht="15" customHeight="1">
      <c r="A302" s="120"/>
      <c r="B302" s="114"/>
      <c r="C302" s="174">
        <v>10</v>
      </c>
      <c r="D302" s="642">
        <f>IF(初期登録!$B$10*12+初期登録!$D$10&lt;$A302,NA(),[3]各月DI数値!$J192)</f>
        <v>71.428571428571431</v>
      </c>
      <c r="E302" s="88">
        <f>IF(初期登録!$B$10*12+初期登録!$D$10&lt;$A302,NA(),[3]各月DI数値!$S192)</f>
        <v>87.5</v>
      </c>
      <c r="F302" s="643">
        <f>IF(初期登録!$B$10*12+初期登録!$D$10&lt;$A302,NA(),[3]各月DI数値!$AA192)</f>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f>D:D-[3]各月DI数値!J192</f>
        <v>0</v>
      </c>
      <c r="V302" s="56">
        <f>E:E-[3]各月DI数値!S192</f>
        <v>0</v>
      </c>
      <c r="W302" s="56">
        <f>F:F-[3]各月DI数値!AA192</f>
        <v>0</v>
      </c>
    </row>
    <row r="303" spans="1:23" ht="15" customHeight="1">
      <c r="A303" s="120"/>
      <c r="B303" s="114"/>
      <c r="C303" s="174">
        <v>11</v>
      </c>
      <c r="D303" s="642">
        <f>IF(初期登録!$B$10*12+初期登録!$D$10&lt;$A303,NA(),[3]各月DI数値!$J193)</f>
        <v>57.142857142857146</v>
      </c>
      <c r="E303" s="88">
        <f>IF(初期登録!$B$10*12+初期登録!$D$10&lt;$A303,NA(),[3]各月DI数値!$S193)</f>
        <v>87.5</v>
      </c>
      <c r="F303" s="643">
        <f>IF(初期登録!$B$10*12+初期登録!$D$10&lt;$A303,NA(),[3]各月DI数値!$AA193)</f>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f>D:D-[3]各月DI数値!J193</f>
        <v>0</v>
      </c>
      <c r="V303" s="56">
        <f>E:E-[3]各月DI数値!S193</f>
        <v>0</v>
      </c>
      <c r="W303" s="56">
        <f>F:F-[3]各月DI数値!AA193</f>
        <v>0</v>
      </c>
    </row>
    <row r="304" spans="1:23" ht="15" customHeight="1">
      <c r="A304" s="132"/>
      <c r="B304" s="115"/>
      <c r="C304" s="175">
        <v>12</v>
      </c>
      <c r="D304" s="642">
        <f>IF(初期登録!$B$10*12+初期登録!$D$10&lt;$A304,NA(),[3]各月DI数値!$J194)</f>
        <v>71.428571428571431</v>
      </c>
      <c r="E304" s="88">
        <f>IF(初期登録!$B$10*12+初期登録!$D$10&lt;$A304,NA(),[3]各月DI数値!$S194)</f>
        <v>87.5</v>
      </c>
      <c r="F304" s="643">
        <f>IF(初期登録!$B$10*12+初期登録!$D$10&lt;$A304,NA(),[3]各月DI数値!$AA194)</f>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f>D:D-[3]各月DI数値!J194</f>
        <v>0</v>
      </c>
      <c r="V304" s="65">
        <f>E:E-[3]各月DI数値!S194</f>
        <v>0</v>
      </c>
      <c r="W304" s="65">
        <f>F:F-[3]各月DI数値!AA194</f>
        <v>0</v>
      </c>
    </row>
    <row r="305" spans="1:23" ht="15" customHeight="1">
      <c r="A305" s="120"/>
      <c r="B305" s="994" t="s">
        <v>727</v>
      </c>
      <c r="C305" s="176">
        <v>1</v>
      </c>
      <c r="D305" s="642">
        <f>IF(初期登録!$B$10*12+初期登録!$D$10&lt;$A305,NA(),[3]各月DI数値!$J195)</f>
        <v>57.142857142857146</v>
      </c>
      <c r="E305" s="88">
        <f>IF(初期登録!$B$10*12+初期登録!$D$10&lt;$A305,NA(),[3]各月DI数値!$S195)</f>
        <v>75</v>
      </c>
      <c r="F305" s="643">
        <f>IF(初期登録!$B$10*12+初期登録!$D$10&lt;$A305,NA(),[3]各月DI数値!$AA195)</f>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c r="U305" s="34">
        <f>D:D-[3]各月DI数値!J195</f>
        <v>0</v>
      </c>
      <c r="V305" s="34">
        <f>E:E-[3]各月DI数値!S195</f>
        <v>0</v>
      </c>
      <c r="W305" s="34">
        <f>F:F-[3]各月DI数値!AA195</f>
        <v>0</v>
      </c>
    </row>
    <row r="306" spans="1:23" ht="15" customHeight="1">
      <c r="A306" s="120"/>
      <c r="B306" s="114"/>
      <c r="C306" s="174">
        <v>2</v>
      </c>
      <c r="D306" s="642">
        <f>IF(初期登録!$B$10*12+初期登録!$D$10&lt;$A306,NA(),[3]各月DI数値!$J196)</f>
        <v>28.571428571428573</v>
      </c>
      <c r="E306" s="88">
        <f>IF(初期登録!$B$10*12+初期登録!$D$10&lt;$A306,NA(),[3]各月DI数値!$S196)</f>
        <v>87.5</v>
      </c>
      <c r="F306" s="643">
        <f>IF(初期登録!$B$10*12+初期登録!$D$10&lt;$A306,NA(),[3]各月DI数値!$AA196)</f>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f>D:D-[3]各月DI数値!J196</f>
        <v>0</v>
      </c>
      <c r="V306" s="56">
        <f>E:E-[3]各月DI数値!S196</f>
        <v>0</v>
      </c>
      <c r="W306" s="56">
        <f>F:F-[3]各月DI数値!AA196</f>
        <v>0</v>
      </c>
    </row>
    <row r="307" spans="1:23" ht="15" customHeight="1">
      <c r="A307" s="120"/>
      <c r="B307" s="114"/>
      <c r="C307" s="174">
        <v>3</v>
      </c>
      <c r="D307" s="642">
        <f>IF(初期登録!$B$10*12+初期登録!$D$10&lt;$A307,NA(),[3]各月DI数値!$J197)</f>
        <v>14.285714285714286</v>
      </c>
      <c r="E307" s="88">
        <f>IF(初期登録!$B$10*12+初期登録!$D$10&lt;$A307,NA(),[3]各月DI数値!$S197)</f>
        <v>68.75</v>
      </c>
      <c r="F307" s="643">
        <f>IF(初期登録!$B$10*12+初期登録!$D$10&lt;$A307,NA(),[3]各月DI数値!$AA197)</f>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f>D:D-[3]各月DI数値!J197</f>
        <v>0</v>
      </c>
      <c r="V307" s="56">
        <f>E:E-[3]各月DI数値!S197</f>
        <v>0</v>
      </c>
      <c r="W307" s="56">
        <f>F:F-[3]各月DI数値!AA197</f>
        <v>0</v>
      </c>
    </row>
    <row r="308" spans="1:23" ht="15" customHeight="1">
      <c r="A308" s="120"/>
      <c r="B308" s="114"/>
      <c r="C308" s="174">
        <v>4</v>
      </c>
      <c r="D308" s="642">
        <f>IF(初期登録!$B$10*12+初期登録!$D$10&lt;$A308,NA(),[3]各月DI数値!$J198)</f>
        <v>42.857142857142854</v>
      </c>
      <c r="E308" s="88">
        <f>IF(初期登録!$B$10*12+初期登録!$D$10&lt;$A308,NA(),[3]各月DI数値!$S198)</f>
        <v>62.5</v>
      </c>
      <c r="F308" s="643">
        <f>IF(初期登録!$B$10*12+初期登録!$D$10&lt;$A308,NA(),[3]各月DI数値!$AA198)</f>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f>D:D-[3]各月DI数値!J198</f>
        <v>0</v>
      </c>
      <c r="V308" s="56">
        <f>E:E-[3]各月DI数値!S198</f>
        <v>0</v>
      </c>
      <c r="W308" s="56">
        <f>F:F-[3]各月DI数値!AA198</f>
        <v>0</v>
      </c>
    </row>
    <row r="309" spans="1:23" ht="15" customHeight="1">
      <c r="A309" s="120"/>
      <c r="B309" s="114"/>
      <c r="C309" s="174">
        <v>5</v>
      </c>
      <c r="D309" s="642">
        <f>IF(初期登録!$B$10*12+初期登録!$D$10&lt;$A309,NA(),[3]各月DI数値!$J199)</f>
        <v>14.285714285714286</v>
      </c>
      <c r="E309" s="88">
        <f>IF(初期登録!$B$10*12+初期登録!$D$10&lt;$A309,NA(),[3]各月DI数値!$S199)</f>
        <v>62.5</v>
      </c>
      <c r="F309" s="643">
        <f>IF(初期登録!$B$10*12+初期登録!$D$10&lt;$A309,NA(),[3]各月DI数値!$AA199)</f>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f>D:D-[3]各月DI数値!J199</f>
        <v>0</v>
      </c>
      <c r="V309" s="56">
        <f>E:E-[3]各月DI数値!S199</f>
        <v>0</v>
      </c>
      <c r="W309" s="56">
        <f>F:F-[3]各月DI数値!AA199</f>
        <v>0</v>
      </c>
    </row>
    <row r="310" spans="1:23" ht="15" customHeight="1">
      <c r="A310" s="120"/>
      <c r="B310" s="114"/>
      <c r="C310" s="174">
        <v>6</v>
      </c>
      <c r="D310" s="642">
        <f>IF(初期登録!$B$10*12+初期登録!$D$10&lt;$A310,NA(),[3]各月DI数値!$J200)</f>
        <v>50</v>
      </c>
      <c r="E310" s="88">
        <f>IF(初期登録!$B$10*12+初期登録!$D$10&lt;$A310,NA(),[3]各月DI数値!$S200)</f>
        <v>75</v>
      </c>
      <c r="F310" s="643">
        <f>IF(初期登録!$B$10*12+初期登録!$D$10&lt;$A310,NA(),[3]各月DI数値!$AA200)</f>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f>D:D-[3]各月DI数値!J200</f>
        <v>0</v>
      </c>
      <c r="V310" s="56">
        <f>E:E-[3]各月DI数値!S200</f>
        <v>0</v>
      </c>
      <c r="W310" s="56">
        <f>F:F-[3]各月DI数値!AA200</f>
        <v>0</v>
      </c>
    </row>
    <row r="311" spans="1:23" ht="15" customHeight="1">
      <c r="A311" s="120"/>
      <c r="B311" s="114"/>
      <c r="C311" s="174">
        <v>7</v>
      </c>
      <c r="D311" s="642">
        <f>IF(初期登録!$B$10*12+初期登録!$D$10&lt;$A311,NA(),[3]各月DI数値!$J201)</f>
        <v>57.142857142857146</v>
      </c>
      <c r="E311" s="88">
        <f>IF(初期登録!$B$10*12+初期登録!$D$10&lt;$A311,NA(),[3]各月DI数値!$S201)</f>
        <v>87.5</v>
      </c>
      <c r="F311" s="643">
        <f>IF(初期登録!$B$10*12+初期登録!$D$10&lt;$A311,NA(),[3]各月DI数値!$AA201)</f>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f>D:D-[3]各月DI数値!J201</f>
        <v>0</v>
      </c>
      <c r="V311" s="56">
        <f>E:E-[3]各月DI数値!S201</f>
        <v>0</v>
      </c>
      <c r="W311" s="56">
        <f>F:F-[3]各月DI数値!AA201</f>
        <v>0</v>
      </c>
    </row>
    <row r="312" spans="1:23" ht="15" customHeight="1">
      <c r="A312" s="120"/>
      <c r="B312" s="114"/>
      <c r="C312" s="174">
        <v>8</v>
      </c>
      <c r="D312" s="642">
        <f>IF(初期登録!$B$10*12+初期登録!$D$10&lt;$A312,NA(),[3]各月DI数値!$J202)</f>
        <v>57.142857142857146</v>
      </c>
      <c r="E312" s="88">
        <f>IF(初期登録!$B$10*12+初期登録!$D$10&lt;$A312,NA(),[3]各月DI数値!$S202)</f>
        <v>75</v>
      </c>
      <c r="F312" s="643">
        <f>IF(初期登録!$B$10*12+初期登録!$D$10&lt;$A312,NA(),[3]各月DI数値!$AA202)</f>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f>D:D-[3]各月DI数値!J202</f>
        <v>0</v>
      </c>
      <c r="V312" s="56">
        <f>E:E-[3]各月DI数値!S202</f>
        <v>0</v>
      </c>
      <c r="W312" s="56">
        <f>F:F-[3]各月DI数値!AA202</f>
        <v>0</v>
      </c>
    </row>
    <row r="313" spans="1:23" ht="15" customHeight="1">
      <c r="A313" s="120"/>
      <c r="B313" s="114"/>
      <c r="C313" s="174">
        <v>9</v>
      </c>
      <c r="D313" s="642">
        <f>IF(初期登録!$B$10*12+初期登録!$D$10&lt;$A313,NA(),[3]各月DI数値!$J203)</f>
        <v>57.142857142857146</v>
      </c>
      <c r="E313" s="88">
        <f>IF(初期登録!$B$10*12+初期登録!$D$10&lt;$A313,NA(),[3]各月DI数値!$S203)</f>
        <v>25</v>
      </c>
      <c r="F313" s="643">
        <f>IF(初期登録!$B$10*12+初期登録!$D$10&lt;$A313,NA(),[3]各月DI数値!$AA203)</f>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f>D:D-[3]各月DI数値!J203</f>
        <v>0</v>
      </c>
      <c r="V313" s="56">
        <f>E:E-[3]各月DI数値!S203</f>
        <v>0</v>
      </c>
      <c r="W313" s="56">
        <f>F:F-[3]各月DI数値!AA203</f>
        <v>0</v>
      </c>
    </row>
    <row r="314" spans="1:23" ht="15" customHeight="1">
      <c r="A314" s="120"/>
      <c r="B314" s="114"/>
      <c r="C314" s="174">
        <v>10</v>
      </c>
      <c r="D314" s="642">
        <f>IF(初期登録!$B$10*12+初期登録!$D$10&lt;$A314,NA(),[3]各月DI数値!$J204)</f>
        <v>35.714285714285715</v>
      </c>
      <c r="E314" s="88">
        <f>IF(初期登録!$B$10*12+初期登録!$D$10&lt;$A314,NA(),[3]各月DI数値!$S204)</f>
        <v>25</v>
      </c>
      <c r="F314" s="643">
        <f>IF(初期登録!$B$10*12+初期登録!$D$10&lt;$A314,NA(),[3]各月DI数値!$AA204)</f>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f>D:D-[3]各月DI数値!J204</f>
        <v>0</v>
      </c>
      <c r="V314" s="56">
        <f>E:E-[3]各月DI数値!S204</f>
        <v>0</v>
      </c>
      <c r="W314" s="56">
        <f>F:F-[3]各月DI数値!AA204</f>
        <v>0</v>
      </c>
    </row>
    <row r="315" spans="1:23" ht="15" customHeight="1">
      <c r="A315" s="120"/>
      <c r="B315" s="114"/>
      <c r="C315" s="174">
        <v>11</v>
      </c>
      <c r="D315" s="642">
        <f>IF(初期登録!$B$10*12+初期登録!$D$10&lt;$A315,NA(),[3]各月DI数値!$J205)</f>
        <v>42.857142857142854</v>
      </c>
      <c r="E315" s="88">
        <f>IF(初期登録!$B$10*12+初期登録!$D$10&lt;$A315,NA(),[3]各月DI数値!$S205)</f>
        <v>25</v>
      </c>
      <c r="F315" s="643">
        <f>IF(初期登録!$B$10*12+初期登録!$D$10&lt;$A315,NA(),[3]各月DI数値!$AA205)</f>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f>D:D-[3]各月DI数値!J205</f>
        <v>0</v>
      </c>
      <c r="V315" s="56">
        <f>E:E-[3]各月DI数値!S205</f>
        <v>0</v>
      </c>
      <c r="W315" s="56">
        <f>F:F-[3]各月DI数値!AA205</f>
        <v>0</v>
      </c>
    </row>
    <row r="316" spans="1:23" ht="15" customHeight="1">
      <c r="A316" s="120"/>
      <c r="B316" s="116"/>
      <c r="C316" s="177">
        <v>12</v>
      </c>
      <c r="D316" s="642">
        <f>IF(初期登録!$B$10*12+初期登録!$D$10&lt;$A316,NA(),[3]各月DI数値!$J206)</f>
        <v>28.571428571428573</v>
      </c>
      <c r="E316" s="88">
        <f>IF(初期登録!$B$10*12+初期登録!$D$10&lt;$A316,NA(),[3]各月DI数値!$S206)</f>
        <v>12.5</v>
      </c>
      <c r="F316" s="643">
        <f>IF(初期登録!$B$10*12+初期登録!$D$10&lt;$A316,NA(),[3]各月DI数値!$AA206)</f>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f>D:D-[3]各月DI数値!J206</f>
        <v>0</v>
      </c>
      <c r="V316" s="65">
        <f>E:E-[3]各月DI数値!S206</f>
        <v>0</v>
      </c>
      <c r="W316" s="65">
        <f>F:F-[3]各月DI数値!AA206</f>
        <v>0</v>
      </c>
    </row>
    <row r="317" spans="1:23" ht="15" customHeight="1">
      <c r="A317" s="125"/>
      <c r="B317" s="995" t="s">
        <v>728</v>
      </c>
      <c r="C317" s="173">
        <v>1</v>
      </c>
      <c r="D317" s="642">
        <f>IF(初期登録!$B$10*12+初期登録!$D$10&lt;$A317,NA(),[3]各月DI数値!$J207)</f>
        <v>28.571428571428573</v>
      </c>
      <c r="E317" s="88">
        <f>IF(初期登録!$B$10*12+初期登録!$D$10&lt;$A317,NA(),[3]各月DI数値!$S207)</f>
        <v>25</v>
      </c>
      <c r="F317" s="643">
        <f>IF(初期登録!$B$10*12+初期登録!$D$10&lt;$A317,NA(),[3]各月DI数値!$AA207)</f>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c r="U317" s="34">
        <f>D:D-[3]各月DI数値!J207</f>
        <v>0</v>
      </c>
      <c r="V317" s="34">
        <f>E:E-[3]各月DI数値!S207</f>
        <v>0</v>
      </c>
      <c r="W317" s="34">
        <f>F:F-[3]各月DI数値!AA207</f>
        <v>0</v>
      </c>
    </row>
    <row r="318" spans="1:23" ht="15" customHeight="1">
      <c r="A318" s="120"/>
      <c r="B318" s="114"/>
      <c r="C318" s="174">
        <v>2</v>
      </c>
      <c r="D318" s="642">
        <f>IF(初期登録!$B$10*12+初期登録!$D$10&lt;$A318,NA(),[3]各月DI数値!$J208)</f>
        <v>14.285714285714286</v>
      </c>
      <c r="E318" s="88">
        <f>IF(初期登録!$B$10*12+初期登録!$D$10&lt;$A318,NA(),[3]各月DI数値!$S208)</f>
        <v>37.5</v>
      </c>
      <c r="F318" s="643">
        <f>IF(初期登録!$B$10*12+初期登録!$D$10&lt;$A318,NA(),[3]各月DI数値!$AA208)</f>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f>D:D-[3]各月DI数値!J208</f>
        <v>0</v>
      </c>
      <c r="V318" s="56">
        <f>E:E-[3]各月DI数値!S208</f>
        <v>0</v>
      </c>
      <c r="W318" s="56">
        <f>F:F-[3]各月DI数値!AA208</f>
        <v>0</v>
      </c>
    </row>
    <row r="319" spans="1:23" ht="15" customHeight="1">
      <c r="A319" s="120"/>
      <c r="B319" s="114"/>
      <c r="C319" s="174">
        <v>3</v>
      </c>
      <c r="D319" s="642">
        <f>IF(初期登録!$B$10*12+初期登録!$D$10&lt;$A319,NA(),[3]各月DI数値!$J209)</f>
        <v>42.857142857142854</v>
      </c>
      <c r="E319" s="88">
        <f>IF(初期登録!$B$10*12+初期登録!$D$10&lt;$A319,NA(),[3]各月DI数値!$S209)</f>
        <v>50</v>
      </c>
      <c r="F319" s="643">
        <f>IF(初期登録!$B$10*12+初期登録!$D$10&lt;$A319,NA(),[3]各月DI数値!$AA209)</f>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f>D:D-[3]各月DI数値!J209</f>
        <v>0</v>
      </c>
      <c r="V319" s="56">
        <f>E:E-[3]各月DI数値!S209</f>
        <v>0</v>
      </c>
      <c r="W319" s="56">
        <f>F:F-[3]各月DI数値!AA209</f>
        <v>0</v>
      </c>
    </row>
    <row r="320" spans="1:23" ht="15" customHeight="1">
      <c r="A320" s="120"/>
      <c r="B320" s="114"/>
      <c r="C320" s="174">
        <v>4</v>
      </c>
      <c r="D320" s="642">
        <f>IF(初期登録!$B$10*12+初期登録!$D$10&lt;$A320,NA(),[3]各月DI数値!$J210)</f>
        <v>28.571428571428573</v>
      </c>
      <c r="E320" s="88">
        <f>IF(初期登録!$B$10*12+初期登録!$D$10&lt;$A320,NA(),[3]各月DI数値!$S210)</f>
        <v>37.5</v>
      </c>
      <c r="F320" s="643">
        <f>IF(初期登録!$B$10*12+初期登録!$D$10&lt;$A320,NA(),[3]各月DI数値!$AA210)</f>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f>D:D-[3]各月DI数値!J210</f>
        <v>0</v>
      </c>
      <c r="V320" s="56">
        <f>E:E-[3]各月DI数値!S210</f>
        <v>0</v>
      </c>
      <c r="W320" s="56">
        <f>F:F-[3]各月DI数値!AA210</f>
        <v>0</v>
      </c>
    </row>
    <row r="321" spans="1:23" ht="15" customHeight="1">
      <c r="A321" s="120"/>
      <c r="B321" s="114"/>
      <c r="C321" s="174">
        <v>5</v>
      </c>
      <c r="D321" s="642">
        <f>IF(初期登録!$B$10*12+初期登録!$D$10&lt;$A321,NA(),[3]各月DI数値!$J211)</f>
        <v>71.428571428571431</v>
      </c>
      <c r="E321" s="88">
        <f>IF(初期登録!$B$10*12+初期登録!$D$10&lt;$A321,NA(),[3]各月DI数値!$S211)</f>
        <v>37.5</v>
      </c>
      <c r="F321" s="643">
        <f>IF(初期登録!$B$10*12+初期登録!$D$10&lt;$A321,NA(),[3]各月DI数値!$AA211)</f>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f>D:D-[3]各月DI数値!J211</f>
        <v>0</v>
      </c>
      <c r="V321" s="56">
        <f>E:E-[3]各月DI数値!S211</f>
        <v>0</v>
      </c>
      <c r="W321" s="56">
        <f>F:F-[3]各月DI数値!AA211</f>
        <v>0</v>
      </c>
    </row>
    <row r="322" spans="1:23" ht="15" customHeight="1">
      <c r="A322" s="120"/>
      <c r="B322" s="114"/>
      <c r="C322" s="174">
        <v>6</v>
      </c>
      <c r="D322" s="642">
        <f>IF(初期登録!$B$10*12+初期登録!$D$10&lt;$A322,NA(),[3]各月DI数値!$J212)</f>
        <v>28.571428571428573</v>
      </c>
      <c r="E322" s="88">
        <f>IF(初期登録!$B$10*12+初期登録!$D$10&lt;$A322,NA(),[3]各月DI数値!$S212)</f>
        <v>43.75</v>
      </c>
      <c r="F322" s="643">
        <f>IF(初期登録!$B$10*12+初期登録!$D$10&lt;$A322,NA(),[3]各月DI数値!$AA212)</f>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f>D:D-[3]各月DI数値!J212</f>
        <v>0</v>
      </c>
      <c r="V322" s="56">
        <f>E:E-[3]各月DI数値!S212</f>
        <v>0</v>
      </c>
      <c r="W322" s="56">
        <f>F:F-[3]各月DI数値!AA212</f>
        <v>0</v>
      </c>
    </row>
    <row r="323" spans="1:23" ht="15" customHeight="1">
      <c r="A323" s="120"/>
      <c r="B323" s="114"/>
      <c r="C323" s="174">
        <v>7</v>
      </c>
      <c r="D323" s="642">
        <f>IF(初期登録!$B$10*12+初期登録!$D$10&lt;$A323,NA(),[3]各月DI数値!$J213)</f>
        <v>57.142857142857146</v>
      </c>
      <c r="E323" s="88">
        <f>IF(初期登録!$B$10*12+初期登録!$D$10&lt;$A323,NA(),[3]各月DI数値!$S213)</f>
        <v>12.5</v>
      </c>
      <c r="F323" s="643">
        <f>IF(初期登録!$B$10*12+初期登録!$D$10&lt;$A323,NA(),[3]各月DI数値!$AA213)</f>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f>D:D-[3]各月DI数値!J213</f>
        <v>0</v>
      </c>
      <c r="V323" s="56">
        <f>E:E-[3]各月DI数値!S213</f>
        <v>0</v>
      </c>
      <c r="W323" s="56">
        <f>F:F-[3]各月DI数値!AA213</f>
        <v>0</v>
      </c>
    </row>
    <row r="324" spans="1:23" ht="15" customHeight="1">
      <c r="A324" s="120"/>
      <c r="B324" s="114"/>
      <c r="C324" s="174">
        <v>8</v>
      </c>
      <c r="D324" s="642">
        <f>IF(初期登録!$B$10*12+初期登録!$D$10&lt;$A324,NA(),[3]各月DI数値!$J214)</f>
        <v>42.857142857142854</v>
      </c>
      <c r="E324" s="88">
        <f>IF(初期登録!$B$10*12+初期登録!$D$10&lt;$A324,NA(),[3]各月DI数値!$S214)</f>
        <v>75</v>
      </c>
      <c r="F324" s="643">
        <f>IF(初期登録!$B$10*12+初期登録!$D$10&lt;$A324,NA(),[3]各月DI数値!$AA214)</f>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f>D:D-[3]各月DI数値!J214</f>
        <v>0</v>
      </c>
      <c r="V324" s="56">
        <f>E:E-[3]各月DI数値!S214</f>
        <v>0</v>
      </c>
      <c r="W324" s="56">
        <f>F:F-[3]各月DI数値!AA214</f>
        <v>0</v>
      </c>
    </row>
    <row r="325" spans="1:23" ht="15" customHeight="1">
      <c r="A325" s="120"/>
      <c r="B325" s="114"/>
      <c r="C325" s="174">
        <v>9</v>
      </c>
      <c r="D325" s="642">
        <f>IF(初期登録!$B$10*12+初期登録!$D$10&lt;$A325,NA(),[3]各月DI数値!$J215)</f>
        <v>71.428571428571431</v>
      </c>
      <c r="E325" s="88">
        <f>IF(初期登録!$B$10*12+初期登録!$D$10&lt;$A325,NA(),[3]各月DI数値!$S215)</f>
        <v>50</v>
      </c>
      <c r="F325" s="643">
        <f>IF(初期登録!$B$10*12+初期登録!$D$10&lt;$A325,NA(),[3]各月DI数値!$AA215)</f>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f>D:D-[3]各月DI数値!J215</f>
        <v>0</v>
      </c>
      <c r="V325" s="56">
        <f>E:E-[3]各月DI数値!S215</f>
        <v>0</v>
      </c>
      <c r="W325" s="56">
        <f>F:F-[3]各月DI数値!AA215</f>
        <v>0</v>
      </c>
    </row>
    <row r="326" spans="1:23" ht="15" customHeight="1">
      <c r="A326" s="120"/>
      <c r="B326" s="114"/>
      <c r="C326" s="174">
        <v>10</v>
      </c>
      <c r="D326" s="642">
        <f>IF(初期登録!$B$10*12+初期登録!$D$10&lt;$A326,NA(),[3]各月DI数値!$J216)</f>
        <v>71.428571428571431</v>
      </c>
      <c r="E326" s="88">
        <f>IF(初期登録!$B$10*12+初期登録!$D$10&lt;$A326,NA(),[3]各月DI数値!$S216)</f>
        <v>75</v>
      </c>
      <c r="F326" s="643">
        <f>IF(初期登録!$B$10*12+初期登録!$D$10&lt;$A326,NA(),[3]各月DI数値!$AA216)</f>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f>D:D-[3]各月DI数値!J216</f>
        <v>0</v>
      </c>
      <c r="V326" s="56">
        <f>E:E-[3]各月DI数値!S216</f>
        <v>0</v>
      </c>
      <c r="W326" s="56">
        <f>F:F-[3]各月DI数値!AA216</f>
        <v>0</v>
      </c>
    </row>
    <row r="327" spans="1:23" ht="15" customHeight="1">
      <c r="A327" s="120"/>
      <c r="B327" s="114"/>
      <c r="C327" s="174">
        <v>11</v>
      </c>
      <c r="D327" s="642">
        <f>IF(初期登録!$B$10*12+初期登録!$D$10&lt;$A327,NA(),[3]各月DI数値!$J217)</f>
        <v>85.714285714285708</v>
      </c>
      <c r="E327" s="88">
        <f>IF(初期登録!$B$10*12+初期登録!$D$10&lt;$A327,NA(),[3]各月DI数値!$S217)</f>
        <v>100</v>
      </c>
      <c r="F327" s="643">
        <f>IF(初期登録!$B$10*12+初期登録!$D$10&lt;$A327,NA(),[3]各月DI数値!$AA217)</f>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f>D:D-[3]各月DI数値!J217</f>
        <v>0</v>
      </c>
      <c r="V327" s="56">
        <f>E:E-[3]各月DI数値!S217</f>
        <v>0</v>
      </c>
      <c r="W327" s="56">
        <f>F:F-[3]各月DI数値!AA217</f>
        <v>0</v>
      </c>
    </row>
    <row r="328" spans="1:23" ht="15" customHeight="1">
      <c r="A328" s="132"/>
      <c r="B328" s="115"/>
      <c r="C328" s="175">
        <v>12</v>
      </c>
      <c r="D328" s="642">
        <f>IF(初期登録!$B$10*12+初期登録!$D$10&lt;$A328,NA(),[3]各月DI数値!$J218)</f>
        <v>57.142857142857146</v>
      </c>
      <c r="E328" s="88">
        <f>IF(初期登録!$B$10*12+初期登録!$D$10&lt;$A328,NA(),[3]各月DI数値!$S218)</f>
        <v>75</v>
      </c>
      <c r="F328" s="643">
        <f>IF(初期登録!$B$10*12+初期登録!$D$10&lt;$A328,NA(),[3]各月DI数値!$AA218)</f>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f>D:D-[3]各月DI数値!J218</f>
        <v>0</v>
      </c>
      <c r="V328" s="65">
        <f>E:E-[3]各月DI数値!S218</f>
        <v>0</v>
      </c>
      <c r="W328" s="65">
        <f>F:F-[3]各月DI数値!AA218</f>
        <v>0</v>
      </c>
    </row>
    <row r="329" spans="1:23" ht="15" customHeight="1">
      <c r="A329" s="120"/>
      <c r="B329" s="994" t="s">
        <v>729</v>
      </c>
      <c r="C329" s="176">
        <v>1</v>
      </c>
      <c r="D329" s="642">
        <f>IF(初期登録!$B$10*12+初期登録!$D$10&lt;$A329,NA(),[3]各月DI数値!$J219)</f>
        <v>85.714285714285708</v>
      </c>
      <c r="E329" s="88">
        <f>IF(初期登録!$B$10*12+初期登録!$D$10&lt;$A329,NA(),[3]各月DI数値!$S219)</f>
        <v>62.5</v>
      </c>
      <c r="F329" s="643">
        <f>IF(初期登録!$B$10*12+初期登録!$D$10&lt;$A329,NA(),[3]各月DI数値!$AA219)</f>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c r="U329" s="34">
        <f>D:D-[3]各月DI数値!J219</f>
        <v>0</v>
      </c>
      <c r="V329" s="34">
        <f>E:E-[3]各月DI数値!S219</f>
        <v>0</v>
      </c>
      <c r="W329" s="34">
        <f>F:F-[3]各月DI数値!AA219</f>
        <v>0</v>
      </c>
    </row>
    <row r="330" spans="1:23" ht="15" customHeight="1">
      <c r="A330" s="120"/>
      <c r="B330" s="114"/>
      <c r="C330" s="174">
        <v>2</v>
      </c>
      <c r="D330" s="642">
        <f>IF(初期登録!$B$10*12+初期登録!$D$10&lt;$A330,NA(),[3]各月DI数値!$J220)</f>
        <v>57.142857142857146</v>
      </c>
      <c r="E330" s="88">
        <f>IF(初期登録!$B$10*12+初期登録!$D$10&lt;$A330,NA(),[3]各月DI数値!$S220)</f>
        <v>87.5</v>
      </c>
      <c r="F330" s="643">
        <f>IF(初期登録!$B$10*12+初期登録!$D$10&lt;$A330,NA(),[3]各月DI数値!$AA220)</f>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f>D:D-[3]各月DI数値!J220</f>
        <v>0</v>
      </c>
      <c r="V330" s="56">
        <f>E:E-[3]各月DI数値!S220</f>
        <v>0</v>
      </c>
      <c r="W330" s="56">
        <f>F:F-[3]各月DI数値!AA220</f>
        <v>0</v>
      </c>
    </row>
    <row r="331" spans="1:23" ht="15" customHeight="1">
      <c r="A331" s="120"/>
      <c r="B331" s="114"/>
      <c r="C331" s="174">
        <v>3</v>
      </c>
      <c r="D331" s="642">
        <f>IF(初期登録!$B$10*12+初期登録!$D$10&lt;$A331,NA(),[3]各月DI数値!$J221)</f>
        <v>57.142857142857146</v>
      </c>
      <c r="E331" s="88">
        <f>IF(初期登録!$B$10*12+初期登録!$D$10&lt;$A331,NA(),[3]各月DI数値!$S221)</f>
        <v>62.5</v>
      </c>
      <c r="F331" s="643">
        <f>IF(初期登録!$B$10*12+初期登録!$D$10&lt;$A331,NA(),[3]各月DI数値!$AA221)</f>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f>D:D-[3]各月DI数値!J221</f>
        <v>0</v>
      </c>
      <c r="V331" s="56">
        <f>E:E-[3]各月DI数値!S221</f>
        <v>0</v>
      </c>
      <c r="W331" s="56">
        <f>F:F-[3]各月DI数値!AA221</f>
        <v>0</v>
      </c>
    </row>
    <row r="332" spans="1:23" ht="15" customHeight="1">
      <c r="A332" s="120"/>
      <c r="B332" s="114"/>
      <c r="C332" s="174">
        <v>4</v>
      </c>
      <c r="D332" s="642">
        <f>IF(初期登録!$B$10*12+初期登録!$D$10&lt;$A332,NA(),[3]各月DI数値!$J222)</f>
        <v>57.142857142857146</v>
      </c>
      <c r="E332" s="88">
        <f>IF(初期登録!$B$10*12+初期登録!$D$10&lt;$A332,NA(),[3]各月DI数値!$S222)</f>
        <v>87.5</v>
      </c>
      <c r="F332" s="643">
        <f>IF(初期登録!$B$10*12+初期登録!$D$10&lt;$A332,NA(),[3]各月DI数値!$AA222)</f>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f>D:D-[3]各月DI数値!J222</f>
        <v>0</v>
      </c>
      <c r="V332" s="56">
        <f>E:E-[3]各月DI数値!S222</f>
        <v>0</v>
      </c>
      <c r="W332" s="56">
        <f>F:F-[3]各月DI数値!AA222</f>
        <v>0</v>
      </c>
    </row>
    <row r="333" spans="1:23" ht="15" customHeight="1">
      <c r="A333" s="120"/>
      <c r="B333" s="114"/>
      <c r="C333" s="174">
        <v>5</v>
      </c>
      <c r="D333" s="642">
        <f>IF(初期登録!$B$10*12+初期登録!$D$10&lt;$A333,NA(),[3]各月DI数値!$J223)</f>
        <v>85.714285714285708</v>
      </c>
      <c r="E333" s="88">
        <f>IF(初期登録!$B$10*12+初期登録!$D$10&lt;$A333,NA(),[3]各月DI数値!$S223)</f>
        <v>87.5</v>
      </c>
      <c r="F333" s="643">
        <f>IF(初期登録!$B$10*12+初期登録!$D$10&lt;$A333,NA(),[3]各月DI数値!$AA223)</f>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f>D:D-[3]各月DI数値!J223</f>
        <v>0</v>
      </c>
      <c r="V333" s="56">
        <f>E:E-[3]各月DI数値!S223</f>
        <v>0</v>
      </c>
      <c r="W333" s="56">
        <f>F:F-[3]各月DI数値!AA223</f>
        <v>0</v>
      </c>
    </row>
    <row r="334" spans="1:23" ht="15" customHeight="1">
      <c r="A334" s="120"/>
      <c r="B334" s="114"/>
      <c r="C334" s="174">
        <v>6</v>
      </c>
      <c r="D334" s="642">
        <f>IF(初期登録!$B$10*12+初期登録!$D$10&lt;$A334,NA(),[3]各月DI数値!$J224)</f>
        <v>28.571428571428573</v>
      </c>
      <c r="E334" s="88">
        <f>IF(初期登録!$B$10*12+初期登録!$D$10&lt;$A334,NA(),[3]各月DI数値!$S224)</f>
        <v>75</v>
      </c>
      <c r="F334" s="643">
        <f>IF(初期登録!$B$10*12+初期登録!$D$10&lt;$A334,NA(),[3]各月DI数値!$AA224)</f>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f>D:D-[3]各月DI数値!J224</f>
        <v>0</v>
      </c>
      <c r="V334" s="56">
        <f>E:E-[3]各月DI数値!S224</f>
        <v>0</v>
      </c>
      <c r="W334" s="56">
        <f>F:F-[3]各月DI数値!AA224</f>
        <v>0</v>
      </c>
    </row>
    <row r="335" spans="1:23" ht="15" customHeight="1">
      <c r="A335" s="120"/>
      <c r="B335" s="114"/>
      <c r="C335" s="174">
        <v>7</v>
      </c>
      <c r="D335" s="642">
        <f>IF(初期登録!$B$10*12+初期登録!$D$10&lt;$A335,NA(),[3]各月DI数値!$J225)</f>
        <v>85.714285714285708</v>
      </c>
      <c r="E335" s="88">
        <f>IF(初期登録!$B$10*12+初期登録!$D$10&lt;$A335,NA(),[3]各月DI数値!$S225)</f>
        <v>87.5</v>
      </c>
      <c r="F335" s="643">
        <f>IF(初期登録!$B$10*12+初期登録!$D$10&lt;$A335,NA(),[3]各月DI数値!$AA225)</f>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f>D:D-[3]各月DI数値!J225</f>
        <v>0</v>
      </c>
      <c r="V335" s="56">
        <f>E:E-[3]各月DI数値!S225</f>
        <v>0</v>
      </c>
      <c r="W335" s="56">
        <f>F:F-[3]各月DI数値!AA225</f>
        <v>0</v>
      </c>
    </row>
    <row r="336" spans="1:23" ht="15" customHeight="1">
      <c r="A336" s="120"/>
      <c r="B336" s="114"/>
      <c r="C336" s="174">
        <v>8</v>
      </c>
      <c r="D336" s="642">
        <f>IF(初期登録!$B$10*12+初期登録!$D$10&lt;$A336,NA(),[3]各月DI数値!$J226)</f>
        <v>57.142857142857146</v>
      </c>
      <c r="E336" s="88">
        <f>IF(初期登録!$B$10*12+初期登録!$D$10&lt;$A336,NA(),[3]各月DI数値!$S226)</f>
        <v>87.5</v>
      </c>
      <c r="F336" s="643">
        <f>IF(初期登録!$B$10*12+初期登録!$D$10&lt;$A336,NA(),[3]各月DI数値!$AA226)</f>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f>D:D-[3]各月DI数値!J226</f>
        <v>0</v>
      </c>
      <c r="V336" s="56">
        <f>E:E-[3]各月DI数値!S226</f>
        <v>0</v>
      </c>
      <c r="W336" s="56">
        <f>F:F-[3]各月DI数値!AA226</f>
        <v>0</v>
      </c>
    </row>
    <row r="337" spans="1:23" ht="15" customHeight="1">
      <c r="A337" s="120"/>
      <c r="B337" s="114"/>
      <c r="C337" s="174">
        <v>9</v>
      </c>
      <c r="D337" s="642">
        <f>IF(初期登録!$B$10*12+初期登録!$D$10&lt;$A337,NA(),[3]各月DI数値!$J227)</f>
        <v>57.142857142857146</v>
      </c>
      <c r="E337" s="88">
        <f>IF(初期登録!$B$10*12+初期登録!$D$10&lt;$A337,NA(),[3]各月DI数値!$S227)</f>
        <v>50</v>
      </c>
      <c r="F337" s="643">
        <f>IF(初期登録!$B$10*12+初期登録!$D$10&lt;$A337,NA(),[3]各月DI数値!$AA227)</f>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f>D:D-[3]各月DI数値!J227</f>
        <v>0</v>
      </c>
      <c r="V337" s="56">
        <f>E:E-[3]各月DI数値!S227</f>
        <v>0</v>
      </c>
      <c r="W337" s="56">
        <f>F:F-[3]各月DI数値!AA227</f>
        <v>0</v>
      </c>
    </row>
    <row r="338" spans="1:23" ht="15" customHeight="1">
      <c r="A338" s="120"/>
      <c r="B338" s="114"/>
      <c r="C338" s="174">
        <v>10</v>
      </c>
      <c r="D338" s="642">
        <f>IF(初期登録!$B$10*12+初期登録!$D$10&lt;$A338,NA(),[3]各月DI数値!$J228)</f>
        <v>64.285714285714292</v>
      </c>
      <c r="E338" s="88">
        <f>IF(初期登録!$B$10*12+初期登録!$D$10&lt;$A338,NA(),[3]各月DI数値!$S228)</f>
        <v>87.5</v>
      </c>
      <c r="F338" s="643">
        <f>IF(初期登録!$B$10*12+初期登録!$D$10&lt;$A338,NA(),[3]各月DI数値!$AA228)</f>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f>D:D-[3]各月DI数値!J228</f>
        <v>0</v>
      </c>
      <c r="V338" s="56">
        <f>E:E-[3]各月DI数値!S228</f>
        <v>0</v>
      </c>
      <c r="W338" s="56">
        <f>F:F-[3]各月DI数値!AA228</f>
        <v>0</v>
      </c>
    </row>
    <row r="339" spans="1:23" ht="15" customHeight="1">
      <c r="A339" s="120"/>
      <c r="B339" s="114"/>
      <c r="C339" s="174">
        <v>11</v>
      </c>
      <c r="D339" s="642">
        <f>IF(初期登録!$B$10*12+初期登録!$D$10&lt;$A339,NA(),[3]各月DI数値!$J229)</f>
        <v>71.428571428571431</v>
      </c>
      <c r="E339" s="88">
        <f>IF(初期登録!$B$10*12+初期登録!$D$10&lt;$A339,NA(),[3]各月DI数値!$S229)</f>
        <v>100</v>
      </c>
      <c r="F339" s="643">
        <f>IF(初期登録!$B$10*12+初期登録!$D$10&lt;$A339,NA(),[3]各月DI数値!$AA229)</f>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f>D:D-[3]各月DI数値!J229</f>
        <v>0</v>
      </c>
      <c r="V339" s="56">
        <f>E:E-[3]各月DI数値!S229</f>
        <v>0</v>
      </c>
      <c r="W339" s="56">
        <f>F:F-[3]各月DI数値!AA229</f>
        <v>0</v>
      </c>
    </row>
    <row r="340" spans="1:23" ht="15" customHeight="1">
      <c r="A340" s="120"/>
      <c r="B340" s="116"/>
      <c r="C340" s="177">
        <v>12</v>
      </c>
      <c r="D340" s="642">
        <f>IF(初期登録!$B$10*12+初期登録!$D$10&lt;$A340,NA(),[3]各月DI数値!$J230)</f>
        <v>57.142857142857146</v>
      </c>
      <c r="E340" s="88">
        <f>IF(初期登録!$B$10*12+初期登録!$D$10&lt;$A340,NA(),[3]各月DI数値!$S230)</f>
        <v>87.5</v>
      </c>
      <c r="F340" s="643">
        <f>IF(初期登録!$B$10*12+初期登録!$D$10&lt;$A340,NA(),[3]各月DI数値!$AA230)</f>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f>D:D-[3]各月DI数値!J230</f>
        <v>0</v>
      </c>
      <c r="V340" s="65">
        <f>E:E-[3]各月DI数値!S230</f>
        <v>0</v>
      </c>
      <c r="W340" s="65">
        <f>F:F-[3]各月DI数値!AA230</f>
        <v>0</v>
      </c>
    </row>
    <row r="341" spans="1:23" ht="15" customHeight="1">
      <c r="A341" s="125"/>
      <c r="B341" s="995" t="s">
        <v>730</v>
      </c>
      <c r="C341" s="173">
        <v>1</v>
      </c>
      <c r="D341" s="642">
        <f>IF(初期登録!$B$10*12+初期登録!$D$10&lt;$A341,NA(),[3]各月DI数値!$J231)</f>
        <v>57.142857142857146</v>
      </c>
      <c r="E341" s="88">
        <f>IF(初期登録!$B$10*12+初期登録!$D$10&lt;$A341,NA(),[3]各月DI数値!$S231)</f>
        <v>100</v>
      </c>
      <c r="F341" s="643">
        <f>IF(初期登録!$B$10*12+初期登録!$D$10&lt;$A341,NA(),[3]各月DI数値!$AA231)</f>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c r="U341" s="34">
        <f>D:D-[3]各月DI数値!J231</f>
        <v>0</v>
      </c>
      <c r="V341" s="34">
        <f>E:E-[3]各月DI数値!S231</f>
        <v>0</v>
      </c>
      <c r="W341" s="34">
        <f>F:F-[3]各月DI数値!AA231</f>
        <v>0</v>
      </c>
    </row>
    <row r="342" spans="1:23" ht="15" customHeight="1">
      <c r="A342" s="120"/>
      <c r="B342" s="114"/>
      <c r="C342" s="174">
        <v>2</v>
      </c>
      <c r="D342" s="642">
        <f>IF(初期登録!$B$10*12+初期登録!$D$10&lt;$A342,NA(),[3]各月DI数値!$J232)</f>
        <v>42.857142857142854</v>
      </c>
      <c r="E342" s="88">
        <f>IF(初期登録!$B$10*12+初期登録!$D$10&lt;$A342,NA(),[3]各月DI数値!$S232)</f>
        <v>93.75</v>
      </c>
      <c r="F342" s="643">
        <f>IF(初期登録!$B$10*12+初期登録!$D$10&lt;$A342,NA(),[3]各月DI数値!$AA232)</f>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f>D:D-[3]各月DI数値!J232</f>
        <v>0</v>
      </c>
      <c r="V342" s="56">
        <f>E:E-[3]各月DI数値!S232</f>
        <v>0</v>
      </c>
      <c r="W342" s="56">
        <f>F:F-[3]各月DI数値!AA232</f>
        <v>0</v>
      </c>
    </row>
    <row r="343" spans="1:23" ht="15" customHeight="1">
      <c r="A343" s="120"/>
      <c r="B343" s="114"/>
      <c r="C343" s="174">
        <v>3</v>
      </c>
      <c r="D343" s="642">
        <f>IF(初期登録!$B$10*12+初期登録!$D$10&lt;$A343,NA(),[3]各月DI数値!$J233)</f>
        <v>14.285714285714286</v>
      </c>
      <c r="E343" s="88">
        <f>IF(初期登録!$B$10*12+初期登録!$D$10&lt;$A343,NA(),[3]各月DI数値!$S233)</f>
        <v>75</v>
      </c>
      <c r="F343" s="643">
        <f>IF(初期登録!$B$10*12+初期登録!$D$10&lt;$A343,NA(),[3]各月DI数値!$AA233)</f>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f>D:D-[3]各月DI数値!J233</f>
        <v>0</v>
      </c>
      <c r="V343" s="56">
        <f>E:E-[3]各月DI数値!S233</f>
        <v>0</v>
      </c>
      <c r="W343" s="56">
        <f>F:F-[3]各月DI数値!AA233</f>
        <v>0</v>
      </c>
    </row>
    <row r="344" spans="1:23" ht="15" customHeight="1">
      <c r="A344" s="120"/>
      <c r="B344" s="114"/>
      <c r="C344" s="174">
        <v>4</v>
      </c>
      <c r="D344" s="642">
        <f>IF(初期登録!$B$10*12+初期登録!$D$10&lt;$A344,NA(),[3]各月DI数値!$J234)</f>
        <v>14.285714285714286</v>
      </c>
      <c r="E344" s="88">
        <f>IF(初期登録!$B$10*12+初期登録!$D$10&lt;$A344,NA(),[3]各月DI数値!$S234)</f>
        <v>75</v>
      </c>
      <c r="F344" s="643">
        <f>IF(初期登録!$B$10*12+初期登録!$D$10&lt;$A344,NA(),[3]各月DI数値!$AA234)</f>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f>D:D-[3]各月DI数値!J234</f>
        <v>0</v>
      </c>
      <c r="V344" s="56">
        <f>E:E-[3]各月DI数値!S234</f>
        <v>0</v>
      </c>
      <c r="W344" s="56">
        <f>F:F-[3]各月DI数値!AA234</f>
        <v>0</v>
      </c>
    </row>
    <row r="345" spans="1:23" ht="15" customHeight="1">
      <c r="A345" s="120"/>
      <c r="B345" s="114"/>
      <c r="C345" s="174">
        <v>5</v>
      </c>
      <c r="D345" s="642">
        <f>IF(初期登録!$B$10*12+初期登録!$D$10&lt;$A345,NA(),[3]各月DI数値!$J235)</f>
        <v>42.857142857142854</v>
      </c>
      <c r="E345" s="88">
        <f>IF(初期登録!$B$10*12+初期登録!$D$10&lt;$A345,NA(),[3]各月DI数値!$S235)</f>
        <v>75</v>
      </c>
      <c r="F345" s="643">
        <f>IF(初期登録!$B$10*12+初期登録!$D$10&lt;$A345,NA(),[3]各月DI数値!$AA235)</f>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f>D:D-[3]各月DI数値!J235</f>
        <v>0</v>
      </c>
      <c r="V345" s="56">
        <f>E:E-[3]各月DI数値!S235</f>
        <v>0</v>
      </c>
      <c r="W345" s="56">
        <f>F:F-[3]各月DI数値!AA235</f>
        <v>0</v>
      </c>
    </row>
    <row r="346" spans="1:23" ht="15" customHeight="1">
      <c r="A346" s="120"/>
      <c r="B346" s="114"/>
      <c r="C346" s="174">
        <v>6</v>
      </c>
      <c r="D346" s="642">
        <f>IF(初期登録!$B$10*12+初期登録!$D$10&lt;$A346,NA(),[3]各月DI数値!$J236)</f>
        <v>71.428571428571431</v>
      </c>
      <c r="E346" s="88">
        <f>IF(初期登録!$B$10*12+初期登録!$D$10&lt;$A346,NA(),[3]各月DI数値!$S236)</f>
        <v>75</v>
      </c>
      <c r="F346" s="643">
        <f>IF(初期登録!$B$10*12+初期登録!$D$10&lt;$A346,NA(),[3]各月DI数値!$AA236)</f>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f>D:D-[3]各月DI数値!J236</f>
        <v>0</v>
      </c>
      <c r="V346" s="56">
        <f>E:E-[3]各月DI数値!S236</f>
        <v>0</v>
      </c>
      <c r="W346" s="56">
        <f>F:F-[3]各月DI数値!AA236</f>
        <v>0</v>
      </c>
    </row>
    <row r="347" spans="1:23" ht="15" customHeight="1">
      <c r="A347" s="120"/>
      <c r="B347" s="114"/>
      <c r="C347" s="174">
        <v>7</v>
      </c>
      <c r="D347" s="642">
        <f>IF(初期登録!$B$10*12+初期登録!$D$10&lt;$A347,NA(),[3]各月DI数値!$J237)</f>
        <v>14.285714285714286</v>
      </c>
      <c r="E347" s="88">
        <f>IF(初期登録!$B$10*12+初期登録!$D$10&lt;$A347,NA(),[3]各月DI数値!$S237)</f>
        <v>50</v>
      </c>
      <c r="F347" s="643">
        <f>IF(初期登録!$B$10*12+初期登録!$D$10&lt;$A347,NA(),[3]各月DI数値!$AA237)</f>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f>D:D-[3]各月DI数値!J237</f>
        <v>0</v>
      </c>
      <c r="V347" s="56">
        <f>E:E-[3]各月DI数値!S237</f>
        <v>0</v>
      </c>
      <c r="W347" s="56">
        <f>F:F-[3]各月DI数値!AA237</f>
        <v>0</v>
      </c>
    </row>
    <row r="348" spans="1:23" ht="15" customHeight="1">
      <c r="A348" s="120"/>
      <c r="B348" s="114"/>
      <c r="C348" s="174">
        <v>8</v>
      </c>
      <c r="D348" s="642">
        <f>IF(初期登録!$B$10*12+初期登録!$D$10&lt;$A348,NA(),[3]各月DI数値!$J238)</f>
        <v>35.714285714285715</v>
      </c>
      <c r="E348" s="88">
        <f>IF(初期登録!$B$10*12+初期登録!$D$10&lt;$A348,NA(),[3]各月DI数値!$S238)</f>
        <v>62.5</v>
      </c>
      <c r="F348" s="643">
        <f>IF(初期登録!$B$10*12+初期登録!$D$10&lt;$A348,NA(),[3]各月DI数値!$AA238)</f>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f>D:D-[3]各月DI数値!J238</f>
        <v>0</v>
      </c>
      <c r="V348" s="56">
        <f>E:E-[3]各月DI数値!S238</f>
        <v>0</v>
      </c>
      <c r="W348" s="56">
        <f>F:F-[3]各月DI数値!AA238</f>
        <v>0</v>
      </c>
    </row>
    <row r="349" spans="1:23" ht="15" customHeight="1">
      <c r="A349" s="120"/>
      <c r="B349" s="114"/>
      <c r="C349" s="174">
        <v>9</v>
      </c>
      <c r="D349" s="642">
        <f>IF(初期登録!$B$10*12+初期登録!$D$10&lt;$A349,NA(),[3]各月DI数値!$J239)</f>
        <v>14.285714285714286</v>
      </c>
      <c r="E349" s="88">
        <f>IF(初期登録!$B$10*12+初期登録!$D$10&lt;$A349,NA(),[3]各月DI数値!$S239)</f>
        <v>62.5</v>
      </c>
      <c r="F349" s="643">
        <f>IF(初期登録!$B$10*12+初期登録!$D$10&lt;$A349,NA(),[3]各月DI数値!$AA239)</f>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f>D:D-[3]各月DI数値!J239</f>
        <v>0</v>
      </c>
      <c r="V349" s="56">
        <f>E:E-[3]各月DI数値!S239</f>
        <v>0</v>
      </c>
      <c r="W349" s="56">
        <f>F:F-[3]各月DI数値!AA239</f>
        <v>0</v>
      </c>
    </row>
    <row r="350" spans="1:23" ht="15" customHeight="1">
      <c r="A350" s="120"/>
      <c r="B350" s="114"/>
      <c r="C350" s="174">
        <v>10</v>
      </c>
      <c r="D350" s="642">
        <f>IF(初期登録!$B$10*12+初期登録!$D$10&lt;$A350,NA(),[3]各月DI数値!$J240)</f>
        <v>42.857142857142854</v>
      </c>
      <c r="E350" s="88">
        <f>IF(初期登録!$B$10*12+初期登録!$D$10&lt;$A350,NA(),[3]各月DI数値!$S240)</f>
        <v>62.5</v>
      </c>
      <c r="F350" s="643">
        <f>IF(初期登録!$B$10*12+初期登録!$D$10&lt;$A350,NA(),[3]各月DI数値!$AA240)</f>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f>D:D-[3]各月DI数値!J240</f>
        <v>0</v>
      </c>
      <c r="V350" s="56">
        <f>E:E-[3]各月DI数値!S240</f>
        <v>0</v>
      </c>
      <c r="W350" s="56">
        <f>F:F-[3]各月DI数値!AA240</f>
        <v>0</v>
      </c>
    </row>
    <row r="351" spans="1:23" ht="15" customHeight="1">
      <c r="A351" s="120"/>
      <c r="B351" s="114"/>
      <c r="C351" s="174">
        <v>11</v>
      </c>
      <c r="D351" s="642">
        <f>IF(初期登録!$B$10*12+初期登録!$D$10&lt;$A351,NA(),[3]各月DI数値!$J241)</f>
        <v>28.571428571428573</v>
      </c>
      <c r="E351" s="88">
        <f>IF(初期登録!$B$10*12+初期登録!$D$10&lt;$A351,NA(),[3]各月DI数値!$S241)</f>
        <v>50</v>
      </c>
      <c r="F351" s="643">
        <f>IF(初期登録!$B$10*12+初期登録!$D$10&lt;$A351,NA(),[3]各月DI数値!$AA241)</f>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f>D:D-[3]各月DI数値!J241</f>
        <v>0</v>
      </c>
      <c r="V351" s="56">
        <f>E:E-[3]各月DI数値!S241</f>
        <v>0</v>
      </c>
      <c r="W351" s="56">
        <f>F:F-[3]各月DI数値!AA241</f>
        <v>0</v>
      </c>
    </row>
    <row r="352" spans="1:23" ht="15" customHeight="1">
      <c r="A352" s="132"/>
      <c r="B352" s="115"/>
      <c r="C352" s="175">
        <v>12</v>
      </c>
      <c r="D352" s="642">
        <f>IF(初期登録!$B$10*12+初期登録!$D$10&lt;$A352,NA(),[3]各月DI数値!$J242)</f>
        <v>71.428571428571431</v>
      </c>
      <c r="E352" s="88">
        <f>IF(初期登録!$B$10*12+初期登録!$D$10&lt;$A352,NA(),[3]各月DI数値!$S242)</f>
        <v>50</v>
      </c>
      <c r="F352" s="643">
        <f>IF(初期登録!$B$10*12+初期登録!$D$10&lt;$A352,NA(),[3]各月DI数値!$AA242)</f>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f>D:D-[3]各月DI数値!J242</f>
        <v>0</v>
      </c>
      <c r="V352" s="65">
        <f>E:E-[3]各月DI数値!S242</f>
        <v>0</v>
      </c>
      <c r="W352" s="65">
        <f>F:F-[3]各月DI数値!AA242</f>
        <v>0</v>
      </c>
    </row>
    <row r="353" spans="1:23" ht="15" customHeight="1">
      <c r="A353" s="120"/>
      <c r="B353" s="994" t="s">
        <v>731</v>
      </c>
      <c r="C353" s="176">
        <f>IF(初期登録!$B$10*12+初期登録!$D$10&lt;$A353,"",1)</f>
        <v>1</v>
      </c>
      <c r="D353" s="642">
        <f>IF(初期登録!$B$10*12+初期登録!$D$10&lt;$A353,NA(),[3]各月DI数値!$J243)</f>
        <v>21.428571428571427</v>
      </c>
      <c r="E353" s="88">
        <f>IF(初期登録!$B$10*12+初期登録!$D$10&lt;$A353,NA(),[3]各月DI数値!$S243)</f>
        <v>37.5</v>
      </c>
      <c r="F353" s="643">
        <f>IF(初期登録!$B$10*12+初期登録!$D$10&lt;$A353,NA(),[3]各月DI数値!$AA243)</f>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c r="U353" s="34">
        <f>D:D-[3]各月DI数値!J243</f>
        <v>0</v>
      </c>
      <c r="V353" s="34">
        <f>E:E-[3]各月DI数値!S243</f>
        <v>0</v>
      </c>
      <c r="W353" s="34">
        <f>F:F-[3]各月DI数値!AA243</f>
        <v>0</v>
      </c>
    </row>
    <row r="354" spans="1:23" ht="15" customHeight="1">
      <c r="A354" s="120"/>
      <c r="B354" s="114"/>
      <c r="C354" s="174">
        <f>IF(初期登録!$B$10*12+初期登録!$D$10&lt;$A354,"",2)</f>
        <v>2</v>
      </c>
      <c r="D354" s="642">
        <f>IF(初期登録!$B$10*12+初期登録!$D$10&lt;$A354,NA(),[3]各月DI数値!$J244)</f>
        <v>42.857142857142854</v>
      </c>
      <c r="E354" s="88">
        <f>IF(初期登録!$B$10*12+初期登録!$D$10&lt;$A354,NA(),[3]各月DI数値!$S244)</f>
        <v>37.5</v>
      </c>
      <c r="F354" s="643">
        <f>IF(初期登録!$B$10*12+初期登録!$D$10&lt;$A354,NA(),[3]各月DI数値!$AA244)</f>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f>D:D-[3]各月DI数値!J244</f>
        <v>0</v>
      </c>
      <c r="V354" s="56">
        <f>E:E-[3]各月DI数値!S244</f>
        <v>0</v>
      </c>
      <c r="W354" s="56">
        <f>F:F-[3]各月DI数値!AA244</f>
        <v>0</v>
      </c>
    </row>
    <row r="355" spans="1:23" ht="15" customHeight="1">
      <c r="A355" s="120"/>
      <c r="B355" s="114"/>
      <c r="C355" s="174">
        <f>IF(初期登録!$B$10*12+初期登録!$D$10&lt;$A355,"",3)</f>
        <v>3</v>
      </c>
      <c r="D355" s="642">
        <f>IF(初期登録!$B$10*12+初期登録!$D$10&lt;$A355,NA(),[3]各月DI数値!$J245)</f>
        <v>42.857142857142854</v>
      </c>
      <c r="E355" s="88">
        <f>IF(初期登録!$B$10*12+初期登録!$D$10&lt;$A355,NA(),[3]各月DI数値!$S245)</f>
        <v>25</v>
      </c>
      <c r="F355" s="643">
        <f>IF(初期登録!$B$10*12+初期登録!$D$10&lt;$A355,NA(),[3]各月DI数値!$AA245)</f>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f>D:D-[3]各月DI数値!J245</f>
        <v>0</v>
      </c>
      <c r="V355" s="56">
        <f>E:E-[3]各月DI数値!S245</f>
        <v>0</v>
      </c>
      <c r="W355" s="56">
        <f>F:F-[3]各月DI数値!AA245</f>
        <v>0</v>
      </c>
    </row>
    <row r="356" spans="1:23" ht="15" customHeight="1">
      <c r="A356" s="120"/>
      <c r="B356" s="114"/>
      <c r="C356" s="174">
        <f>IF(初期登録!$B$10*12+初期登録!$D$10&lt;$A356,"",4)</f>
        <v>4</v>
      </c>
      <c r="D356" s="642">
        <f>IF(初期登録!$B$10*12+初期登録!$D$10&lt;$A356,NA(),[3]各月DI数値!$J246)</f>
        <v>42.857142857142854</v>
      </c>
      <c r="E356" s="88">
        <f>IF(初期登録!$B$10*12+初期登録!$D$10&lt;$A356,NA(),[3]各月DI数値!$S246)</f>
        <v>37.5</v>
      </c>
      <c r="F356" s="643">
        <f>IF(初期登録!$B$10*12+初期登録!$D$10&lt;$A356,NA(),[3]各月DI数値!$AA246)</f>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c r="U356" s="34">
        <f>D:D-[3]各月DI数値!J246</f>
        <v>0</v>
      </c>
      <c r="V356" s="34">
        <f>E:E-[3]各月DI数値!S246</f>
        <v>0</v>
      </c>
      <c r="W356" s="34">
        <f>F:F-[3]各月DI数値!AA246</f>
        <v>0</v>
      </c>
    </row>
    <row r="357" spans="1:23" ht="15" customHeight="1">
      <c r="A357" s="120"/>
      <c r="B357" s="114"/>
      <c r="C357" s="174">
        <f>IF(初期登録!$B$10*12+初期登録!$D$10&lt;$A357,"",5)</f>
        <v>5</v>
      </c>
      <c r="D357" s="642">
        <f>IF(初期登録!$B$10*12+初期登録!$D$10&lt;$A357,NA(),[3]各月DI数値!$J247)</f>
        <v>14.285714285714286</v>
      </c>
      <c r="E357" s="88">
        <f>IF(初期登録!$B$10*12+初期登録!$D$10&lt;$A357,NA(),[3]各月DI数値!$S247)</f>
        <v>18.75</v>
      </c>
      <c r="F357" s="643">
        <f>IF(初期登録!$B$10*12+初期登録!$D$10&lt;$A357,NA(),[3]各月DI数値!$AA247)</f>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c r="U357" s="34">
        <f>D:D-[3]各月DI数値!J247</f>
        <v>0</v>
      </c>
      <c r="V357" s="34">
        <f>E:E-[3]各月DI数値!S247</f>
        <v>0</v>
      </c>
      <c r="W357" s="34">
        <f>F:F-[3]各月DI数値!AA247</f>
        <v>0</v>
      </c>
    </row>
    <row r="358" spans="1:23" ht="15" customHeight="1">
      <c r="A358" s="120"/>
      <c r="B358" s="114"/>
      <c r="C358" s="174">
        <f>IF(初期登録!$B$10*12+初期登録!$D$10&lt;$A358,"",6)</f>
        <v>6</v>
      </c>
      <c r="D358" s="642">
        <f>IF(初期登録!$B$10*12+初期登録!$D$10&lt;$A358,NA(),[3]各月DI数値!$J248)</f>
        <v>42.857142857142854</v>
      </c>
      <c r="E358" s="88">
        <f>IF(初期登録!$B$10*12+初期登録!$D$10&lt;$A358,NA(),[3]各月DI数値!$S248)</f>
        <v>25</v>
      </c>
      <c r="F358" s="643">
        <f>IF(初期登録!$B$10*12+初期登録!$D$10&lt;$A358,NA(),[3]各月DI数値!$AA248)</f>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c r="U358" s="34">
        <f>D:D-[3]各月DI数値!J248</f>
        <v>0</v>
      </c>
      <c r="V358" s="34">
        <f>E:E-[3]各月DI数値!S248</f>
        <v>0</v>
      </c>
      <c r="W358" s="34">
        <f>F:F-[3]各月DI数値!AA248</f>
        <v>0</v>
      </c>
    </row>
    <row r="359" spans="1:23" ht="15" customHeight="1">
      <c r="A359" s="120"/>
      <c r="B359" s="114"/>
      <c r="C359" s="174">
        <f>IF(初期登録!$B$10*12+初期登録!$D$10&lt;$A359,"",7)</f>
        <v>7</v>
      </c>
      <c r="D359" s="642">
        <f>IF(初期登録!$B$10*12+初期登録!$D$10&lt;$A359,NA(),[3]各月DI数値!$J249)</f>
        <v>28.571428571428573</v>
      </c>
      <c r="E359" s="88">
        <f>IF(初期登録!$B$10*12+初期登録!$D$10&lt;$A359,NA(),[3]各月DI数値!$S249)</f>
        <v>12.5</v>
      </c>
      <c r="F359" s="643">
        <f>IF(初期登録!$B$10*12+初期登録!$D$10&lt;$A359,NA(),[3]各月DI数値!$AA249)</f>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c r="U359" s="34">
        <f>D:D-[3]各月DI数値!J249</f>
        <v>0</v>
      </c>
      <c r="V359" s="34">
        <f>E:E-[3]各月DI数値!S249</f>
        <v>0</v>
      </c>
      <c r="W359" s="34">
        <f>F:F-[3]各月DI数値!AA249</f>
        <v>0</v>
      </c>
    </row>
    <row r="360" spans="1:23" ht="15" customHeight="1">
      <c r="A360" s="120"/>
      <c r="B360" s="114"/>
      <c r="C360" s="174">
        <f>IF(初期登録!$B$10*12+初期登録!$D$10&lt;$A360,"",8)</f>
        <v>8</v>
      </c>
      <c r="D360" s="642">
        <f>IF(初期登録!$B$10*12+初期登録!$D$10&lt;$A360,NA(),[3]各月DI数値!$J250)</f>
        <v>28.571428571428573</v>
      </c>
      <c r="E360" s="88">
        <f>IF(初期登録!$B$10*12+初期登録!$D$10&lt;$A360,NA(),[3]各月DI数値!$S250)</f>
        <v>0</v>
      </c>
      <c r="F360" s="643">
        <f>IF(初期登録!$B$10*12+初期登録!$D$10&lt;$A360,NA(),[3]各月DI数値!$AA250)</f>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c r="U360" s="34">
        <f>D:D-[3]各月DI数値!J250</f>
        <v>0</v>
      </c>
      <c r="V360" s="34">
        <f>E:E-[3]各月DI数値!S250</f>
        <v>0</v>
      </c>
      <c r="W360" s="34">
        <f>F:F-[3]各月DI数値!AA250</f>
        <v>0</v>
      </c>
    </row>
    <row r="361" spans="1:23" ht="15" customHeight="1">
      <c r="A361" s="120"/>
      <c r="B361" s="114"/>
      <c r="C361" s="174">
        <f>IF(初期登録!$B$10*12+初期登録!$D$10&lt;$A361,"",9)</f>
        <v>9</v>
      </c>
      <c r="D361" s="642">
        <f>IF(初期登録!$B$10*12+初期登録!$D$10&lt;$A361,NA(),[3]各月DI数値!$J251)</f>
        <v>28.571428571428573</v>
      </c>
      <c r="E361" s="88">
        <f>IF(初期登録!$B$10*12+初期登録!$D$10&lt;$A361,NA(),[3]各月DI数値!$S251)</f>
        <v>12.5</v>
      </c>
      <c r="F361" s="643">
        <f>IF(初期登録!$B$10*12+初期登録!$D$10&lt;$A361,NA(),[3]各月DI数値!$AA251)</f>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c r="U361" s="34">
        <f>D:D-[3]各月DI数値!J251</f>
        <v>0</v>
      </c>
      <c r="V361" s="34">
        <f>E:E-[3]各月DI数値!S251</f>
        <v>0</v>
      </c>
      <c r="W361" s="34">
        <f>F:F-[3]各月DI数値!AA251</f>
        <v>0</v>
      </c>
    </row>
    <row r="362" spans="1:23" ht="15" customHeight="1">
      <c r="A362" s="120"/>
      <c r="B362" s="114"/>
      <c r="C362" s="174">
        <f>IF(初期登録!$B$10*12+初期登録!$D$10&lt;$A362,"",10)</f>
        <v>10</v>
      </c>
      <c r="D362" s="642">
        <f>IF(初期登録!$B$10*12+初期登録!$D$10&lt;$A362,NA(),[3]各月DI数値!$J252)</f>
        <v>28.571428571428573</v>
      </c>
      <c r="E362" s="88">
        <f>IF(初期登録!$B$10*12+初期登録!$D$10&lt;$A362,NA(),[3]各月DI数値!$S252)</f>
        <v>25</v>
      </c>
      <c r="F362" s="643">
        <f>IF(初期登録!$B$10*12+初期登録!$D$10&lt;$A362,NA(),[3]各月DI数値!$AA252)</f>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c r="U362" s="34">
        <f>D:D-[3]各月DI数値!J252</f>
        <v>0</v>
      </c>
      <c r="V362" s="34">
        <f>E:E-[3]各月DI数値!S252</f>
        <v>0</v>
      </c>
      <c r="W362" s="34">
        <f>F:F-[3]各月DI数値!AA252</f>
        <v>0</v>
      </c>
    </row>
    <row r="363" spans="1:23" ht="15" customHeight="1">
      <c r="A363" s="120"/>
      <c r="B363" s="114"/>
      <c r="C363" s="174">
        <f>IF(初期登録!$B$10*12+初期登録!$D$10&lt;$A363,"",11)</f>
        <v>11</v>
      </c>
      <c r="D363" s="642">
        <f>IF(初期登録!$B$10*12+初期登録!$D$10&lt;$A363,NA(),[3]各月DI数値!$J253)</f>
        <v>28.571428571428573</v>
      </c>
      <c r="E363" s="88">
        <f>IF(初期登録!$B$10*12+初期登録!$D$10&lt;$A363,NA(),[3]各月DI数値!$S253)</f>
        <v>12.5</v>
      </c>
      <c r="F363" s="643">
        <f>IF(初期登録!$B$10*12+初期登録!$D$10&lt;$A363,NA(),[3]各月DI数値!$AA253)</f>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c r="U363" s="34">
        <f>D:D-[3]各月DI数値!J253</f>
        <v>0</v>
      </c>
      <c r="V363" s="34">
        <f>E:E-[3]各月DI数値!S253</f>
        <v>0</v>
      </c>
      <c r="W363" s="34">
        <f>F:F-[3]各月DI数値!AA253</f>
        <v>0</v>
      </c>
    </row>
    <row r="364" spans="1:23" ht="15" customHeight="1">
      <c r="A364" s="120"/>
      <c r="B364" s="116"/>
      <c r="C364" s="177">
        <f>IF(初期登録!$B$10*12+初期登録!$D$10&lt;$A364,"",12)</f>
        <v>12</v>
      </c>
      <c r="D364" s="1037">
        <f>IF(初期登録!$B$10*12+初期登録!$D$10&lt;$A364,NA(),[3]各月DI数値!$J254)</f>
        <v>14.285714285714286</v>
      </c>
      <c r="E364" s="1038">
        <f>IF(初期登録!$B$10*12+初期登録!$D$10&lt;$A364,NA(),[3]各月DI数値!$S254)</f>
        <v>0</v>
      </c>
      <c r="F364" s="1039">
        <f>IF(初期登録!$B$10*12+初期登録!$D$10&lt;$A364,NA(),[3]各月DI数値!$AA254)</f>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c r="U364" s="34">
        <f>D:D-[3]各月DI数値!J254</f>
        <v>0</v>
      </c>
      <c r="V364" s="34">
        <f>E:E-[3]各月DI数値!S254</f>
        <v>0</v>
      </c>
      <c r="W364" s="34">
        <f>F:F-[3]各月DI数値!AA254</f>
        <v>0</v>
      </c>
    </row>
    <row r="365" spans="1:23" ht="15" customHeight="1">
      <c r="A365" s="125"/>
      <c r="B365" s="996" t="s">
        <v>732</v>
      </c>
      <c r="C365" s="178">
        <f>IF(初期登録!$B$10*12+初期登録!$D$10&lt;$A365,"",1)</f>
        <v>1</v>
      </c>
      <c r="D365" s="1041">
        <f>IF(初期登録!$B$10*12+初期登録!$D$10&lt;$A365,NA(),[3]各月DI数値!$J255)</f>
        <v>28.571428571428573</v>
      </c>
      <c r="E365" s="1042">
        <f>IF(初期登録!$B$10*12+初期登録!$D$10&lt;$A365,NA(),[3]各月DI数値!$S255)</f>
        <v>0</v>
      </c>
      <c r="F365" s="1043">
        <f>IF(初期登録!$B$10*12+初期登録!$D$10&lt;$A365,NA(),[3]各月DI数値!$AA255)</f>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c r="U365" s="34">
        <f>D:D-[3]各月DI数値!J255</f>
        <v>0</v>
      </c>
      <c r="V365" s="34">
        <f>E:E-[3]各月DI数値!S255</f>
        <v>0</v>
      </c>
      <c r="W365" s="34">
        <f>F:F-[3]各月DI数値!AA255</f>
        <v>0</v>
      </c>
    </row>
    <row r="366" spans="1:23" ht="15" customHeight="1">
      <c r="A366" s="120"/>
      <c r="B366" s="114"/>
      <c r="C366" s="174">
        <f>IF(初期登録!$B$10*12+初期登録!$D$10&lt;$A366,"",2)</f>
        <v>2</v>
      </c>
      <c r="D366" s="642">
        <f>IF(初期登録!$B$10*12+初期登録!$D$10&lt;$A366,NA(),[3]各月DI数値!$J256)</f>
        <v>14.285714285714286</v>
      </c>
      <c r="E366" s="88">
        <f>IF(初期登録!$B$10*12+初期登録!$D$10&lt;$A366,NA(),[3]各月DI数値!$S256)</f>
        <v>0</v>
      </c>
      <c r="F366" s="643">
        <f>IF(初期登録!$B$10*12+初期登録!$D$10&lt;$A366,NA(),[3]各月DI数値!$AA256)</f>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c r="U366" s="34">
        <f>D:D-[3]各月DI数値!J256</f>
        <v>0</v>
      </c>
      <c r="V366" s="34">
        <f>E:E-[3]各月DI数値!S256</f>
        <v>0</v>
      </c>
      <c r="W366" s="34">
        <f>F:F-[3]各月DI数値!AA256</f>
        <v>0</v>
      </c>
    </row>
    <row r="367" spans="1:23" ht="15" customHeight="1">
      <c r="A367" s="120"/>
      <c r="B367" s="114"/>
      <c r="C367" s="174">
        <f>IF(初期登録!$B$10*12+初期登録!$D$10&lt;$A367,"",3)</f>
        <v>3</v>
      </c>
      <c r="D367" s="642">
        <f>IF(初期登録!$B$10*12+初期登録!$D$10&lt;$A367,NA(),[3]各月DI数値!$J257)</f>
        <v>14.285714285714286</v>
      </c>
      <c r="E367" s="88">
        <f>IF(初期登録!$B$10*12+初期登録!$D$10&lt;$A367,NA(),[3]各月DI数値!$S257)</f>
        <v>0</v>
      </c>
      <c r="F367" s="643">
        <f>IF(初期登録!$B$10*12+初期登録!$D$10&lt;$A367,NA(),[3]各月DI数値!$AA257)</f>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c r="U367" s="34">
        <f>D:D-[3]各月DI数値!J257</f>
        <v>0</v>
      </c>
      <c r="V367" s="34">
        <f>E:E-[3]各月DI数値!S257</f>
        <v>0</v>
      </c>
      <c r="W367" s="34">
        <f>F:F-[3]各月DI数値!AA257</f>
        <v>0</v>
      </c>
    </row>
    <row r="368" spans="1:23" ht="15" customHeight="1">
      <c r="A368" s="120"/>
      <c r="B368" s="114"/>
      <c r="C368" s="174">
        <f>IF(初期登録!$B$10*12+初期登録!$D$10&lt;$A368,"",4)</f>
        <v>4</v>
      </c>
      <c r="D368" s="642">
        <f>IF(初期登録!$B$10*12+初期登録!$D$10&lt;$A368,NA(),[3]各月DI数値!$J258)</f>
        <v>14.285714285714286</v>
      </c>
      <c r="E368" s="88">
        <f>IF(初期登録!$B$10*12+初期登録!$D$10&lt;$A368,NA(),[3]各月DI数値!$S258)</f>
        <v>0</v>
      </c>
      <c r="F368" s="643">
        <f>IF(初期登録!$B$10*12+初期登録!$D$10&lt;$A368,NA(),[3]各月DI数値!$AA258)</f>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c r="U368" s="34">
        <f>D:D-[3]各月DI数値!J258</f>
        <v>0</v>
      </c>
      <c r="V368" s="34">
        <f>E:E-[3]各月DI数値!S258</f>
        <v>0</v>
      </c>
      <c r="W368" s="34">
        <f>F:F-[3]各月DI数値!AA258</f>
        <v>0</v>
      </c>
    </row>
    <row r="369" spans="1:23" ht="15" customHeight="1">
      <c r="A369" s="120"/>
      <c r="B369" s="114"/>
      <c r="C369" s="174">
        <f>IF(初期登録!$B$10*12+初期登録!$D$10&lt;$A369,"",5)</f>
        <v>5</v>
      </c>
      <c r="D369" s="642">
        <f>IF(初期登録!$B$10*12+初期登録!$D$10&lt;$A369,NA(),[3]各月DI数値!$J259)</f>
        <v>14.285714285714286</v>
      </c>
      <c r="E369" s="88">
        <f>IF(初期登録!$B$10*12+初期登録!$D$10&lt;$A369,NA(),[3]各月DI数値!$S259)</f>
        <v>0</v>
      </c>
      <c r="F369" s="643">
        <f>IF(初期登録!$B$10*12+初期登録!$D$10&lt;$A369,NA(),[3]各月DI数値!$AA259)</f>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c r="U369" s="34">
        <f>D:D-[3]各月DI数値!J259</f>
        <v>0</v>
      </c>
      <c r="V369" s="34">
        <f>E:E-[3]各月DI数値!S259</f>
        <v>0</v>
      </c>
      <c r="W369" s="34">
        <f>F:F-[3]各月DI数値!AA259</f>
        <v>0</v>
      </c>
    </row>
    <row r="370" spans="1:23" ht="15" customHeight="1">
      <c r="A370" s="120"/>
      <c r="B370" s="114"/>
      <c r="C370" s="174">
        <f>IF(初期登録!$B$10*12+初期登録!$D$10&lt;$A370,"",6)</f>
        <v>6</v>
      </c>
      <c r="D370" s="642">
        <f>IF(初期登録!$B$10*12+初期登録!$D$10&lt;$A370,NA(),[3]各月DI数値!$J260)</f>
        <v>14.285714285714286</v>
      </c>
      <c r="E370" s="88">
        <f>IF(初期登録!$B$10*12+初期登録!$D$10&lt;$A370,NA(),[3]各月DI数値!$S260)</f>
        <v>50</v>
      </c>
      <c r="F370" s="643">
        <f>IF(初期登録!$B$10*12+初期登録!$D$10&lt;$A370,NA(),[3]各月DI数値!$AA260)</f>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c r="U370" s="34">
        <f>D:D-[3]各月DI数値!J260</f>
        <v>0</v>
      </c>
      <c r="V370" s="34">
        <f>E:E-[3]各月DI数値!S260</f>
        <v>0</v>
      </c>
      <c r="W370" s="34">
        <f>F:F-[3]各月DI数値!AA260</f>
        <v>0</v>
      </c>
    </row>
    <row r="371" spans="1:23" ht="15" customHeight="1">
      <c r="A371" s="120"/>
      <c r="B371" s="114"/>
      <c r="C371" s="174">
        <f>IF(初期登録!$B$10*12+初期登録!$D$10&lt;$A371,"",7)</f>
        <v>7</v>
      </c>
      <c r="D371" s="642">
        <f>IF(初期登録!$B$10*12+初期登録!$D$10&lt;$A371,NA(),[3]各月DI数値!$J261)</f>
        <v>42.857142857142854</v>
      </c>
      <c r="E371" s="88">
        <f>IF(初期登録!$B$10*12+初期登録!$D$10&lt;$A371,NA(),[3]各月DI数値!$S261)</f>
        <v>50</v>
      </c>
      <c r="F371" s="643">
        <f>IF(初期登録!$B$10*12+初期登録!$D$10&lt;$A371,NA(),[3]各月DI数値!$AA261)</f>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c r="U371" s="34">
        <f>D:D-[3]各月DI数値!J261</f>
        <v>0</v>
      </c>
      <c r="V371" s="34">
        <f>E:E-[3]各月DI数値!S261</f>
        <v>0</v>
      </c>
      <c r="W371" s="34">
        <f>F:F-[3]各月DI数値!AA261</f>
        <v>0</v>
      </c>
    </row>
    <row r="372" spans="1:23" ht="15" customHeight="1">
      <c r="A372" s="120"/>
      <c r="B372" s="114"/>
      <c r="C372" s="174">
        <f>IF(初期登録!$B$10*12+初期登録!$D$10&lt;$A372,"",8)</f>
        <v>8</v>
      </c>
      <c r="D372" s="642">
        <f>IF(初期登録!$B$10*12+初期登録!$D$10&lt;$A372,NA(),[3]各月DI数値!$J262)</f>
        <v>42.857142857142854</v>
      </c>
      <c r="E372" s="88">
        <f>IF(初期登録!$B$10*12+初期登録!$D$10&lt;$A372,NA(),[3]各月DI数値!$S262)</f>
        <v>87.5</v>
      </c>
      <c r="F372" s="643">
        <f>IF(初期登録!$B$10*12+初期登録!$D$10&lt;$A372,NA(),[3]各月DI数値!$AA262)</f>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c r="U372" s="34">
        <f>D:D-[3]各月DI数値!J262</f>
        <v>0</v>
      </c>
      <c r="V372" s="34">
        <f>E:E-[3]各月DI数値!S262</f>
        <v>0</v>
      </c>
      <c r="W372" s="34">
        <f>F:F-[3]各月DI数値!AA262</f>
        <v>0</v>
      </c>
    </row>
    <row r="373" spans="1:23" ht="15" customHeight="1">
      <c r="A373" s="120"/>
      <c r="B373" s="114"/>
      <c r="C373" s="174">
        <f>IF(初期登録!$B$10*12+初期登録!$D$10&lt;$A373,"",9)</f>
        <v>9</v>
      </c>
      <c r="D373" s="642">
        <f>IF(初期登録!$B$10*12+初期登録!$D$10&lt;$A373,NA(),[3]各月DI数値!$J263)</f>
        <v>85.714285714285708</v>
      </c>
      <c r="E373" s="88">
        <f>IF(初期登録!$B$10*12+初期登録!$D$10&lt;$A373,NA(),[3]各月DI数値!$S263)</f>
        <v>75</v>
      </c>
      <c r="F373" s="643">
        <f>IF(初期登録!$B$10*12+初期登録!$D$10&lt;$A373,NA(),[3]各月DI数値!$AA263)</f>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c r="U373" s="34">
        <f>D:D-[3]各月DI数値!J263</f>
        <v>0</v>
      </c>
      <c r="V373" s="34">
        <f>E:E-[3]各月DI数値!S263</f>
        <v>0</v>
      </c>
      <c r="W373" s="34">
        <f>F:F-[3]各月DI数値!AA263</f>
        <v>0</v>
      </c>
    </row>
    <row r="374" spans="1:23" ht="15" customHeight="1">
      <c r="A374" s="120"/>
      <c r="B374" s="114"/>
      <c r="C374" s="174">
        <f>IF(初期登録!$B$10*12+初期登録!$D$10&lt;$A374,"",10)</f>
        <v>10</v>
      </c>
      <c r="D374" s="642">
        <f>IF(初期登録!$B$10*12+初期登録!$D$10&lt;$A374,NA(),[3]各月DI数値!$J264)</f>
        <v>71.428571428571431</v>
      </c>
      <c r="E374" s="88">
        <f>IF(初期登録!$B$10*12+初期登録!$D$10&lt;$A374,NA(),[3]各月DI数値!$S264)</f>
        <v>100</v>
      </c>
      <c r="F374" s="643">
        <f>IF(初期登録!$B$10*12+初期登録!$D$10&lt;$A374,NA(),[3]各月DI数値!$AA264)</f>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c r="U374" s="34">
        <f>D:D-[3]各月DI数値!J264</f>
        <v>0</v>
      </c>
      <c r="V374" s="34">
        <f>E:E-[3]各月DI数値!S264</f>
        <v>0</v>
      </c>
      <c r="W374" s="34">
        <f>F:F-[3]各月DI数値!AA264</f>
        <v>0</v>
      </c>
    </row>
    <row r="375" spans="1:23" ht="15" customHeight="1">
      <c r="A375" s="120"/>
      <c r="B375" s="114"/>
      <c r="C375" s="174">
        <f>IF(初期登録!$B$10*12+初期登録!$D$10&lt;$A375,"",11)</f>
        <v>11</v>
      </c>
      <c r="D375" s="642">
        <f>IF(初期登録!$B$10*12+初期登録!$D$10&lt;$A375,NA(),[3]各月DI数値!$J265)</f>
        <v>85.714285714285708</v>
      </c>
      <c r="E375" s="88">
        <f>IF(初期登録!$B$10*12+初期登録!$D$10&lt;$A375,NA(),[3]各月DI数値!$S265)</f>
        <v>100</v>
      </c>
      <c r="F375" s="643">
        <f>IF(初期登録!$B$10*12+初期登録!$D$10&lt;$A375,NA(),[3]各月DI数値!$AA265)</f>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c r="U375" s="34">
        <f>D:D-[3]各月DI数値!J265</f>
        <v>0</v>
      </c>
      <c r="V375" s="34">
        <f>E:E-[3]各月DI数値!S265</f>
        <v>0</v>
      </c>
      <c r="W375" s="34">
        <f>F:F-[3]各月DI数値!AA265</f>
        <v>0</v>
      </c>
    </row>
    <row r="376" spans="1:23" ht="15" customHeight="1">
      <c r="A376" s="132"/>
      <c r="B376" s="115"/>
      <c r="C376" s="177">
        <f>IF(初期登録!$B$10*12+初期登録!$D$10&lt;$A376,"",12)</f>
        <v>12</v>
      </c>
      <c r="D376" s="1037">
        <f>IF(初期登録!$B$10*12+初期登録!$D$10&lt;$A376,NA(),[3]各月DI数値!$J266)</f>
        <v>57.142857142857146</v>
      </c>
      <c r="E376" s="1038">
        <f>IF(初期登録!$B$10*12+初期登録!$D$10&lt;$A376,NA(),[3]各月DI数値!$S266)</f>
        <v>87.5</v>
      </c>
      <c r="F376" s="1039">
        <f>IF(初期登録!$B$10*12+初期登録!$D$10&lt;$A376,NA(),[3]各月DI数値!$AA266)</f>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c r="U376" s="34">
        <f>D:D-[3]各月DI数値!J266</f>
        <v>0</v>
      </c>
      <c r="V376" s="34">
        <f>E:E-[3]各月DI数値!S266</f>
        <v>0</v>
      </c>
      <c r="W376" s="34">
        <f>F:F-[3]各月DI数値!AA266</f>
        <v>0</v>
      </c>
    </row>
    <row r="377" spans="1:23" ht="15" customHeight="1">
      <c r="A377" s="120"/>
      <c r="B377" s="997" t="s">
        <v>733</v>
      </c>
      <c r="C377" s="178">
        <f>IF(初期登録!$B$10*12+初期登録!$D$10&lt;$A377,"",1)</f>
        <v>1</v>
      </c>
      <c r="D377" s="1041">
        <f>IF(初期登録!$B$10*12+初期登録!$D$10&lt;$A377,NA(),[3]各月DI数値!$J267)</f>
        <v>85.714285714285708</v>
      </c>
      <c r="E377" s="1042">
        <f>IF(初期登録!$B$10*12+初期登録!$D$10&lt;$A377,NA(),[3]各月DI数値!$S267)</f>
        <v>100</v>
      </c>
      <c r="F377" s="1043">
        <f>IF(初期登録!$B$10*12+初期登録!$D$10&lt;$A377,NA(),[3]各月DI数値!$AA267)</f>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c r="U377" s="34">
        <f>D:D-[3]各月DI数値!J267</f>
        <v>0</v>
      </c>
      <c r="V377" s="34">
        <f>E:E-[3]各月DI数値!S267</f>
        <v>0</v>
      </c>
      <c r="W377" s="34">
        <f>F:F-[3]各月DI数値!AA267</f>
        <v>0</v>
      </c>
    </row>
    <row r="378" spans="1:23" ht="15" customHeight="1">
      <c r="A378" s="120"/>
      <c r="B378" s="116"/>
      <c r="C378" s="177">
        <f>IF(初期登録!$B$10*12+初期登録!$D$10&lt;$A378,"",2)</f>
        <v>2</v>
      </c>
      <c r="D378" s="642">
        <f>IF(初期登録!$B$10*12+初期登録!$D$10&lt;$A378,NA(),[3]各月DI数値!$J268)</f>
        <v>35.714285714285715</v>
      </c>
      <c r="E378" s="88">
        <f>IF(初期登録!$B$10*12+初期登録!$D$10&lt;$A378,NA(),[3]各月DI数値!$S268)</f>
        <v>87.5</v>
      </c>
      <c r="F378" s="643">
        <f>IF(初期登録!$B$10*12+初期登録!$D$10&lt;$A378,NA(),[3]各月DI数値!$AA268)</f>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c r="U378" s="34">
        <f>D:D-[3]各月DI数値!J268</f>
        <v>0</v>
      </c>
      <c r="V378" s="34">
        <f>E:E-[3]各月DI数値!S268</f>
        <v>0</v>
      </c>
      <c r="W378" s="34">
        <f>F:F-[3]各月DI数値!AA268</f>
        <v>0</v>
      </c>
    </row>
    <row r="379" spans="1:23" ht="15" customHeight="1">
      <c r="A379" s="120"/>
      <c r="B379" s="114"/>
      <c r="C379" s="174">
        <f>IF(初期登録!$B$10*12+初期登録!$D$10&lt;$A379,"",3)</f>
        <v>3</v>
      </c>
      <c r="D379" s="642">
        <f>IF(初期登録!$B$10*12+初期登録!$D$10&lt;$A379,NA(),[3]各月DI数値!$J269)</f>
        <v>57.142857142857146</v>
      </c>
      <c r="E379" s="88">
        <f>IF(初期登録!$B$10*12+初期登録!$D$10&lt;$A379,NA(),[3]各月DI数値!$S269)</f>
        <v>100</v>
      </c>
      <c r="F379" s="643">
        <f>IF(初期登録!$B$10*12+初期登録!$D$10&lt;$A379,NA(),[3]各月DI数値!$AA269)</f>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c r="U379" s="34">
        <f>D:D-[3]各月DI数値!J269</f>
        <v>0</v>
      </c>
      <c r="V379" s="34">
        <f>E:E-[3]各月DI数値!S269</f>
        <v>0</v>
      </c>
      <c r="W379" s="34">
        <f>F:F-[3]各月DI数値!AA269</f>
        <v>0</v>
      </c>
    </row>
    <row r="380" spans="1:23" ht="15" customHeight="1">
      <c r="A380" s="120"/>
      <c r="B380" s="114"/>
      <c r="C380" s="174">
        <f>IF(初期登録!$B$10*12+初期登録!$D$10&lt;$A380,"",4)</f>
        <v>4</v>
      </c>
      <c r="D380" s="642">
        <f>IF(初期登録!$B$10*12+初期登録!$D$10&lt;$A380,NA(),[3]各月DI数値!$J270)</f>
        <v>71.428571428571431</v>
      </c>
      <c r="E380" s="88">
        <f>IF(初期登録!$B$10*12+初期登録!$D$10&lt;$A380,NA(),[3]各月DI数値!$S270)</f>
        <v>100</v>
      </c>
      <c r="F380" s="643">
        <f>IF(初期登録!$B$10*12+初期登録!$D$10&lt;$A380,NA(),[3]各月DI数値!$AA270)</f>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c r="U380" s="34">
        <f>D:D-[3]各月DI数値!J270</f>
        <v>0</v>
      </c>
      <c r="V380" s="34">
        <f>E:E-[3]各月DI数値!S270</f>
        <v>0</v>
      </c>
      <c r="W380" s="34">
        <f>F:F-[3]各月DI数値!AA270</f>
        <v>0</v>
      </c>
    </row>
    <row r="381" spans="1:23" ht="15" customHeight="1">
      <c r="A381" s="120"/>
      <c r="B381" s="114"/>
      <c r="C381" s="174">
        <f>IF(初期登録!$B$10*12+初期登録!$D$10&lt;$A381,"",5)</f>
        <v>5</v>
      </c>
      <c r="D381" s="642">
        <f>IF(初期登録!$B$10*12+初期登録!$D$10&lt;$A381,NA(),[3]各月DI数値!$J271)</f>
        <v>71.428571428571431</v>
      </c>
      <c r="E381" s="88">
        <f>IF(初期登録!$B$10*12+初期登録!$D$10&lt;$A381,NA(),[3]各月DI数値!$S271)</f>
        <v>100</v>
      </c>
      <c r="F381" s="643">
        <f>IF(初期登録!$B$10*12+初期登録!$D$10&lt;$A381,NA(),[3]各月DI数値!$AA271)</f>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c r="U381" s="34">
        <f>D:D-[3]各月DI数値!J271</f>
        <v>0</v>
      </c>
      <c r="V381" s="34">
        <f>E:E-[3]各月DI数値!S271</f>
        <v>0</v>
      </c>
      <c r="W381" s="34">
        <f>F:F-[3]各月DI数値!AA271</f>
        <v>0</v>
      </c>
    </row>
    <row r="382" spans="1:23" ht="15" customHeight="1">
      <c r="A382" s="120"/>
      <c r="B382" s="114"/>
      <c r="C382" s="174">
        <f>IF(初期登録!$B$10*12+初期登録!$D$10&lt;$A382,"",6)</f>
        <v>6</v>
      </c>
      <c r="D382" s="642">
        <f>IF(初期登録!$B$10*12+初期登録!$D$10&lt;$A382,NA(),[3]各月DI数値!$J272)</f>
        <v>92.857142857142861</v>
      </c>
      <c r="E382" s="88">
        <f>IF(初期登録!$B$10*12+初期登録!$D$10&lt;$A382,NA(),[3]各月DI数値!$S272)</f>
        <v>75</v>
      </c>
      <c r="F382" s="643">
        <f>IF(初期登録!$B$10*12+初期登録!$D$10&lt;$A382,NA(),[3]各月DI数値!$AA272)</f>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c r="U382" s="34">
        <f>D:D-[3]各月DI数値!J272</f>
        <v>0</v>
      </c>
      <c r="V382" s="34">
        <f>E:E-[3]各月DI数値!S272</f>
        <v>0</v>
      </c>
      <c r="W382" s="34">
        <f>F:F-[3]各月DI数値!AA272</f>
        <v>0</v>
      </c>
    </row>
    <row r="383" spans="1:23" ht="15" customHeight="1">
      <c r="A383" s="120"/>
      <c r="B383" s="114"/>
      <c r="C383" s="174">
        <f>IF(初期登録!$B$10*12+初期登録!$D$10&lt;$A383,"",7)</f>
        <v>7</v>
      </c>
      <c r="D383" s="642">
        <f>IF(初期登録!$B$10*12+初期登録!$D$10&lt;$A383,NA(),[3]各月DI数値!$J273)</f>
        <v>71.428571428571431</v>
      </c>
      <c r="E383" s="88">
        <f>IF(初期登録!$B$10*12+初期登録!$D$10&lt;$A383,NA(),[3]各月DI数値!$S273)</f>
        <v>81.25</v>
      </c>
      <c r="F383" s="643">
        <f>IF(初期登録!$B$10*12+初期登録!$D$10&lt;$A383,NA(),[3]各月DI数値!$AA273)</f>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c r="U383" s="34">
        <f>D:D-[3]各月DI数値!J273</f>
        <v>0</v>
      </c>
      <c r="V383" s="34">
        <f>E:E-[3]各月DI数値!S273</f>
        <v>0</v>
      </c>
      <c r="W383" s="34">
        <f>F:F-[3]各月DI数値!AA273</f>
        <v>0</v>
      </c>
    </row>
    <row r="384" spans="1:23" ht="15" customHeight="1">
      <c r="A384" s="120"/>
      <c r="B384" s="114"/>
      <c r="C384" s="174">
        <f>IF(初期登録!$B$10*12+初期登録!$D$10&lt;$A384,"",8)</f>
        <v>8</v>
      </c>
      <c r="D384" s="642">
        <f>IF(初期登録!$B$10*12+初期登録!$D$10&lt;$A384,NA(),[3]各月DI数値!$J274)</f>
        <v>71.428571428571431</v>
      </c>
      <c r="E384" s="88">
        <f>IF(初期登録!$B$10*12+初期登録!$D$10&lt;$A384,NA(),[3]各月DI数値!$S274)</f>
        <v>87.5</v>
      </c>
      <c r="F384" s="643">
        <f>IF(初期登録!$B$10*12+初期登録!$D$10&lt;$A384,NA(),[3]各月DI数値!$AA274)</f>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c r="U384" s="34">
        <f>D:D-[3]各月DI数値!J274</f>
        <v>0</v>
      </c>
      <c r="V384" s="34">
        <f>E:E-[3]各月DI数値!S274</f>
        <v>0</v>
      </c>
      <c r="W384" s="34">
        <f>F:F-[3]各月DI数値!AA274</f>
        <v>0</v>
      </c>
    </row>
    <row r="385" spans="1:23" ht="15" customHeight="1">
      <c r="A385" s="120"/>
      <c r="B385" s="114"/>
      <c r="C385" s="174">
        <f>IF(初期登録!$B$10*12+初期登録!$D$10&lt;$A385,"",9)</f>
        <v>9</v>
      </c>
      <c r="D385" s="642">
        <f>IF(初期登録!$B$10*12+初期登録!$D$10&lt;$A385,NA(),[3]各月DI数値!$J275)</f>
        <v>85.714285714285708</v>
      </c>
      <c r="E385" s="88">
        <f>IF(初期登録!$B$10*12+初期登録!$D$10&lt;$A385,NA(),[3]各月DI数値!$S275)</f>
        <v>87.5</v>
      </c>
      <c r="F385" s="643">
        <f>IF(初期登録!$B$10*12+初期登録!$D$10&lt;$A385,NA(),[3]各月DI数値!$AA275)</f>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c r="U385" s="34">
        <f>D:D-[3]各月DI数値!J275</f>
        <v>0</v>
      </c>
      <c r="V385" s="34">
        <f>E:E-[3]各月DI数値!S275</f>
        <v>0</v>
      </c>
      <c r="W385" s="34">
        <f>F:F-[3]各月DI数値!AA275</f>
        <v>0</v>
      </c>
    </row>
    <row r="386" spans="1:23" ht="15" customHeight="1">
      <c r="A386" s="120"/>
      <c r="B386" s="114"/>
      <c r="C386" s="174">
        <f>IF(初期登録!$B$10*12+初期登録!$D$10&lt;$A386,"",10)</f>
        <v>10</v>
      </c>
      <c r="D386" s="642">
        <f>IF(初期登録!$B$10*12+初期登録!$D$10&lt;$A386,NA(),[3]各月DI数値!$J276)</f>
        <v>42.857142857142854</v>
      </c>
      <c r="E386" s="88">
        <f>IF(初期登録!$B$10*12+初期登録!$D$10&lt;$A386,NA(),[3]各月DI数値!$S276)</f>
        <v>87.5</v>
      </c>
      <c r="F386" s="643">
        <f>IF(初期登録!$B$10*12+初期登録!$D$10&lt;$A386,NA(),[3]各月DI数値!$AA276)</f>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c r="U386" s="34">
        <f>D:D-[3]各月DI数値!J276</f>
        <v>0</v>
      </c>
      <c r="V386" s="34">
        <f>E:E-[3]各月DI数値!S276</f>
        <v>0</v>
      </c>
      <c r="W386" s="34">
        <f>F:F-[3]各月DI数値!AA276</f>
        <v>0</v>
      </c>
    </row>
    <row r="387" spans="1:23" ht="15" customHeight="1">
      <c r="A387" s="120"/>
      <c r="B387" s="114"/>
      <c r="C387" s="174">
        <f>IF(初期登録!$B$10*12+初期登録!$D$10&lt;$A387,"",11)</f>
        <v>11</v>
      </c>
      <c r="D387" s="642">
        <f>IF(初期登録!$B$10*12+初期登録!$D$10&lt;$A387,NA(),[3]各月DI数値!$J277)</f>
        <v>42.857142857142854</v>
      </c>
      <c r="E387" s="88">
        <f>IF(初期登録!$B$10*12+初期登録!$D$10&lt;$A387,NA(),[3]各月DI数値!$S277)</f>
        <v>87.5</v>
      </c>
      <c r="F387" s="643">
        <f>IF(初期登録!$B$10*12+初期登録!$D$10&lt;$A387,NA(),[3]各月DI数値!$AA277)</f>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c r="U387" s="34">
        <f>D:D-[3]各月DI数値!J277</f>
        <v>0</v>
      </c>
      <c r="V387" s="34">
        <f>E:E-[3]各月DI数値!S277</f>
        <v>0</v>
      </c>
      <c r="W387" s="34">
        <f>F:F-[3]各月DI数値!AA277</f>
        <v>0</v>
      </c>
    </row>
    <row r="388" spans="1:23" ht="15" customHeight="1">
      <c r="A388" s="120"/>
      <c r="B388" s="116"/>
      <c r="C388" s="177">
        <f>IF(初期登録!$B$10*12+初期登録!$D$10&lt;$A388,"",12)</f>
        <v>12</v>
      </c>
      <c r="D388" s="1037">
        <f>IF(初期登録!$B$10*12+初期登録!$D$10&lt;$A388,NA(),[3]各月DI数値!$J278)</f>
        <v>71.428571428571431</v>
      </c>
      <c r="E388" s="1038">
        <f>IF(初期登録!$B$10*12+初期登録!$D$10&lt;$A388,NA(),[3]各月DI数値!$S278)</f>
        <v>100</v>
      </c>
      <c r="F388" s="1039">
        <f>IF(初期登録!$B$10*12+初期登録!$D$10&lt;$A388,NA(),[3]各月DI数値!$AA278)</f>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c r="U388" s="34">
        <f>D:D-[3]各月DI数値!J278</f>
        <v>0</v>
      </c>
      <c r="V388" s="34">
        <f>E:E-[3]各月DI数値!S278</f>
        <v>0</v>
      </c>
      <c r="W388" s="34">
        <f>F:F-[3]各月DI数値!AA278</f>
        <v>0</v>
      </c>
    </row>
    <row r="389" spans="1:23" ht="15" customHeight="1">
      <c r="A389" s="125"/>
      <c r="B389" s="996" t="s">
        <v>734</v>
      </c>
      <c r="C389" s="178">
        <f>IF(初期登録!$B$10*12+初期登録!$D$10&lt;$A389,"",1)</f>
        <v>1</v>
      </c>
      <c r="D389" s="1041">
        <f>IF(初期登録!$B$10*12+初期登録!$D$10&lt;$A389,NA(),[3]各月DI数値!$J279)</f>
        <v>57.142857142857146</v>
      </c>
      <c r="E389" s="1042">
        <f>IF(初期登録!$B$10*12+初期登録!$D$10&lt;$A389,NA(),[3]各月DI数値!$S279)</f>
        <v>81.25</v>
      </c>
      <c r="F389" s="1043">
        <f>IF(初期登録!$B$10*12+初期登録!$D$10&lt;$A389,NA(),[3]各月DI数値!$AA279)</f>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c r="U389" s="34">
        <f>D:D-[3]各月DI数値!J279</f>
        <v>0</v>
      </c>
      <c r="V389" s="34">
        <f>E:E-[3]各月DI数値!S279</f>
        <v>0</v>
      </c>
      <c r="W389" s="34">
        <f>F:F-[3]各月DI数値!AA279</f>
        <v>0</v>
      </c>
    </row>
    <row r="390" spans="1:23" ht="15" customHeight="1">
      <c r="A390" s="120"/>
      <c r="B390" s="114"/>
      <c r="C390" s="174">
        <f>IF(初期登録!$B$10*12+初期登録!$D$10&lt;$A390,"",2)</f>
        <v>2</v>
      </c>
      <c r="D390" s="642">
        <f>IF(初期登録!$B$10*12+初期登録!$D$10&lt;$A390,NA(),[3]各月DI数値!$J280)</f>
        <v>35.714285714285715</v>
      </c>
      <c r="E390" s="88">
        <f>IF(初期登録!$B$10*12+初期登録!$D$10&lt;$A390,NA(),[3]各月DI数値!$S280)</f>
        <v>75</v>
      </c>
      <c r="F390" s="643">
        <f>IF(初期登録!$B$10*12+初期登録!$D$10&lt;$A390,NA(),[3]各月DI数値!$AA280)</f>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c r="U390" s="34">
        <f>D:D-[3]各月DI数値!J280</f>
        <v>0</v>
      </c>
      <c r="V390" s="34">
        <f>E:E-[3]各月DI数値!S280</f>
        <v>0</v>
      </c>
      <c r="W390" s="34">
        <f>F:F-[3]各月DI数値!AA280</f>
        <v>0</v>
      </c>
    </row>
    <row r="391" spans="1:23" ht="15" customHeight="1">
      <c r="A391" s="120"/>
      <c r="B391" s="114"/>
      <c r="C391" s="174">
        <f>IF(初期登録!$B$10*12+初期登録!$D$10&lt;$A391,"",3)</f>
        <v>3</v>
      </c>
      <c r="D391" s="642">
        <f>IF(初期登録!$B$10*12+初期登録!$D$10&lt;$A391,NA(),[3]各月DI数値!$J281)</f>
        <v>14.285714285714286</v>
      </c>
      <c r="E391" s="88">
        <f>IF(初期登録!$B$10*12+初期登録!$D$10&lt;$A391,NA(),[3]各月DI数値!$S281)</f>
        <v>16.666666666666668</v>
      </c>
      <c r="F391" s="643">
        <f>IF(初期登録!$B$10*12+初期登録!$D$10&lt;$A391,NA(),[3]各月DI数値!$AA281)</f>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c r="U391" s="34">
        <f>D:D-[3]各月DI数値!J281</f>
        <v>0</v>
      </c>
      <c r="V391" s="34">
        <f>E:E-[3]各月DI数値!S281</f>
        <v>0</v>
      </c>
      <c r="W391" s="34">
        <f>F:F-[3]各月DI数値!AA281</f>
        <v>0</v>
      </c>
    </row>
    <row r="392" spans="1:23" ht="15" customHeight="1">
      <c r="A392" s="120"/>
      <c r="B392" s="114"/>
      <c r="C392" s="174">
        <f>IF(初期登録!$B$10*12+初期登録!$D$10&lt;$A392,"",4)</f>
        <v>4</v>
      </c>
      <c r="D392" s="642">
        <f>IF(初期登録!$B$10*12+初期登録!$D$10&lt;$A392,NA(),[3]各月DI数値!$J282)</f>
        <v>35.714285714285715</v>
      </c>
      <c r="E392" s="88">
        <f>IF(初期登録!$B$10*12+初期登録!$D$10&lt;$A392,NA(),[3]各月DI数値!$S282)</f>
        <v>0</v>
      </c>
      <c r="F392" s="643">
        <f>IF(初期登録!$B$10*12+初期登録!$D$10&lt;$A392,NA(),[3]各月DI数値!$AA282)</f>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c r="U392" s="34">
        <f>D:D-[3]各月DI数値!J282</f>
        <v>0</v>
      </c>
      <c r="V392" s="34">
        <f>E:E-[3]各月DI数値!S282</f>
        <v>0</v>
      </c>
      <c r="W392" s="34">
        <f>F:F-[3]各月DI数値!AA282</f>
        <v>0</v>
      </c>
    </row>
    <row r="393" spans="1:23" ht="15" customHeight="1">
      <c r="A393" s="120"/>
      <c r="B393" s="114"/>
      <c r="C393" s="174">
        <f>IF(初期登録!$B$10*12+初期登録!$D$10&lt;$A393,"",5)</f>
        <v>5</v>
      </c>
      <c r="D393" s="642">
        <f>IF(初期登録!$B$10*12+初期登録!$D$10&lt;$A393,NA(),[3]各月DI数値!$J283)</f>
        <v>42.857142857142854</v>
      </c>
      <c r="E393" s="88">
        <f>IF(初期登録!$B$10*12+初期登録!$D$10&lt;$A393,NA(),[3]各月DI数値!$S283)</f>
        <v>0</v>
      </c>
      <c r="F393" s="643">
        <f>IF(初期登録!$B$10*12+初期登録!$D$10&lt;$A393,NA(),[3]各月DI数値!$AA283)</f>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c r="U393" s="34">
        <f>D:D-[3]各月DI数値!J283</f>
        <v>0</v>
      </c>
      <c r="V393" s="34">
        <f>E:E-[3]各月DI数値!S283</f>
        <v>0</v>
      </c>
      <c r="W393" s="34">
        <f>F:F-[3]各月DI数値!AA283</f>
        <v>0</v>
      </c>
    </row>
    <row r="394" spans="1:23" ht="15" customHeight="1">
      <c r="A394" s="120"/>
      <c r="B394" s="114"/>
      <c r="C394" s="174">
        <f>IF(初期登録!$B$10*12+初期登録!$D$10&lt;$A394,"",6)</f>
        <v>6</v>
      </c>
      <c r="D394" s="642">
        <f>IF(初期登録!$B$10*12+初期登録!$D$10&lt;$A394,NA(),[3]各月DI数値!$J284)</f>
        <v>28.571428571428573</v>
      </c>
      <c r="E394" s="88">
        <f>IF(初期登録!$B$10*12+初期登録!$D$10&lt;$A394,NA(),[3]各月DI数値!$S284)</f>
        <v>0</v>
      </c>
      <c r="F394" s="643">
        <f>IF(初期登録!$B$10*12+初期登録!$D$10&lt;$A394,NA(),[3]各月DI数値!$AA284)</f>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c r="U394" s="34">
        <f>D:D-[3]各月DI数値!J284</f>
        <v>0</v>
      </c>
      <c r="V394" s="34">
        <f>E:E-[3]各月DI数値!S284</f>
        <v>0</v>
      </c>
      <c r="W394" s="34">
        <f>F:F-[3]各月DI数値!AA284</f>
        <v>0</v>
      </c>
    </row>
    <row r="395" spans="1:23" ht="15" customHeight="1">
      <c r="A395" s="120"/>
      <c r="B395" s="114"/>
      <c r="C395" s="174">
        <f>IF(初期登録!$B$10*12+初期登録!$D$10&lt;$A395,"",7)</f>
        <v>7</v>
      </c>
      <c r="D395" s="642">
        <f>IF(初期登録!$B$10*12+初期登録!$D$10&lt;$A395,NA(),[3]各月DI数値!$J285)</f>
        <v>57.142857142857146</v>
      </c>
      <c r="E395" s="88">
        <f>IF(初期登録!$B$10*12+初期登録!$D$10&lt;$A395,NA(),[3]各月DI数値!$S285)</f>
        <v>12.5</v>
      </c>
      <c r="F395" s="643">
        <f>IF(初期登録!$B$10*12+初期登録!$D$10&lt;$A395,NA(),[3]各月DI数値!$AA285)</f>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c r="U395" s="34">
        <f>D:D-[3]各月DI数値!J285</f>
        <v>0</v>
      </c>
      <c r="V395" s="34">
        <f>E:E-[3]各月DI数値!S285</f>
        <v>0</v>
      </c>
      <c r="W395" s="34">
        <f>F:F-[3]各月DI数値!AA285</f>
        <v>0</v>
      </c>
    </row>
    <row r="396" spans="1:23" ht="15" customHeight="1">
      <c r="A396" s="120"/>
      <c r="B396" s="114"/>
      <c r="C396" s="174">
        <f>IF(初期登録!$B$10*12+初期登録!$D$10&lt;$A396,"",8)</f>
        <v>8</v>
      </c>
      <c r="D396" s="642">
        <f>IF(初期登録!$B$10*12+初期登録!$D$10&lt;$A396,NA(),[3]各月DI数値!$J286)</f>
        <v>100</v>
      </c>
      <c r="E396" s="88">
        <f>IF(初期登録!$B$10*12+初期登録!$D$10&lt;$A396,NA(),[3]各月DI数値!$S286)</f>
        <v>83.333333333333343</v>
      </c>
      <c r="F396" s="643">
        <f>IF(初期登録!$B$10*12+初期登録!$D$10&lt;$A396,NA(),[3]各月DI数値!$AA286)</f>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c r="U396" s="34">
        <f>D:D-[3]各月DI数値!J286</f>
        <v>0</v>
      </c>
      <c r="V396" s="34">
        <f>E:E-[3]各月DI数値!S286</f>
        <v>0</v>
      </c>
      <c r="W396" s="34">
        <f>F:F-[3]各月DI数値!AA286</f>
        <v>0</v>
      </c>
    </row>
    <row r="397" spans="1:23" ht="15" customHeight="1">
      <c r="A397" s="120"/>
      <c r="B397" s="114"/>
      <c r="C397" s="174">
        <f>IF(初期登録!$B$10*12+初期登録!$D$10&lt;$A397,"",9)</f>
        <v>9</v>
      </c>
      <c r="D397" s="642">
        <f>IF(初期登録!$B$10*12+初期登録!$D$10&lt;$A397,NA(),[3]各月DI数値!$J287)</f>
        <v>100</v>
      </c>
      <c r="E397" s="88">
        <f>IF(初期登録!$B$10*12+初期登録!$D$10&lt;$A397,NA(),[3]各月DI数値!$S287)</f>
        <v>100</v>
      </c>
      <c r="F397" s="643">
        <f>IF(初期登録!$B$10*12+初期登録!$D$10&lt;$A397,NA(),[3]各月DI数値!$AA287)</f>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c r="U397" s="34">
        <f>D:D-[3]各月DI数値!J287</f>
        <v>0</v>
      </c>
      <c r="V397" s="34">
        <f>E:E-[3]各月DI数値!S287</f>
        <v>0</v>
      </c>
      <c r="W397" s="34">
        <f>F:F-[3]各月DI数値!AA287</f>
        <v>0</v>
      </c>
    </row>
    <row r="398" spans="1:23" ht="15" customHeight="1">
      <c r="A398" s="120"/>
      <c r="B398" s="114"/>
      <c r="C398" s="174">
        <f>IF(初期登録!$B$10*12+初期登録!$D$10&lt;$A398,"",10)</f>
        <v>10</v>
      </c>
      <c r="D398" s="642">
        <f>IF(初期登録!$B$10*12+初期登録!$D$10&lt;$A398,NA(),[3]各月DI数値!$J288)</f>
        <v>85.714285714285708</v>
      </c>
      <c r="E398" s="88">
        <f>IF(初期登録!$B$10*12+初期登録!$D$10&lt;$A398,NA(),[3]各月DI数値!$S288)</f>
        <v>75</v>
      </c>
      <c r="F398" s="643">
        <f>IF(初期登録!$B$10*12+初期登録!$D$10&lt;$A398,NA(),[3]各月DI数値!$AA288)</f>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c r="U398" s="34">
        <f>D:D-[3]各月DI数値!J288</f>
        <v>0</v>
      </c>
      <c r="V398" s="34">
        <f>E:E-[3]各月DI数値!S288</f>
        <v>0</v>
      </c>
      <c r="W398" s="34">
        <f>F:F-[3]各月DI数値!AA288</f>
        <v>0</v>
      </c>
    </row>
    <row r="399" spans="1:23" ht="15" customHeight="1">
      <c r="A399" s="120"/>
      <c r="B399" s="114"/>
      <c r="C399" s="174">
        <f>IF(初期登録!$B$10*12+初期登録!$D$10&lt;$A399,"",11)</f>
        <v>11</v>
      </c>
      <c r="D399" s="642">
        <f>IF(初期登録!$B$10*12+初期登録!$D$10&lt;$A399,NA(),[3]各月DI数値!$J289)</f>
        <v>100</v>
      </c>
      <c r="E399" s="88">
        <f>IF(初期登録!$B$10*12+初期登録!$D$10&lt;$A399,NA(),[3]各月DI数値!$S289)</f>
        <v>62.5</v>
      </c>
      <c r="F399" s="643">
        <f>IF(初期登録!$B$10*12+初期登録!$D$10&lt;$A399,NA(),[3]各月DI数値!$AA289)</f>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c r="U399" s="34">
        <f>D:D-[3]各月DI数値!J289</f>
        <v>0</v>
      </c>
      <c r="V399" s="34">
        <f>E:E-[3]各月DI数値!S289</f>
        <v>0</v>
      </c>
      <c r="W399" s="34">
        <f>F:F-[3]各月DI数値!AA289</f>
        <v>0</v>
      </c>
    </row>
    <row r="400" spans="1:23" ht="15" customHeight="1">
      <c r="A400" s="132"/>
      <c r="C400" s="176">
        <f>IF(初期登録!$B$10*12+初期登録!$D$10&lt;$A400,"",12)</f>
        <v>12</v>
      </c>
      <c r="D400" s="1037">
        <f>IF(初期登録!$B$10*12+初期登録!$D$10&lt;$A400,NA(),[3]各月DI数値!$J290)</f>
        <v>71.428571428571431</v>
      </c>
      <c r="E400" s="1038">
        <f>IF(初期登録!$B$10*12+初期登録!$D$10&lt;$A400,NA(),[3]各月DI数値!$S290)</f>
        <v>75</v>
      </c>
      <c r="F400" s="1039">
        <f>IF(初期登録!$B$10*12+初期登録!$D$10&lt;$A400,NA(),[3]各月DI数値!$AA290)</f>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62">
        <f t="shared" si="42"/>
        <v>50</v>
      </c>
      <c r="O400" s="179"/>
      <c r="P400" s="137">
        <f t="shared" si="43"/>
        <v>0</v>
      </c>
      <c r="Q400" s="579"/>
      <c r="U400" s="34">
        <f>D:D-[3]各月DI数値!J290</f>
        <v>0</v>
      </c>
      <c r="V400" s="34">
        <f>E:E-[3]各月DI数値!S290</f>
        <v>0</v>
      </c>
      <c r="W400" s="34">
        <f>F:F-[3]各月DI数値!AA290</f>
        <v>0</v>
      </c>
    </row>
    <row r="401" spans="1:23" ht="15" customHeight="1">
      <c r="A401" s="180"/>
      <c r="B401" s="998" t="s">
        <v>735</v>
      </c>
      <c r="C401" s="178">
        <f>IF(初期登録!$B$10*12+初期登録!$D$10&lt;$A401,"",1)</f>
        <v>1</v>
      </c>
      <c r="D401" s="1041">
        <f>IF(初期登録!$B$10*12+初期登録!$D$10&lt;$A401,NA(),[3]各月DI数値!$J291)</f>
        <v>92.857142857142861</v>
      </c>
      <c r="E401" s="1042">
        <f>IF(初期登録!$B$10*12+初期登録!$D$10&lt;$A401,NA(),[3]各月DI数値!$S291)</f>
        <v>87.5</v>
      </c>
      <c r="F401" s="1043">
        <f>IF(初期登録!$B$10*12+初期登録!$D$10&lt;$A401,NA(),[3]各月DI数値!$AA291)</f>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c r="U401" s="34">
        <f>D:D-[3]各月DI数値!J291</f>
        <v>0</v>
      </c>
      <c r="V401" s="34">
        <f>E:E-[3]各月DI数値!S291</f>
        <v>0</v>
      </c>
      <c r="W401" s="34">
        <f>F:F-[3]各月DI数値!AA291</f>
        <v>0</v>
      </c>
    </row>
    <row r="402" spans="1:23" ht="15" customHeight="1">
      <c r="A402" s="117"/>
      <c r="B402" s="185"/>
      <c r="C402" s="174">
        <f>IF(初期登録!$B$10*12+初期登録!$D$10&lt;$A402,"",2)</f>
        <v>2</v>
      </c>
      <c r="D402" s="642">
        <f>IF(初期登録!$B$10*12+初期登録!$D$10&lt;$A402,NA(),[3]各月DI数値!$J292)</f>
        <v>85.714285714285708</v>
      </c>
      <c r="E402" s="88">
        <f>IF(初期登録!$B$10*12+初期登録!$D$10&lt;$A402,NA(),[3]各月DI数値!$S292)</f>
        <v>75</v>
      </c>
      <c r="F402" s="643">
        <f>IF(初期登録!$B$10*12+初期登録!$D$10&lt;$A402,NA(),[3]各月DI数値!$AA292)</f>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c r="U402" s="34">
        <f>D:D-[3]各月DI数値!J292</f>
        <v>0</v>
      </c>
      <c r="V402" s="34">
        <f>E:E-[3]各月DI数値!S292</f>
        <v>0</v>
      </c>
      <c r="W402" s="34">
        <f>F:F-[3]各月DI数値!AA292</f>
        <v>0</v>
      </c>
    </row>
    <row r="403" spans="1:23" ht="15" customHeight="1">
      <c r="A403" s="117"/>
      <c r="B403" s="185"/>
      <c r="C403" s="174">
        <f>IF(初期登録!$B$10*12+初期登録!$D$10&lt;$A403,"",3)</f>
        <v>3</v>
      </c>
      <c r="D403" s="642">
        <f>IF(初期登録!$B$10*12+初期登録!$D$10&lt;$A403,NA(),[3]各月DI数値!$J293)</f>
        <v>71.428571428571431</v>
      </c>
      <c r="E403" s="88">
        <f>IF(初期登録!$B$10*12+初期登録!$D$10&lt;$A403,NA(),[3]各月DI数値!$S293)</f>
        <v>75</v>
      </c>
      <c r="F403" s="643">
        <f>IF(初期登録!$B$10*12+初期登録!$D$10&lt;$A403,NA(),[3]各月DI数値!$AA293)</f>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c r="U403" s="34">
        <f>D:D-[3]各月DI数値!J293</f>
        <v>0</v>
      </c>
      <c r="V403" s="34">
        <f>E:E-[3]各月DI数値!S293</f>
        <v>0</v>
      </c>
      <c r="W403" s="34">
        <f>F:F-[3]各月DI数値!AA293</f>
        <v>0</v>
      </c>
    </row>
    <row r="404" spans="1:23" ht="15" customHeight="1">
      <c r="A404" s="117"/>
      <c r="B404" s="185"/>
      <c r="C404" s="174">
        <f>IF(初期登録!$B$10*12+初期登録!$D$10&lt;$A404,"",4)</f>
        <v>4</v>
      </c>
      <c r="D404" s="642">
        <f>IF(初期登録!$B$10*12+初期登録!$D$10&lt;$A404,NA(),[3]各月DI数値!$J294)</f>
        <v>85.714285714285708</v>
      </c>
      <c r="E404" s="88">
        <f>IF(初期登録!$B$10*12+初期登録!$D$10&lt;$A404,NA(),[3]各月DI数値!$S294)</f>
        <v>75</v>
      </c>
      <c r="F404" s="643">
        <f>IF(初期登録!$B$10*12+初期登録!$D$10&lt;$A404,NA(),[3]各月DI数値!$AA294)</f>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c r="U404" s="34">
        <f>D:D-[3]各月DI数値!J294</f>
        <v>0</v>
      </c>
      <c r="V404" s="34">
        <f>E:E-[3]各月DI数値!S294</f>
        <v>0</v>
      </c>
      <c r="W404" s="34">
        <f>F:F-[3]各月DI数値!AA294</f>
        <v>0</v>
      </c>
    </row>
    <row r="405" spans="1:23" ht="15" customHeight="1">
      <c r="A405" s="117"/>
      <c r="B405" s="185"/>
      <c r="C405" s="174">
        <f>IF(初期登録!$B$10*12+初期登録!$D$10&lt;$A405,"",5)</f>
        <v>5</v>
      </c>
      <c r="D405" s="642">
        <f>IF(初期登録!$B$10*12+初期登録!$D$10&lt;$A405,NA(),[3]各月DI数値!$J295)</f>
        <v>100</v>
      </c>
      <c r="E405" s="88">
        <f>IF(初期登録!$B$10*12+初期登録!$D$10&lt;$A405,NA(),[3]各月DI数値!$S295)</f>
        <v>75</v>
      </c>
      <c r="F405" s="643">
        <f>IF(初期登録!$B$10*12+初期登録!$D$10&lt;$A405,NA(),[3]各月DI数値!$AA295)</f>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c r="U405" s="34">
        <f>D:D-[3]各月DI数値!J295</f>
        <v>0</v>
      </c>
      <c r="V405" s="34">
        <f>E:E-[3]各月DI数値!S295</f>
        <v>0</v>
      </c>
      <c r="W405" s="34">
        <f>F:F-[3]各月DI数値!AA295</f>
        <v>0</v>
      </c>
    </row>
    <row r="406" spans="1:23" ht="15" customHeight="1">
      <c r="A406" s="117"/>
      <c r="B406" s="185"/>
      <c r="C406" s="174">
        <f>IF(初期登録!$B$10*12+初期登録!$D$10&lt;$A406,"",6)</f>
        <v>6</v>
      </c>
      <c r="D406" s="642">
        <f>IF(初期登録!$B$10*12+初期登録!$D$10&lt;$A406,NA(),[3]各月DI数値!$J296)</f>
        <v>57.142857142857146</v>
      </c>
      <c r="E406" s="88">
        <f>IF(初期登録!$B$10*12+初期登録!$D$10&lt;$A406,NA(),[3]各月DI数値!$S296)</f>
        <v>37.5</v>
      </c>
      <c r="F406" s="643">
        <f>IF(初期登録!$B$10*12+初期登録!$D$10&lt;$A406,NA(),[3]各月DI数値!$AA296)</f>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c r="U406" s="34">
        <f>D:D-[3]各月DI数値!J296</f>
        <v>0</v>
      </c>
      <c r="V406" s="34">
        <f>E:E-[3]各月DI数値!S296</f>
        <v>0</v>
      </c>
      <c r="W406" s="34">
        <f>F:F-[3]各月DI数値!AA296</f>
        <v>0</v>
      </c>
    </row>
    <row r="407" spans="1:23" ht="15" customHeight="1">
      <c r="A407" s="117"/>
      <c r="B407" s="185"/>
      <c r="C407" s="174">
        <f>IF(初期登録!$B$10*12+初期登録!$D$10&lt;$A407,"",7)</f>
        <v>7</v>
      </c>
      <c r="D407" s="642">
        <f>IF(初期登録!$B$10*12+初期登録!$D$10&lt;$A407,NA(),[3]各月DI数値!$J297)</f>
        <v>71.428571428571431</v>
      </c>
      <c r="E407" s="88">
        <f>IF(初期登録!$B$10*12+初期登録!$D$10&lt;$A407,NA(),[3]各月DI数値!$S297)</f>
        <v>62.5</v>
      </c>
      <c r="F407" s="643">
        <f>IF(初期登録!$B$10*12+初期登録!$D$10&lt;$A407,NA(),[3]各月DI数値!$AA297)</f>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c r="U407" s="34">
        <f>D:D-[3]各月DI数値!J297</f>
        <v>0</v>
      </c>
      <c r="V407" s="34">
        <f>E:E-[3]各月DI数値!S297</f>
        <v>0</v>
      </c>
      <c r="W407" s="34">
        <f>F:F-[3]各月DI数値!AA297</f>
        <v>0</v>
      </c>
    </row>
    <row r="408" spans="1:23" ht="15" customHeight="1">
      <c r="A408" s="117"/>
      <c r="B408" s="185"/>
      <c r="C408" s="174">
        <f>IF(初期登録!$B$10*12+初期登録!$D$10&lt;$A408,"",8)</f>
        <v>8</v>
      </c>
      <c r="D408" s="642">
        <f>IF(初期登録!$B$10*12+初期登録!$D$10&lt;$A408,NA(),[3]各月DI数値!$J298)</f>
        <v>64.285714285714292</v>
      </c>
      <c r="E408" s="88">
        <f>IF(初期登録!$B$10*12+初期登録!$D$10&lt;$A408,NA(),[3]各月DI数値!$S298)</f>
        <v>25</v>
      </c>
      <c r="F408" s="643">
        <f>IF(初期登録!$B$10*12+初期登録!$D$10&lt;$A408,NA(),[3]各月DI数値!$AA298)</f>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c r="U408" s="34">
        <f>D:D-[3]各月DI数値!J298</f>
        <v>0</v>
      </c>
      <c r="V408" s="34">
        <f>E:E-[3]各月DI数値!S298</f>
        <v>0</v>
      </c>
      <c r="W408" s="34">
        <f>F:F-[3]各月DI数値!AA298</f>
        <v>0</v>
      </c>
    </row>
    <row r="409" spans="1:23" ht="15" customHeight="1">
      <c r="A409" s="117"/>
      <c r="B409" s="185"/>
      <c r="C409" s="174">
        <f>IF(初期登録!$B$10*12+初期登録!$D$10&lt;$A409,"",9)</f>
        <v>9</v>
      </c>
      <c r="D409" s="642">
        <f>IF(初期登録!$B$10*12+初期登録!$D$10&lt;$A409,NA(),[3]各月DI数値!$J299)</f>
        <v>28.571428571428573</v>
      </c>
      <c r="E409" s="88">
        <f>IF(初期登録!$B$10*12+初期登録!$D$10&lt;$A409,NA(),[3]各月DI数値!$S299)</f>
        <v>37.5</v>
      </c>
      <c r="F409" s="643">
        <f>IF(初期登録!$B$10*12+初期登録!$D$10&lt;$A409,NA(),[3]各月DI数値!$AA299)</f>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c r="U409" s="34">
        <f>D:D-[3]各月DI数値!J299</f>
        <v>0</v>
      </c>
      <c r="V409" s="34">
        <f>E:E-[3]各月DI数値!S299</f>
        <v>0</v>
      </c>
      <c r="W409" s="34">
        <f>F:F-[3]各月DI数値!AA299</f>
        <v>0</v>
      </c>
    </row>
    <row r="410" spans="1:23" ht="15" customHeight="1">
      <c r="A410" s="117"/>
      <c r="B410" s="185"/>
      <c r="C410" s="174">
        <f>IF(初期登録!$B$10*12+初期登録!$D$10&lt;$A410,"",10)</f>
        <v>10</v>
      </c>
      <c r="D410" s="642">
        <f>IF(初期登録!$B$10*12+初期登録!$D$10&lt;$A410,NA(),[3]各月DI数値!$J300)</f>
        <v>35.714285714285715</v>
      </c>
      <c r="E410" s="88">
        <f>IF(初期登録!$B$10*12+初期登録!$D$10&lt;$A410,NA(),[3]各月DI数値!$S300)</f>
        <v>12.5</v>
      </c>
      <c r="F410" s="643">
        <f>IF(初期登録!$B$10*12+初期登録!$D$10&lt;$A410,NA(),[3]各月DI数値!$AA300)</f>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c r="U410" s="34">
        <f>D:D-[3]各月DI数値!J300</f>
        <v>0</v>
      </c>
      <c r="V410" s="34">
        <f>E:E-[3]各月DI数値!S300</f>
        <v>0</v>
      </c>
      <c r="W410" s="34">
        <f>F:F-[3]各月DI数値!AA300</f>
        <v>0</v>
      </c>
    </row>
    <row r="411" spans="1:23" ht="15" customHeight="1">
      <c r="A411" s="117"/>
      <c r="B411" s="185"/>
      <c r="C411" s="174">
        <f>IF(初期登録!$B$10*12+初期登録!$D$10&lt;$A411,"",11)</f>
        <v>11</v>
      </c>
      <c r="D411" s="642">
        <f>IF(初期登録!$B$10*12+初期登録!$D$10&lt;$A411,NA(),[3]各月DI数値!$J301)</f>
        <v>42.857142857142854</v>
      </c>
      <c r="E411" s="88">
        <f>IF(初期登録!$B$10*12+初期登録!$D$10&lt;$A411,NA(),[3]各月DI数値!$S301)</f>
        <v>12.5</v>
      </c>
      <c r="F411" s="643">
        <f>IF(初期登録!$B$10*12+初期登録!$D$10&lt;$A411,NA(),[3]各月DI数値!$AA301)</f>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c r="U411" s="34">
        <f>D:D-[3]各月DI数値!J301</f>
        <v>0</v>
      </c>
      <c r="V411" s="34">
        <f>E:E-[3]各月DI数値!S301</f>
        <v>0</v>
      </c>
      <c r="W411" s="34">
        <f>F:F-[3]各月DI数値!AA301</f>
        <v>0</v>
      </c>
    </row>
    <row r="412" spans="1:23" ht="15" customHeight="1">
      <c r="A412" s="181"/>
      <c r="B412" s="186"/>
      <c r="C412" s="175">
        <f>IF(初期登録!$B$10*12+初期登録!$D$10&lt;$A412,"",12)</f>
        <v>12</v>
      </c>
      <c r="D412" s="1037">
        <f>IF(初期登録!$B$10*12+初期登録!$D$10&lt;$A412,NA(),[3]各月DI数値!$J302)</f>
        <v>14.285714285714286</v>
      </c>
      <c r="E412" s="1038">
        <f>IF(初期登録!$B$10*12+初期登録!$D$10&lt;$A412,NA(),[3]各月DI数値!$S302)</f>
        <v>37.5</v>
      </c>
      <c r="F412" s="1039">
        <f>IF(初期登録!$B$10*12+初期登録!$D$10&lt;$A412,NA(),[3]各月DI数値!$AA302)</f>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c r="U412" s="34">
        <f>D:D-[3]各月DI数値!J302</f>
        <v>0</v>
      </c>
      <c r="V412" s="34">
        <f>E:E-[3]各月DI数値!S302</f>
        <v>0</v>
      </c>
      <c r="W412" s="34">
        <f>F:F-[3]各月DI数値!AA302</f>
        <v>0</v>
      </c>
    </row>
    <row r="413" spans="1:23" ht="15" customHeight="1">
      <c r="A413" s="180"/>
      <c r="B413" s="184">
        <v>25</v>
      </c>
      <c r="C413" s="178">
        <f>IF(初期登録!$B$10*12+初期登録!$D$10&lt;$A413,"",1)</f>
        <v>1</v>
      </c>
      <c r="D413" s="1041">
        <f>IF(初期登録!$B$10*12+初期登録!$D$10&lt;$A413,NA(),[3]各月DI数値!$J303)</f>
        <v>42.857142857142854</v>
      </c>
      <c r="E413" s="1042">
        <f>IF(初期登録!$B$10*12+初期登録!$D$10&lt;$A413,NA(),[3]各月DI数値!$S303)</f>
        <v>50</v>
      </c>
      <c r="F413" s="1043">
        <f>IF(初期登録!$B$10*12+初期登録!$D$10&lt;$A413,NA(),[3]各月DI数値!$AA303)</f>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c r="U413" s="34">
        <f>D:D-[3]各月DI数値!J303</f>
        <v>0</v>
      </c>
      <c r="V413" s="34">
        <f>E:E-[3]各月DI数値!S303</f>
        <v>0</v>
      </c>
      <c r="W413" s="34">
        <f>F:F-[3]各月DI数値!AA303</f>
        <v>0</v>
      </c>
    </row>
    <row r="414" spans="1:23" ht="15" customHeight="1">
      <c r="A414" s="117"/>
      <c r="B414" s="185"/>
      <c r="C414" s="174">
        <f>IF(初期登録!$B$10*12+初期登録!$D$10&lt;$A414,"",2)</f>
        <v>2</v>
      </c>
      <c r="D414" s="642">
        <f>IF(初期登録!$B$10*12+初期登録!$D$10&lt;$A414,NA(),[3]各月DI数値!$J304)</f>
        <v>57.142857142857146</v>
      </c>
      <c r="E414" s="88">
        <f>IF(初期登録!$B$10*12+初期登録!$D$10&lt;$A414,NA(),[3]各月DI数値!$S304)</f>
        <v>50</v>
      </c>
      <c r="F414" s="643">
        <f>IF(初期登録!$B$10*12+初期登録!$D$10&lt;$A414,NA(),[3]各月DI数値!$AA304)</f>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c r="U414" s="34">
        <f>D:D-[3]各月DI数値!J304</f>
        <v>0</v>
      </c>
      <c r="V414" s="34">
        <f>E:E-[3]各月DI数値!S304</f>
        <v>0</v>
      </c>
      <c r="W414" s="34">
        <f>F:F-[3]各月DI数値!AA304</f>
        <v>0</v>
      </c>
    </row>
    <row r="415" spans="1:23" ht="15" customHeight="1">
      <c r="A415" s="117"/>
      <c r="B415" s="185"/>
      <c r="C415" s="174">
        <f>IF(初期登録!$B$10*12+初期登録!$D$10&lt;$A415,"",3)</f>
        <v>3</v>
      </c>
      <c r="D415" s="642">
        <f>IF(初期登録!$B$10*12+初期登録!$D$10&lt;$A415,NA(),[3]各月DI数値!$J305)</f>
        <v>57.142857142857146</v>
      </c>
      <c r="E415" s="88">
        <f>IF(初期登録!$B$10*12+初期登録!$D$10&lt;$A415,NA(),[3]各月DI数値!$S305)</f>
        <v>62.5</v>
      </c>
      <c r="F415" s="643">
        <f>IF(初期登録!$B$10*12+初期登録!$D$10&lt;$A415,NA(),[3]各月DI数値!$AA305)</f>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c r="U415" s="34">
        <f>D:D-[3]各月DI数値!J305</f>
        <v>0</v>
      </c>
      <c r="V415" s="34">
        <f>E:E-[3]各月DI数値!S305</f>
        <v>0</v>
      </c>
      <c r="W415" s="34">
        <f>F:F-[3]各月DI数値!AA305</f>
        <v>0</v>
      </c>
    </row>
    <row r="416" spans="1:23" ht="15" customHeight="1">
      <c r="A416" s="117"/>
      <c r="B416" s="185"/>
      <c r="C416" s="174">
        <f>IF(初期登録!$B$10*12+初期登録!$D$10&lt;$A416,"",4)</f>
        <v>4</v>
      </c>
      <c r="D416" s="642">
        <f>IF(初期登録!$B$10*12+初期登録!$D$10&lt;$A416,NA(),[3]各月DI数値!$J306)</f>
        <v>28.571428571428573</v>
      </c>
      <c r="E416" s="88">
        <f>IF(初期登録!$B$10*12+初期登録!$D$10&lt;$A416,NA(),[3]各月DI数値!$S306)</f>
        <v>62.5</v>
      </c>
      <c r="F416" s="643">
        <f>IF(初期登録!$B$10*12+初期登録!$D$10&lt;$A416,NA(),[3]各月DI数値!$AA306)</f>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c r="U416" s="34">
        <f>D:D-[3]各月DI数値!J306</f>
        <v>0</v>
      </c>
      <c r="V416" s="34">
        <f>E:E-[3]各月DI数値!S306</f>
        <v>0</v>
      </c>
      <c r="W416" s="34">
        <f>F:F-[3]各月DI数値!AA306</f>
        <v>0</v>
      </c>
    </row>
    <row r="417" spans="1:23" ht="15" customHeight="1">
      <c r="A417" s="117"/>
      <c r="B417" s="185"/>
      <c r="C417" s="174">
        <f>IF(初期登録!$B$10*12+初期登録!$D$10&lt;$A417,"",5)</f>
        <v>5</v>
      </c>
      <c r="D417" s="642">
        <f>IF(初期登録!$B$10*12+初期登録!$D$10&lt;$A417,NA(),[3]各月DI数値!$J307)</f>
        <v>71.428571428571431</v>
      </c>
      <c r="E417" s="88">
        <f>IF(初期登録!$B$10*12+初期登録!$D$10&lt;$A417,NA(),[3]各月DI数値!$S307)</f>
        <v>50</v>
      </c>
      <c r="F417" s="643">
        <f>IF(初期登録!$B$10*12+初期登録!$D$10&lt;$A417,NA(),[3]各月DI数値!$AA307)</f>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c r="U417" s="34">
        <f>D:D-[3]各月DI数値!J307</f>
        <v>0</v>
      </c>
      <c r="V417" s="34">
        <f>E:E-[3]各月DI数値!S307</f>
        <v>0</v>
      </c>
      <c r="W417" s="34">
        <f>F:F-[3]各月DI数値!AA307</f>
        <v>0</v>
      </c>
    </row>
    <row r="418" spans="1:23" ht="15" customHeight="1">
      <c r="A418" s="117"/>
      <c r="B418" s="185"/>
      <c r="C418" s="174">
        <f>IF(初期登録!$B$10*12+初期登録!$D$10&lt;$A418,"",6)</f>
        <v>6</v>
      </c>
      <c r="D418" s="642">
        <f>IF(初期登録!$B$10*12+初期登録!$D$10&lt;$A418,NA(),[3]各月DI数値!$J308)</f>
        <v>57.142857142857146</v>
      </c>
      <c r="E418" s="88">
        <f>IF(初期登録!$B$10*12+初期登録!$D$10&lt;$A418,NA(),[3]各月DI数値!$S308)</f>
        <v>62.5</v>
      </c>
      <c r="F418" s="643">
        <f>IF(初期登録!$B$10*12+初期登録!$D$10&lt;$A418,NA(),[3]各月DI数値!$AA308)</f>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c r="U418" s="34">
        <f>D:D-[3]各月DI数値!J308</f>
        <v>0</v>
      </c>
      <c r="V418" s="34">
        <f>E:E-[3]各月DI数値!S308</f>
        <v>0</v>
      </c>
      <c r="W418" s="34">
        <f>F:F-[3]各月DI数値!AA308</f>
        <v>0</v>
      </c>
    </row>
    <row r="419" spans="1:23" ht="15" customHeight="1">
      <c r="A419" s="117"/>
      <c r="B419" s="185"/>
      <c r="C419" s="174">
        <f>IF(初期登録!$B$10*12+初期登録!$D$10&lt;$A419,"",7)</f>
        <v>7</v>
      </c>
      <c r="D419" s="642">
        <f>IF(初期登録!$B$10*12+初期登録!$D$10&lt;$A419,NA(),[3]各月DI数値!$J309)</f>
        <v>35.714285714285715</v>
      </c>
      <c r="E419" s="88">
        <f>IF(初期登録!$B$10*12+初期登録!$D$10&lt;$A419,NA(),[3]各月DI数値!$S309)</f>
        <v>75</v>
      </c>
      <c r="F419" s="643">
        <f>IF(初期登録!$B$10*12+初期登録!$D$10&lt;$A419,NA(),[3]各月DI数値!$AA309)</f>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c r="U419" s="34">
        <f>D:D-[3]各月DI数値!J309</f>
        <v>0</v>
      </c>
      <c r="V419" s="34">
        <f>E:E-[3]各月DI数値!S309</f>
        <v>0</v>
      </c>
      <c r="W419" s="34">
        <f>F:F-[3]各月DI数値!AA309</f>
        <v>0</v>
      </c>
    </row>
    <row r="420" spans="1:23" ht="15" customHeight="1">
      <c r="A420" s="117"/>
      <c r="B420" s="185"/>
      <c r="C420" s="174">
        <f>IF(初期登録!$B$10*12+初期登録!$D$10&lt;$A420,"",8)</f>
        <v>8</v>
      </c>
      <c r="D420" s="642">
        <f>IF(初期登録!$B$10*12+初期登録!$D$10&lt;$A420,NA(),[3]各月DI数値!$J310)</f>
        <v>57.142857142857146</v>
      </c>
      <c r="E420" s="88">
        <f>IF(初期登録!$B$10*12+初期登録!$D$10&lt;$A420,NA(),[3]各月DI数値!$S310)</f>
        <v>50</v>
      </c>
      <c r="F420" s="643">
        <f>IF(初期登録!$B$10*12+初期登録!$D$10&lt;$A420,NA(),[3]各月DI数値!$AA310)</f>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c r="U420" s="34">
        <f>D:D-[3]各月DI数値!J310</f>
        <v>0</v>
      </c>
      <c r="V420" s="34">
        <f>E:E-[3]各月DI数値!S310</f>
        <v>0</v>
      </c>
      <c r="W420" s="34">
        <f>F:F-[3]各月DI数値!AA310</f>
        <v>0</v>
      </c>
    </row>
    <row r="421" spans="1:23" ht="15" customHeight="1">
      <c r="A421" s="117"/>
      <c r="B421" s="185"/>
      <c r="C421" s="174">
        <f>IF(初期登録!$B$10*12+初期登録!$D$10&lt;$A421,"",9)</f>
        <v>9</v>
      </c>
      <c r="D421" s="642">
        <f>IF(初期登録!$B$10*12+初期登録!$D$10&lt;$A421,NA(),[3]各月DI数値!$J311)</f>
        <v>78.571428571428569</v>
      </c>
      <c r="E421" s="88">
        <f>IF(初期登録!$B$10*12+初期登録!$D$10&lt;$A421,NA(),[3]各月DI数値!$S311)</f>
        <v>100</v>
      </c>
      <c r="F421" s="643">
        <f>IF(初期登録!$B$10*12+初期登録!$D$10&lt;$A421,NA(),[3]各月DI数値!$AA311)</f>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c r="U421" s="34">
        <f>D:D-[3]各月DI数値!J311</f>
        <v>0</v>
      </c>
      <c r="V421" s="34">
        <f>E:E-[3]各月DI数値!S311</f>
        <v>0</v>
      </c>
      <c r="W421" s="34">
        <f>F:F-[3]各月DI数値!AA311</f>
        <v>0</v>
      </c>
    </row>
    <row r="422" spans="1:23" ht="15" customHeight="1">
      <c r="A422" s="117"/>
      <c r="B422" s="185"/>
      <c r="C422" s="174">
        <f>IF(初期登録!$B$10*12+初期登録!$D$10&lt;$A422,"",10)</f>
        <v>10</v>
      </c>
      <c r="D422" s="642">
        <f>IF(初期登録!$B$10*12+初期登録!$D$10&lt;$A422,NA(),[3]各月DI数値!$J312)</f>
        <v>42.857142857142854</v>
      </c>
      <c r="E422" s="88">
        <f>IF(初期登録!$B$10*12+初期登録!$D$10&lt;$A422,NA(),[3]各月DI数値!$S312)</f>
        <v>75</v>
      </c>
      <c r="F422" s="643">
        <f>IF(初期登録!$B$10*12+初期登録!$D$10&lt;$A422,NA(),[3]各月DI数値!$AA312)</f>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c r="U422" s="34">
        <f>D:D-[3]各月DI数値!J312</f>
        <v>0</v>
      </c>
      <c r="V422" s="34">
        <f>E:E-[3]各月DI数値!S312</f>
        <v>0</v>
      </c>
      <c r="W422" s="34">
        <f>F:F-[3]各月DI数値!AA312</f>
        <v>0</v>
      </c>
    </row>
    <row r="423" spans="1:23" ht="15" customHeight="1">
      <c r="A423" s="117"/>
      <c r="B423" s="185"/>
      <c r="C423" s="174">
        <f>IF(初期登録!$B$10*12+初期登録!$D$10&lt;$A423,"",11)</f>
        <v>11</v>
      </c>
      <c r="D423" s="642">
        <f>IF(初期登録!$B$10*12+初期登録!$D$10&lt;$A423,NA(),[3]各月DI数値!$J313)</f>
        <v>57.142857142857146</v>
      </c>
      <c r="E423" s="88">
        <f>IF(初期登録!$B$10*12+初期登録!$D$10&lt;$A423,NA(),[3]各月DI数値!$S313)</f>
        <v>62.5</v>
      </c>
      <c r="F423" s="643">
        <f>IF(初期登録!$B$10*12+初期登録!$D$10&lt;$A423,NA(),[3]各月DI数値!$AA313)</f>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c r="U423" s="34">
        <f>D:D-[3]各月DI数値!J313</f>
        <v>0</v>
      </c>
      <c r="V423" s="34">
        <f>E:E-[3]各月DI数値!S313</f>
        <v>0</v>
      </c>
      <c r="W423" s="34">
        <f>F:F-[3]各月DI数値!AA313</f>
        <v>0</v>
      </c>
    </row>
    <row r="424" spans="1:23" ht="15" customHeight="1">
      <c r="A424" s="117"/>
      <c r="B424" s="186"/>
      <c r="C424" s="175">
        <f>IF(初期登録!$B$10*12+初期登録!$D$10&lt;$A424,"",12)</f>
        <v>12</v>
      </c>
      <c r="D424" s="644">
        <f>IF(初期登録!$B$10*12+初期登録!$D$10&lt;$A424,NA(),[3]各月DI数値!$J314)</f>
        <v>57.142857142857146</v>
      </c>
      <c r="E424" s="92">
        <f>IF(初期登録!$B$10*12+初期登録!$D$10&lt;$A424,NA(),[3]各月DI数値!$S314)</f>
        <v>62.5</v>
      </c>
      <c r="F424" s="93">
        <f>IF(初期登録!$B$10*12+初期登録!$D$10&lt;$A424,NA(),[3]各月DI数値!$AA314)</f>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c r="U424" s="34">
        <f>D:D-[3]各月DI数値!J314</f>
        <v>0</v>
      </c>
      <c r="V424" s="34">
        <f>E:E-[3]各月DI数値!S314</f>
        <v>0</v>
      </c>
      <c r="W424" s="34">
        <f>F:F-[3]各月DI数値!AA314</f>
        <v>0</v>
      </c>
    </row>
    <row r="425" spans="1:23" ht="15" customHeight="1">
      <c r="A425" s="180"/>
      <c r="B425" s="1126">
        <v>26</v>
      </c>
      <c r="C425" s="1127">
        <f>IF(初期登録!$B$10*12+初期登録!$D$10&lt;$A425,"",1)</f>
        <v>1</v>
      </c>
      <c r="D425" s="1119">
        <f>IF(初期登録!$B$10*12+初期登録!$D$10&lt;$A425,NA(),[3]各月DI数値!$J315)</f>
        <v>42.857142857142854</v>
      </c>
      <c r="E425" s="1120">
        <f>IF(初期登録!$B$10*12+初期登録!$D$10&lt;$A425,NA(),[3]各月DI数値!$S315)</f>
        <v>62.5</v>
      </c>
      <c r="F425" s="1121">
        <f>IF(初期登録!$B$10*12+初期登録!$D$10&lt;$A425,NA(),[3]各月DI数値!$AA315)</f>
        <v>71.428571428571431</v>
      </c>
      <c r="G425" s="1122">
        <f t="shared" si="46"/>
        <v>450.71428571428606</v>
      </c>
      <c r="H425" s="1123">
        <f t="shared" si="47"/>
        <v>1231.25</v>
      </c>
      <c r="I425" s="1124">
        <f t="shared" si="48"/>
        <v>532.04761904761949</v>
      </c>
      <c r="J425" s="1125">
        <f t="shared" si="44"/>
        <v>2450.7142857142862</v>
      </c>
      <c r="K425" s="1123">
        <f t="shared" si="49"/>
        <v>1231.25</v>
      </c>
      <c r="L425" s="632">
        <f t="shared" si="45"/>
        <v>32.047619047619492</v>
      </c>
      <c r="M425" s="188">
        <v>2014</v>
      </c>
      <c r="N425" s="171">
        <f>IF(C412="",NA(),50)</f>
        <v>50</v>
      </c>
      <c r="O425" s="134"/>
      <c r="P425" s="134">
        <f>IF(C412="",NA(),0)</f>
        <v>0</v>
      </c>
      <c r="Q425" s="159"/>
      <c r="U425" s="34">
        <f>D:D-[3]各月DI数値!J315</f>
        <v>0</v>
      </c>
      <c r="V425" s="34">
        <f>E:E-[3]各月DI数値!S315</f>
        <v>0</v>
      </c>
      <c r="W425" s="34">
        <f>F:F-[3]各月DI数値!AA315</f>
        <v>0</v>
      </c>
    </row>
    <row r="426" spans="1:23" ht="15" customHeight="1">
      <c r="A426" s="117"/>
      <c r="B426" s="185"/>
      <c r="C426" s="174">
        <f>IF(初期登録!$B$10*12+初期登録!$D$10&lt;$A426,"",2)</f>
        <v>2</v>
      </c>
      <c r="D426" s="642">
        <f>IF(初期登録!$B$10*12+初期登録!$D$10&lt;$A426,NA(),[3]各月DI数値!$J316)</f>
        <v>35.714285714285715</v>
      </c>
      <c r="E426" s="88">
        <f>IF(初期登録!$B$10*12+初期登録!$D$10&lt;$A426,NA(),[3]各月DI数値!$S316)</f>
        <v>75</v>
      </c>
      <c r="F426" s="643">
        <f>IF(初期登録!$B$10*12+初期登録!$D$10&lt;$A426,NA(),[3]各月DI数値!$AA316)</f>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c r="U426" s="34">
        <f>D:D-[3]各月DI数値!J316</f>
        <v>0</v>
      </c>
      <c r="V426" s="34">
        <f>E:E-[3]各月DI数値!S316</f>
        <v>0</v>
      </c>
      <c r="W426" s="34">
        <f>F:F-[3]各月DI数値!AA316</f>
        <v>0</v>
      </c>
    </row>
    <row r="427" spans="1:23" ht="15" customHeight="1">
      <c r="A427" s="117"/>
      <c r="B427" s="185"/>
      <c r="C427" s="174">
        <f>IF(初期登録!$B$10*12+初期登録!$D$10&lt;$A427,"",3)</f>
        <v>3</v>
      </c>
      <c r="D427" s="642">
        <f>IF(初期登録!$B$10*12+初期登録!$D$10&lt;$A427,NA(),[3]各月DI数値!$J317)</f>
        <v>35.714285714285715</v>
      </c>
      <c r="E427" s="88">
        <f>IF(初期登録!$B$10*12+初期登録!$D$10&lt;$A427,NA(),[3]各月DI数値!$S317)</f>
        <v>50</v>
      </c>
      <c r="F427" s="643">
        <f>IF(初期登録!$B$10*12+初期登録!$D$10&lt;$A427,NA(),[3]各月DI数値!$AA317)</f>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c r="U427" s="34">
        <f>D:D-[3]各月DI数値!J317</f>
        <v>0</v>
      </c>
      <c r="V427" s="34">
        <f>E:E-[3]各月DI数値!S317</f>
        <v>0</v>
      </c>
      <c r="W427" s="34">
        <f>F:F-[3]各月DI数値!AA317</f>
        <v>0</v>
      </c>
    </row>
    <row r="428" spans="1:23" ht="15" customHeight="1">
      <c r="A428" s="117"/>
      <c r="B428" s="185"/>
      <c r="C428" s="174">
        <f>IF(初期登録!$B$10*12+初期登録!$D$10&lt;$A428,"",4)</f>
        <v>4</v>
      </c>
      <c r="D428" s="642">
        <f>IF(初期登録!$B$10*12+初期登録!$D$10&lt;$A428,NA(),[3]各月DI数値!$J318)</f>
        <v>21.428571428571427</v>
      </c>
      <c r="E428" s="88">
        <f>IF(初期登録!$B$10*12+初期登録!$D$10&lt;$A428,NA(),[3]各月DI数値!$S318)</f>
        <v>37.5</v>
      </c>
      <c r="F428" s="643">
        <f>IF(初期登録!$B$10*12+初期登録!$D$10&lt;$A428,NA(),[3]各月DI数値!$AA318)</f>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c r="U428" s="34">
        <f>D:D-[3]各月DI数値!J318</f>
        <v>0</v>
      </c>
      <c r="V428" s="34">
        <f>E:E-[3]各月DI数値!S318</f>
        <v>0</v>
      </c>
      <c r="W428" s="34">
        <f>F:F-[3]各月DI数値!AA318</f>
        <v>0</v>
      </c>
    </row>
    <row r="429" spans="1:23" ht="15" customHeight="1">
      <c r="A429" s="117"/>
      <c r="B429" s="185"/>
      <c r="C429" s="174">
        <f>IF(初期登録!$B$10*12+初期登録!$D$10&lt;$A429,"",5)</f>
        <v>5</v>
      </c>
      <c r="D429" s="642">
        <f>IF(初期登録!$B$10*12+初期登録!$D$10&lt;$A429,NA(),[3]各月DI数値!$J319)</f>
        <v>28.571428571428573</v>
      </c>
      <c r="E429" s="88">
        <f>IF(初期登録!$B$10*12+初期登録!$D$10&lt;$A429,NA(),[3]各月DI数値!$S319)</f>
        <v>43.75</v>
      </c>
      <c r="F429" s="643">
        <f>IF(初期登録!$B$10*12+初期登録!$D$10&lt;$A429,NA(),[3]各月DI数値!$AA319)</f>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c r="U429" s="34">
        <f>D:D-[3]各月DI数値!J319</f>
        <v>0</v>
      </c>
      <c r="V429" s="34">
        <f>E:E-[3]各月DI数値!S319</f>
        <v>0</v>
      </c>
      <c r="W429" s="34">
        <f>F:F-[3]各月DI数値!AA319</f>
        <v>0</v>
      </c>
    </row>
    <row r="430" spans="1:23" ht="15" customHeight="1">
      <c r="A430" s="117"/>
      <c r="B430" s="185"/>
      <c r="C430" s="174">
        <f>IF(初期登録!$B$10*12+初期登録!$D$10&lt;$A430,"",6)</f>
        <v>6</v>
      </c>
      <c r="D430" s="642">
        <f>IF(初期登録!$B$10*12+初期登録!$D$10&lt;$A430,NA(),[3]各月DI数値!$J320)</f>
        <v>28.571428571428573</v>
      </c>
      <c r="E430" s="88">
        <f>IF(初期登録!$B$10*12+初期登録!$D$10&lt;$A430,NA(),[3]各月DI数値!$S320)</f>
        <v>75</v>
      </c>
      <c r="F430" s="643">
        <f>IF(初期登録!$B$10*12+初期登録!$D$10&lt;$A430,NA(),[3]各月DI数値!$AA320)</f>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c r="U430" s="34">
        <f>D:D-[3]各月DI数値!J320</f>
        <v>0</v>
      </c>
      <c r="V430" s="34">
        <f>E:E-[3]各月DI数値!S320</f>
        <v>0</v>
      </c>
      <c r="W430" s="34">
        <f>F:F-[3]各月DI数値!AA320</f>
        <v>0</v>
      </c>
    </row>
    <row r="431" spans="1:23" ht="15" customHeight="1">
      <c r="A431" s="117"/>
      <c r="B431" s="185"/>
      <c r="C431" s="174">
        <f>IF(初期登録!$B$10*12+初期登録!$D$10&lt;$A431,"",7)</f>
        <v>7</v>
      </c>
      <c r="D431" s="642">
        <f>IF(初期登録!$B$10*12+初期登録!$D$10&lt;$A431,NA(),[3]各月DI数値!$J321)</f>
        <v>14.285714285714286</v>
      </c>
      <c r="E431" s="88">
        <f>IF(初期登録!$B$10*12+初期登録!$D$10&lt;$A431,NA(),[3]各月DI数値!$S321)</f>
        <v>37.5</v>
      </c>
      <c r="F431" s="643">
        <f>IF(初期登録!$B$10*12+初期登録!$D$10&lt;$A431,NA(),[3]各月DI数値!$AA321)</f>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c r="U431" s="34">
        <f>D:D-[3]各月DI数値!J321</f>
        <v>0</v>
      </c>
      <c r="V431" s="34">
        <f>E:E-[3]各月DI数値!S321</f>
        <v>0</v>
      </c>
      <c r="W431" s="34">
        <f>F:F-[3]各月DI数値!AA321</f>
        <v>0</v>
      </c>
    </row>
    <row r="432" spans="1:23" ht="15" customHeight="1">
      <c r="A432" s="117"/>
      <c r="B432" s="185"/>
      <c r="C432" s="174">
        <f>IF(初期登録!$B$10*12+初期登録!$D$10&lt;$A432,"",8)</f>
        <v>8</v>
      </c>
      <c r="D432" s="642">
        <f>IF(初期登録!$B$10*12+初期登録!$D$10&lt;$A432,NA(),[3]各月DI数値!$J322)</f>
        <v>28.571428571428573</v>
      </c>
      <c r="E432" s="88">
        <f>IF(初期登録!$B$10*12+初期登録!$D$10&lt;$A432,NA(),[3]各月DI数値!$S322)</f>
        <v>12.5</v>
      </c>
      <c r="F432" s="643">
        <f>IF(初期登録!$B$10*12+初期登録!$D$10&lt;$A432,NA(),[3]各月DI数値!$AA322)</f>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c r="U432" s="34">
        <f>D:D-[3]各月DI数値!J322</f>
        <v>0</v>
      </c>
      <c r="V432" s="34">
        <f>E:E-[3]各月DI数値!S322</f>
        <v>0</v>
      </c>
      <c r="W432" s="34">
        <f>F:F-[3]各月DI数値!AA322</f>
        <v>0</v>
      </c>
    </row>
    <row r="433" spans="1:23" ht="15" customHeight="1">
      <c r="A433" s="117"/>
      <c r="B433" s="185"/>
      <c r="C433" s="174">
        <f>IF(初期登録!$B$10*12+初期登録!$D$10&lt;$A433,"",9)</f>
        <v>9</v>
      </c>
      <c r="D433" s="642">
        <f>IF(初期登録!$B$10*12+初期登録!$D$10&lt;$A433,NA(),[3]各月DI数値!$J323)</f>
        <v>57.142857142857146</v>
      </c>
      <c r="E433" s="88">
        <f>IF(初期登録!$B$10*12+初期登録!$D$10&lt;$A433,NA(),[3]各月DI数値!$S323)</f>
        <v>87.5</v>
      </c>
      <c r="F433" s="643">
        <f>IF(初期登録!$B$10*12+初期登録!$D$10&lt;$A433,NA(),[3]各月DI数値!$AA323)</f>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c r="U433" s="34">
        <f>D:D-[3]各月DI数値!J323</f>
        <v>0</v>
      </c>
      <c r="V433" s="34">
        <f>E:E-[3]各月DI数値!S323</f>
        <v>0</v>
      </c>
      <c r="W433" s="34">
        <f>F:F-[3]各月DI数値!AA323</f>
        <v>0</v>
      </c>
    </row>
    <row r="434" spans="1:23" ht="15" customHeight="1">
      <c r="A434" s="117"/>
      <c r="B434" s="185"/>
      <c r="C434" s="174">
        <f>IF(初期登録!$B$10*12+初期登録!$D$10&lt;$A434,"",10)</f>
        <v>10</v>
      </c>
      <c r="D434" s="642">
        <f>IF(初期登録!$B$10*12+初期登録!$D$10&lt;$A434,NA(),[3]各月DI数値!$J324)</f>
        <v>64.285714285714292</v>
      </c>
      <c r="E434" s="88">
        <f>IF(初期登録!$B$10*12+初期登録!$D$10&lt;$A434,NA(),[3]各月DI数値!$S324)</f>
        <v>62.5</v>
      </c>
      <c r="F434" s="643">
        <f>IF(初期登録!$B$10*12+初期登録!$D$10&lt;$A434,NA(),[3]各月DI数値!$AA324)</f>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c r="U434" s="34">
        <f>D:D-[3]各月DI数値!J324</f>
        <v>0</v>
      </c>
      <c r="V434" s="34">
        <f>E:E-[3]各月DI数値!S324</f>
        <v>0</v>
      </c>
      <c r="W434" s="34">
        <f>F:F-[3]各月DI数値!AA324</f>
        <v>0</v>
      </c>
    </row>
    <row r="435" spans="1:23" ht="15" customHeight="1">
      <c r="A435" s="117"/>
      <c r="B435" s="185"/>
      <c r="C435" s="174">
        <f>IF(初期登録!$B$10*12+初期登録!$D$10&lt;$A435,"",11)</f>
        <v>11</v>
      </c>
      <c r="D435" s="642">
        <f>IF(初期登録!$B$10*12+初期登録!$D$10&lt;$A435,NA(),[3]各月DI数値!$J325)</f>
        <v>71.428571428571431</v>
      </c>
      <c r="E435" s="88">
        <f>IF(初期登録!$B$10*12+初期登録!$D$10&lt;$A435,NA(),[3]各月DI数値!$S325)</f>
        <v>50</v>
      </c>
      <c r="F435" s="643">
        <f>IF(初期登録!$B$10*12+初期登録!$D$10&lt;$A435,NA(),[3]各月DI数値!$AA325)</f>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c r="U435" s="34">
        <f>D:D-[3]各月DI数値!J325</f>
        <v>0</v>
      </c>
      <c r="V435" s="34">
        <f>E:E-[3]各月DI数値!S325</f>
        <v>0</v>
      </c>
      <c r="W435" s="34">
        <f>F:F-[3]各月DI数値!AA325</f>
        <v>0</v>
      </c>
    </row>
    <row r="436" spans="1:23" ht="15" customHeight="1">
      <c r="A436" s="117"/>
      <c r="B436" s="186"/>
      <c r="C436" s="175">
        <f>IF(初期登録!$B$10*12+初期登録!$D$10&lt;$A436,"",12)</f>
        <v>12</v>
      </c>
      <c r="D436" s="644">
        <f>IF(初期登録!$B$10*12+初期登録!$D$10&lt;$A436,NA(),[3]各月DI数値!$J326)</f>
        <v>85.714285714285708</v>
      </c>
      <c r="E436" s="92">
        <f>IF(初期登録!$B$10*12+初期登録!$D$10&lt;$A436,NA(),[3]各月DI数値!$S326)</f>
        <v>37.5</v>
      </c>
      <c r="F436" s="93">
        <f>IF(初期登録!$B$10*12+初期登録!$D$10&lt;$A436,NA(),[3]各月DI数値!$AA326)</f>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c r="U436" s="34">
        <f>D:D-[3]各月DI数値!J326</f>
        <v>0</v>
      </c>
      <c r="V436" s="34">
        <f>E:E-[3]各月DI数値!S326</f>
        <v>0</v>
      </c>
      <c r="W436" s="34">
        <f>F:F-[3]各月DI数値!AA326</f>
        <v>0</v>
      </c>
    </row>
    <row r="437" spans="1:23" ht="15" customHeight="1">
      <c r="A437" s="180"/>
      <c r="B437" s="184">
        <v>27</v>
      </c>
      <c r="C437" s="178">
        <f>IF(初期登録!$B$10*12+初期登録!$D$10&lt;$A437,"",1)</f>
        <v>1</v>
      </c>
      <c r="D437" s="1119">
        <f>IF(初期登録!$B$10*12+初期登録!$D$10&lt;$A437,NA(),[3]各月DI数値!$J327)</f>
        <v>64.285714285714292</v>
      </c>
      <c r="E437" s="1120">
        <f>IF(初期登録!$B$10*12+初期登録!$D$10&lt;$A437,NA(),[3]各月DI数値!$S327)</f>
        <v>100</v>
      </c>
      <c r="F437" s="1121">
        <f>IF(初期登録!$B$10*12+初期登録!$D$10&lt;$A437,NA(),[3]各月DI数値!$AA327)</f>
        <v>28.571428571428573</v>
      </c>
      <c r="G437" s="1122">
        <f t="shared" si="46"/>
        <v>386.42857142857179</v>
      </c>
      <c r="H437" s="1123">
        <f t="shared" si="47"/>
        <v>1300</v>
      </c>
      <c r="I437" s="1124">
        <f t="shared" si="48"/>
        <v>582.04761904761949</v>
      </c>
      <c r="J437" s="1125">
        <f t="shared" si="44"/>
        <v>2386.4285714285716</v>
      </c>
      <c r="K437" s="1123">
        <f t="shared" si="49"/>
        <v>1300</v>
      </c>
      <c r="L437" s="632">
        <f t="shared" si="45"/>
        <v>82.047619047619492</v>
      </c>
      <c r="M437" s="188">
        <v>2015</v>
      </c>
      <c r="N437" s="171">
        <f>IF(C424="",NA(),50)</f>
        <v>50</v>
      </c>
      <c r="O437" s="134"/>
      <c r="P437" s="134">
        <f>IF(C424="",NA(),0)</f>
        <v>0</v>
      </c>
      <c r="Q437" s="159"/>
      <c r="U437" s="34">
        <f>D:D-[3]各月DI数値!J327</f>
        <v>0</v>
      </c>
      <c r="V437" s="34">
        <f>E:E-[3]各月DI数値!S327</f>
        <v>0</v>
      </c>
      <c r="W437" s="34">
        <f>F:F-[3]各月DI数値!AA327</f>
        <v>0</v>
      </c>
    </row>
    <row r="438" spans="1:23" ht="15" customHeight="1">
      <c r="A438" s="117"/>
      <c r="B438" s="185"/>
      <c r="C438" s="174">
        <f>IF(初期登録!$B$10*12+初期登録!$D$10&lt;$A438,"",2)</f>
        <v>2</v>
      </c>
      <c r="D438" s="642">
        <f>IF(初期登録!$B$10*12+初期登録!$D$10&lt;$A438,NA(),[3]各月DI数値!$J328)</f>
        <v>50</v>
      </c>
      <c r="E438" s="88">
        <f>IF(初期登録!$B$10*12+初期登録!$D$10&lt;$A438,NA(),[3]各月DI数値!$S328)</f>
        <v>50</v>
      </c>
      <c r="F438" s="643">
        <f>IF(初期登録!$B$10*12+初期登録!$D$10&lt;$A438,NA(),[3]各月DI数値!$AA328)</f>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c r="U438" s="34">
        <f>D:D-[3]各月DI数値!J328</f>
        <v>0</v>
      </c>
      <c r="V438" s="34">
        <f>E:E-[3]各月DI数値!S328</f>
        <v>0</v>
      </c>
      <c r="W438" s="34">
        <f>F:F-[3]各月DI数値!AA328</f>
        <v>0</v>
      </c>
    </row>
    <row r="439" spans="1:23" ht="15" customHeight="1">
      <c r="A439" s="117"/>
      <c r="B439" s="185"/>
      <c r="C439" s="174">
        <f>IF(初期登録!$B$10*12+初期登録!$D$10&lt;$A439,"",3)</f>
        <v>3</v>
      </c>
      <c r="D439" s="642">
        <f>IF(初期登録!$B$10*12+初期登録!$D$10&lt;$A439,NA(),[3]各月DI数値!$J329)</f>
        <v>14.285714285714286</v>
      </c>
      <c r="E439" s="88">
        <f>IF(初期登録!$B$10*12+初期登録!$D$10&lt;$A439,NA(),[3]各月DI数値!$S329)</f>
        <v>62.5</v>
      </c>
      <c r="F439" s="643">
        <f>IF(初期登録!$B$10*12+初期登録!$D$10&lt;$A439,NA(),[3]各月DI数値!$AA329)</f>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c r="U439" s="34">
        <f>D:D-[3]各月DI数値!J329</f>
        <v>0</v>
      </c>
      <c r="V439" s="34">
        <f>E:E-[3]各月DI数値!S329</f>
        <v>0</v>
      </c>
      <c r="W439" s="34">
        <f>F:F-[3]各月DI数値!AA329</f>
        <v>0</v>
      </c>
    </row>
    <row r="440" spans="1:23" ht="15" customHeight="1">
      <c r="A440" s="117"/>
      <c r="B440" s="185"/>
      <c r="C440" s="174">
        <f>IF(初期登録!$B$10*12+初期登録!$D$10&lt;$A440,"",4)</f>
        <v>4</v>
      </c>
      <c r="D440" s="642">
        <f>IF(初期登録!$B$10*12+初期登録!$D$10&lt;$A440,NA(),[3]各月DI数値!$J330)</f>
        <v>28.571428571428573</v>
      </c>
      <c r="E440" s="88">
        <f>IF(初期登録!$B$10*12+初期登録!$D$10&lt;$A440,NA(),[3]各月DI数値!$S330)</f>
        <v>50</v>
      </c>
      <c r="F440" s="643">
        <f>IF(初期登録!$B$10*12+初期登録!$D$10&lt;$A440,NA(),[3]各月DI数値!$AA330)</f>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c r="U440" s="34">
        <f>D:D-[3]各月DI数値!J330</f>
        <v>0</v>
      </c>
      <c r="V440" s="34">
        <f>E:E-[3]各月DI数値!S330</f>
        <v>0</v>
      </c>
      <c r="W440" s="34">
        <f>F:F-[3]各月DI数値!AA330</f>
        <v>0</v>
      </c>
    </row>
    <row r="441" spans="1:23" ht="15" customHeight="1">
      <c r="A441" s="117"/>
      <c r="B441" s="185"/>
      <c r="C441" s="174">
        <f>IF(初期登録!$B$10*12+初期登録!$D$10&lt;$A441,"",5)</f>
        <v>5</v>
      </c>
      <c r="D441" s="642">
        <f>IF(初期登録!$B$10*12+初期登録!$D$10&lt;$A441,NA(),[3]各月DI数値!$J331)</f>
        <v>28.571428571428573</v>
      </c>
      <c r="E441" s="88">
        <f>IF(初期登録!$B$10*12+初期登録!$D$10&lt;$A441,NA(),[3]各月DI数値!$S331)</f>
        <v>75</v>
      </c>
      <c r="F441" s="643">
        <f>IF(初期登録!$B$10*12+初期登録!$D$10&lt;$A441,NA(),[3]各月DI数値!$AA331)</f>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c r="U441" s="34">
        <f>D:D-[3]各月DI数値!J331</f>
        <v>0</v>
      </c>
      <c r="V441" s="34">
        <f>E:E-[3]各月DI数値!S331</f>
        <v>0</v>
      </c>
      <c r="W441" s="34">
        <f>F:F-[3]各月DI数値!AA331</f>
        <v>0</v>
      </c>
    </row>
    <row r="442" spans="1:23" ht="15" customHeight="1">
      <c r="A442" s="117"/>
      <c r="B442" s="185"/>
      <c r="C442" s="174">
        <f>IF(初期登録!$B$10*12+初期登録!$D$10&lt;$A442,"",6)</f>
        <v>6</v>
      </c>
      <c r="D442" s="642">
        <f>IF(初期登録!$B$10*12+初期登録!$D$10&lt;$A442,NA(),[3]各月DI数値!$J332)</f>
        <v>42.857142857142854</v>
      </c>
      <c r="E442" s="88">
        <f>IF(初期登録!$B$10*12+初期登録!$D$10&lt;$A442,NA(),[3]各月DI数値!$S332)</f>
        <v>12.5</v>
      </c>
      <c r="F442" s="643">
        <f>IF(初期登録!$B$10*12+初期登録!$D$10&lt;$A442,NA(),[3]各月DI数値!$AA332)</f>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c r="U442" s="34">
        <f>D:D-[3]各月DI数値!J332</f>
        <v>0</v>
      </c>
      <c r="V442" s="34">
        <f>E:E-[3]各月DI数値!S332</f>
        <v>0</v>
      </c>
      <c r="W442" s="34">
        <f>F:F-[3]各月DI数値!AA332</f>
        <v>0</v>
      </c>
    </row>
    <row r="443" spans="1:23" ht="15" customHeight="1">
      <c r="A443" s="117"/>
      <c r="B443" s="185"/>
      <c r="C443" s="174">
        <f>IF(初期登録!$B$10*12+初期登録!$D$10&lt;$A443,"",7)</f>
        <v>7</v>
      </c>
      <c r="D443" s="642">
        <f>IF(初期登録!$B$10*12+初期登録!$D$10&lt;$A443,NA(),[3]各月DI数値!$J333)</f>
        <v>57.142857142857146</v>
      </c>
      <c r="E443" s="88">
        <f>IF(初期登録!$B$10*12+初期登録!$D$10&lt;$A443,NA(),[3]各月DI数値!$S333)</f>
        <v>50</v>
      </c>
      <c r="F443" s="643">
        <f>IF(初期登録!$B$10*12+初期登録!$D$10&lt;$A443,NA(),[3]各月DI数値!$AA333)</f>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c r="U443" s="34">
        <f>D:D-[3]各月DI数値!J333</f>
        <v>0</v>
      </c>
      <c r="V443" s="34">
        <f>E:E-[3]各月DI数値!S333</f>
        <v>0</v>
      </c>
      <c r="W443" s="34">
        <f>F:F-[3]各月DI数値!AA333</f>
        <v>0</v>
      </c>
    </row>
    <row r="444" spans="1:23" ht="15" customHeight="1">
      <c r="A444" s="117"/>
      <c r="B444" s="185"/>
      <c r="C444" s="174">
        <f>IF(初期登録!$B$10*12+初期登録!$D$10&lt;$A444,"",8)</f>
        <v>8</v>
      </c>
      <c r="D444" s="642">
        <f>IF(初期登録!$B$10*12+初期登録!$D$10&lt;$A444,NA(),[3]各月DI数値!$J334)</f>
        <v>42.857142857142854</v>
      </c>
      <c r="E444" s="88">
        <f>IF(初期登録!$B$10*12+初期登録!$D$10&lt;$A444,NA(),[3]各月DI数値!$S334)</f>
        <v>50</v>
      </c>
      <c r="F444" s="643">
        <f>IF(初期登録!$B$10*12+初期登録!$D$10&lt;$A444,NA(),[3]各月DI数値!$AA334)</f>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c r="U444" s="34">
        <f>D:D-[3]各月DI数値!J334</f>
        <v>0</v>
      </c>
      <c r="V444" s="34">
        <f>E:E-[3]各月DI数値!S334</f>
        <v>0</v>
      </c>
      <c r="W444" s="34">
        <f>F:F-[3]各月DI数値!AA334</f>
        <v>0</v>
      </c>
    </row>
    <row r="445" spans="1:23" ht="15" customHeight="1">
      <c r="A445" s="117"/>
      <c r="B445" s="185"/>
      <c r="C445" s="174">
        <f>IF(初期登録!$B$10*12+初期登録!$D$10&lt;$A445,"",9)</f>
        <v>9</v>
      </c>
      <c r="D445" s="642">
        <f>IF(初期登録!$B$10*12+初期登録!$D$10&lt;$A445,NA(),[3]各月DI数値!$J335)</f>
        <v>42.857142857142854</v>
      </c>
      <c r="E445" s="88">
        <f>IF(初期登録!$B$10*12+初期登録!$D$10&lt;$A445,NA(),[3]各月DI数値!$S335)</f>
        <v>25</v>
      </c>
      <c r="F445" s="643">
        <f>IF(初期登録!$B$10*12+初期登録!$D$10&lt;$A445,NA(),[3]各月DI数値!$AA335)</f>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c r="U445" s="34">
        <f>D:D-[3]各月DI数値!J335</f>
        <v>0</v>
      </c>
      <c r="V445" s="34">
        <f>E:E-[3]各月DI数値!S335</f>
        <v>0</v>
      </c>
      <c r="W445" s="34">
        <f>F:F-[3]各月DI数値!AA335</f>
        <v>0</v>
      </c>
    </row>
    <row r="446" spans="1:23" ht="15" customHeight="1">
      <c r="A446" s="117"/>
      <c r="B446" s="185"/>
      <c r="C446" s="174">
        <f>IF(初期登録!$B$10*12+初期登録!$D$10&lt;$A446,"",10)</f>
        <v>10</v>
      </c>
      <c r="D446" s="642">
        <f>IF(初期登録!$B$10*12+初期登録!$D$10&lt;$A446,NA(),[3]各月DI数値!$J336)</f>
        <v>14.285714285714286</v>
      </c>
      <c r="E446" s="88">
        <f>IF(初期登録!$B$10*12+初期登録!$D$10&lt;$A446,NA(),[3]各月DI数値!$S336)</f>
        <v>25</v>
      </c>
      <c r="F446" s="643">
        <f>IF(初期登録!$B$10*12+初期登録!$D$10&lt;$A446,NA(),[3]各月DI数値!$AA336)</f>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c r="U446" s="34">
        <f>D:D-[3]各月DI数値!J336</f>
        <v>0</v>
      </c>
      <c r="V446" s="34">
        <f>E:E-[3]各月DI数値!S336</f>
        <v>0</v>
      </c>
      <c r="W446" s="34">
        <f>F:F-[3]各月DI数値!AA336</f>
        <v>0</v>
      </c>
    </row>
    <row r="447" spans="1:23" ht="15" customHeight="1">
      <c r="A447" s="117"/>
      <c r="B447" s="185"/>
      <c r="C447" s="174">
        <f>IF(初期登録!$B$10*12+初期登録!$D$10&lt;$A447,"",11)</f>
        <v>11</v>
      </c>
      <c r="D447" s="642">
        <f>IF(初期登録!$B$10*12+初期登録!$D$10&lt;$A447,NA(),[3]各月DI数値!$J337)</f>
        <v>14.285714285714286</v>
      </c>
      <c r="E447" s="88">
        <f>IF(初期登録!$B$10*12+初期登録!$D$10&lt;$A447,NA(),[3]各月DI数値!$S337)</f>
        <v>37.5</v>
      </c>
      <c r="F447" s="643">
        <f>IF(初期登録!$B$10*12+初期登録!$D$10&lt;$A447,NA(),[3]各月DI数値!$AA337)</f>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c r="U447" s="34">
        <f>D:D-[3]各月DI数値!J337</f>
        <v>0</v>
      </c>
      <c r="V447" s="34">
        <f>E:E-[3]各月DI数値!S337</f>
        <v>0</v>
      </c>
      <c r="W447" s="34">
        <f>F:F-[3]各月DI数値!AA337</f>
        <v>0</v>
      </c>
    </row>
    <row r="448" spans="1:23" ht="15" customHeight="1">
      <c r="A448" s="117"/>
      <c r="B448" s="186"/>
      <c r="C448" s="175">
        <f>IF(初期登録!$B$10*12+初期登録!$D$10&lt;$A448,"",12)</f>
        <v>12</v>
      </c>
      <c r="D448" s="644">
        <f>IF(初期登録!$B$10*12+初期登録!$D$10&lt;$A448,NA(),[3]各月DI数値!$J338)</f>
        <v>28.571428571428573</v>
      </c>
      <c r="E448" s="92">
        <f>IF(初期登録!$B$10*12+初期登録!$D$10&lt;$A448,NA(),[3]各月DI数値!$S338)</f>
        <v>25</v>
      </c>
      <c r="F448" s="93">
        <f>IF(初期登録!$B$10*12+初期登録!$D$10&lt;$A448,NA(),[3]各月DI数値!$AA338)</f>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c r="U448" s="34">
        <f>D:D-[3]各月DI数値!J338</f>
        <v>0</v>
      </c>
      <c r="V448" s="34">
        <f>E:E-[3]各月DI数値!S338</f>
        <v>0</v>
      </c>
      <c r="W448" s="34">
        <f>F:F-[3]各月DI数値!AA338</f>
        <v>0</v>
      </c>
    </row>
    <row r="449" spans="1:23" ht="15" customHeight="1">
      <c r="A449" s="180"/>
      <c r="B449" s="1126">
        <v>28</v>
      </c>
      <c r="C449" s="1127">
        <f>IF(初期登録!$B$10*12+初期登録!$D$10&lt;$A449,"",1)</f>
        <v>1</v>
      </c>
      <c r="D449" s="1119">
        <f>IF(初期登録!$B$10*12+初期登録!$D$10&lt;$A449,NA(),[3]各月DI数値!$J339)</f>
        <v>14.285714285714286</v>
      </c>
      <c r="E449" s="1120">
        <f>IF(初期登録!$B$10*12+初期登録!$D$10&lt;$A449,NA(),[3]各月DI数値!$S339)</f>
        <v>25</v>
      </c>
      <c r="F449" s="1121">
        <f>IF(初期登録!$B$10*12+初期登録!$D$10&lt;$A449,NA(),[3]各月DI数値!$AA339)</f>
        <v>71.428571428571431</v>
      </c>
      <c r="G449" s="1122">
        <f t="shared" si="46"/>
        <v>165.00000000000026</v>
      </c>
      <c r="H449" s="1123">
        <f t="shared" si="47"/>
        <v>1187.5</v>
      </c>
      <c r="I449" s="1124">
        <f t="shared" si="48"/>
        <v>524.90476190476227</v>
      </c>
      <c r="J449" s="1125">
        <f t="shared" si="44"/>
        <v>2165.0000000000005</v>
      </c>
      <c r="K449" s="1123">
        <f t="shared" si="49"/>
        <v>1187.5</v>
      </c>
      <c r="L449" s="632">
        <f t="shared" si="45"/>
        <v>24.904761904762267</v>
      </c>
      <c r="M449" s="188">
        <v>2016</v>
      </c>
      <c r="N449" s="171">
        <f>IF(C424="",NA(),50)</f>
        <v>50</v>
      </c>
      <c r="O449" s="134"/>
      <c r="P449" s="134">
        <f>IF(C424="",NA(),0)</f>
        <v>0</v>
      </c>
      <c r="Q449" s="159"/>
      <c r="U449" s="34">
        <f>D:D-[3]各月DI数値!J339</f>
        <v>0</v>
      </c>
      <c r="V449" s="34">
        <f>E:E-[3]各月DI数値!S339</f>
        <v>0</v>
      </c>
      <c r="W449" s="34">
        <f>F:F-[3]各月DI数値!AA339</f>
        <v>0</v>
      </c>
    </row>
    <row r="450" spans="1:23" ht="15" customHeight="1">
      <c r="B450" s="185"/>
      <c r="C450" s="174">
        <f>IF(初期登録!$B$10*12+初期登録!$D$10&lt;$A450,"",2)</f>
        <v>2</v>
      </c>
      <c r="D450" s="642">
        <f>IF(初期登録!$B$10*12+初期登録!$D$10&lt;$A450,NA(),[3]各月DI数値!$J340)</f>
        <v>35.714285714285715</v>
      </c>
      <c r="E450" s="88">
        <f>IF(初期登録!$B$10*12+初期登録!$D$10&lt;$A450,NA(),[3]各月DI数値!$S340)</f>
        <v>50</v>
      </c>
      <c r="F450" s="643">
        <f>IF(初期登録!$B$10*12+初期登録!$D$10&lt;$A450,NA(),[3]各月DI数値!$AA340)</f>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c r="U450" s="34">
        <f>D:D-[3]各月DI数値!J340</f>
        <v>0</v>
      </c>
      <c r="V450" s="34">
        <f>E:E-[3]各月DI数値!S340</f>
        <v>0</v>
      </c>
      <c r="W450" s="34">
        <f>F:F-[3]各月DI数値!AA340</f>
        <v>0</v>
      </c>
    </row>
    <row r="451" spans="1:23" ht="15" customHeight="1">
      <c r="B451" s="185"/>
      <c r="C451" s="174">
        <f>IF(初期登録!$B$10*12+初期登録!$D$10&lt;$A451,"",3)</f>
        <v>3</v>
      </c>
      <c r="D451" s="642">
        <f>IF(初期登録!$B$10*12+初期登録!$D$10&lt;$A451,NA(),[3]各月DI数値!$J341)</f>
        <v>28.571428571428573</v>
      </c>
      <c r="E451" s="88">
        <f>IF(初期登録!$B$10*12+初期登録!$D$10&lt;$A451,NA(),[3]各月DI数値!$S341)</f>
        <v>50</v>
      </c>
      <c r="F451" s="643">
        <f>IF(初期登録!$B$10*12+初期登録!$D$10&lt;$A451,NA(),[3]各月DI数値!$AA341)</f>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c r="U451" s="34">
        <f>D:D-[3]各月DI数値!J341</f>
        <v>0</v>
      </c>
      <c r="V451" s="34">
        <f>E:E-[3]各月DI数値!S341</f>
        <v>0</v>
      </c>
      <c r="W451" s="34">
        <f>F:F-[3]各月DI数値!AA341</f>
        <v>0</v>
      </c>
    </row>
    <row r="452" spans="1:23">
      <c r="B452" s="185"/>
      <c r="C452" s="174">
        <f>IF(初期登録!$B$10*12+初期登録!$D$10&lt;$A452,"",4)</f>
        <v>4</v>
      </c>
      <c r="D452" s="642">
        <f>IF(初期登録!$B$10*12+初期登録!$D$10&lt;$A452,NA(),[3]各月DI数値!$J342)</f>
        <v>42.857142857142854</v>
      </c>
      <c r="E452" s="88">
        <f>IF(初期登録!$B$10*12+初期登録!$D$10&lt;$A452,NA(),[3]各月DI数値!$S342)</f>
        <v>62.5</v>
      </c>
      <c r="F452" s="643">
        <f>IF(初期登録!$B$10*12+初期登録!$D$10&lt;$A452,NA(),[3]各月DI数値!$AA342)</f>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c r="U452" s="34">
        <f>D:D-[3]各月DI数値!J342</f>
        <v>0</v>
      </c>
      <c r="V452" s="34">
        <f>E:E-[3]各月DI数値!S342</f>
        <v>0</v>
      </c>
      <c r="W452" s="34">
        <f>F:F-[3]各月DI数値!AA342</f>
        <v>0</v>
      </c>
    </row>
    <row r="453" spans="1:23">
      <c r="B453" s="185"/>
      <c r="C453" s="174">
        <f>IF(初期登録!$B$10*12+初期登録!$D$10&lt;$A453,"",5)</f>
        <v>5</v>
      </c>
      <c r="D453" s="642">
        <f>IF(初期登録!$B$10*12+初期登録!$D$10&lt;$A453,NA(),[3]各月DI数値!$J343)</f>
        <v>57.142857142857146</v>
      </c>
      <c r="E453" s="88">
        <f>IF(初期登録!$B$10*12+初期登録!$D$10&lt;$A453,NA(),[3]各月DI数値!$S343)</f>
        <v>31.25</v>
      </c>
      <c r="F453" s="643">
        <f>IF(初期登録!$B$10*12+初期登録!$D$10&lt;$A453,NA(),[3]各月DI数値!$AA343)</f>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c r="U453" s="34">
        <f>D:D-[3]各月DI数値!J343</f>
        <v>0</v>
      </c>
      <c r="V453" s="34">
        <f>E:E-[3]各月DI数値!S343</f>
        <v>0</v>
      </c>
      <c r="W453" s="34">
        <f>F:F-[3]各月DI数値!AA343</f>
        <v>0</v>
      </c>
    </row>
    <row r="454" spans="1:23">
      <c r="B454" s="185"/>
      <c r="C454" s="174">
        <f>IF(初期登録!$B$10*12+初期登録!$D$10&lt;$A454,"",6)</f>
        <v>6</v>
      </c>
      <c r="D454" s="642">
        <f>IF(初期登録!$B$10*12+初期登録!$D$10&lt;$A454,NA(),[3]各月DI数値!$J344)</f>
        <v>28.571428571428573</v>
      </c>
      <c r="E454" s="88">
        <f>IF(初期登録!$B$10*12+初期登録!$D$10&lt;$A454,NA(),[3]各月DI数値!$S344)</f>
        <v>25</v>
      </c>
      <c r="F454" s="643">
        <f>IF(初期登録!$B$10*12+初期登録!$D$10&lt;$A454,NA(),[3]各月DI数値!$AA344)</f>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c r="U454" s="34">
        <f>D:D-[3]各月DI数値!J344</f>
        <v>0</v>
      </c>
      <c r="V454" s="34">
        <f>E:E-[3]各月DI数値!S344</f>
        <v>0</v>
      </c>
      <c r="W454" s="34">
        <f>F:F-[3]各月DI数値!AA344</f>
        <v>0</v>
      </c>
    </row>
    <row r="455" spans="1:23">
      <c r="B455" s="185"/>
      <c r="C455" s="174">
        <f>IF(初期登録!$B$10*12+初期登録!$D$10&lt;$A455,"",7)</f>
        <v>7</v>
      </c>
      <c r="D455" s="642">
        <f>IF(初期登録!$B$10*12+初期登録!$D$10&lt;$A455,NA(),[3]各月DI数値!$J345)</f>
        <v>28.571428571428573</v>
      </c>
      <c r="E455" s="88">
        <f>IF(初期登録!$B$10*12+初期登録!$D$10&lt;$A455,NA(),[3]各月DI数値!$S345)</f>
        <v>37.5</v>
      </c>
      <c r="F455" s="643">
        <f>IF(初期登録!$B$10*12+初期登録!$D$10&lt;$A455,NA(),[3]各月DI数値!$AA345)</f>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c r="U455" s="34">
        <f>D:D-[3]各月DI数値!J345</f>
        <v>0</v>
      </c>
      <c r="V455" s="34">
        <f>E:E-[3]各月DI数値!S345</f>
        <v>0</v>
      </c>
      <c r="W455" s="34">
        <f>F:F-[3]各月DI数値!AA345</f>
        <v>0</v>
      </c>
    </row>
    <row r="456" spans="1:23">
      <c r="B456" s="185"/>
      <c r="C456" s="174">
        <f>IF(初期登録!$B$10*12+初期登録!$D$10&lt;$A456,"",8)</f>
        <v>8</v>
      </c>
      <c r="D456" s="642">
        <f>IF(初期登録!$B$10*12+初期登録!$D$10&lt;$A456,NA(),[3]各月DI数値!$J346)</f>
        <v>57.142857142857146</v>
      </c>
      <c r="E456" s="88">
        <f>IF(初期登録!$B$10*12+初期登録!$D$10&lt;$A456,NA(),[3]各月DI数値!$S346)</f>
        <v>25</v>
      </c>
      <c r="F456" s="643">
        <f>IF(初期登録!$B$10*12+初期登録!$D$10&lt;$A456,NA(),[3]各月DI数値!$AA346)</f>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c r="U456" s="34">
        <f>D:D-[3]各月DI数値!J346</f>
        <v>0</v>
      </c>
      <c r="V456" s="34">
        <f>E:E-[3]各月DI数値!S346</f>
        <v>0</v>
      </c>
      <c r="W456" s="34">
        <f>F:F-[3]各月DI数値!AA346</f>
        <v>0</v>
      </c>
    </row>
    <row r="457" spans="1:23">
      <c r="B457" s="185"/>
      <c r="C457" s="174">
        <f>IF(初期登録!$B$10*12+初期登録!$D$10&lt;$A457,"",9)</f>
        <v>9</v>
      </c>
      <c r="D457" s="642">
        <f>IF(初期登録!$B$10*12+初期登録!$D$10&lt;$A457,NA(),[3]各月DI数値!$J347)</f>
        <v>42.857142857142854</v>
      </c>
      <c r="E457" s="88">
        <f>IF(初期登録!$B$10*12+初期登録!$D$10&lt;$A457,NA(),[3]各月DI数値!$S347)</f>
        <v>87.5</v>
      </c>
      <c r="F457" s="643">
        <f>IF(初期登録!$B$10*12+初期登録!$D$10&lt;$A457,NA(),[3]各月DI数値!$AA347)</f>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c r="U457" s="34">
        <f>D:D-[3]各月DI数値!J347</f>
        <v>0</v>
      </c>
      <c r="V457" s="34">
        <f>E:E-[3]各月DI数値!S347</f>
        <v>0</v>
      </c>
      <c r="W457" s="34">
        <f>F:F-[3]各月DI数値!AA347</f>
        <v>0</v>
      </c>
    </row>
    <row r="458" spans="1:23">
      <c r="B458" s="185"/>
      <c r="C458" s="174">
        <f>IF(初期登録!$B$10*12+初期登録!$D$10&lt;$A458,"",10)</f>
        <v>10</v>
      </c>
      <c r="D458" s="642">
        <f>IF(初期登録!$B$10*12+初期登録!$D$10&lt;$A458,NA(),[3]各月DI数値!$J348)</f>
        <v>28.571428571428573</v>
      </c>
      <c r="E458" s="88">
        <f>IF(初期登録!$B$10*12+初期登録!$D$10&lt;$A458,NA(),[3]各月DI数値!$S348)</f>
        <v>87.5</v>
      </c>
      <c r="F458" s="643">
        <f>IF(初期登録!$B$10*12+初期登録!$D$10&lt;$A458,NA(),[3]各月DI数値!$AA348)</f>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c r="U458" s="34">
        <f>D:D-[3]各月DI数値!J348</f>
        <v>0</v>
      </c>
      <c r="V458" s="34">
        <f>E:E-[3]各月DI数値!S348</f>
        <v>0</v>
      </c>
      <c r="W458" s="34">
        <f>F:F-[3]各月DI数値!AA348</f>
        <v>0</v>
      </c>
    </row>
    <row r="459" spans="1:23">
      <c r="B459" s="185"/>
      <c r="C459" s="174">
        <f>IF(初期登録!$B$10*12+初期登録!$D$10&lt;$A459,"",11)</f>
        <v>11</v>
      </c>
      <c r="D459" s="642">
        <f>IF(初期登録!$B$10*12+初期登録!$D$10&lt;$A459,NA(),[3]各月DI数値!$J349)</f>
        <v>71.428571428571431</v>
      </c>
      <c r="E459" s="88">
        <f>IF(初期登録!$B$10*12+初期登録!$D$10&lt;$A459,NA(),[3]各月DI数値!$S349)</f>
        <v>87.5</v>
      </c>
      <c r="F459" s="643">
        <f>IF(初期登録!$B$10*12+初期登録!$D$10&lt;$A459,NA(),[3]各月DI数値!$AA349)</f>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c r="U459" s="34">
        <f>D:D-[3]各月DI数値!J349</f>
        <v>0</v>
      </c>
      <c r="V459" s="34">
        <f>E:E-[3]各月DI数値!S349</f>
        <v>0</v>
      </c>
      <c r="W459" s="34">
        <f>F:F-[3]各月DI数値!AA349</f>
        <v>0</v>
      </c>
    </row>
    <row r="460" spans="1:23">
      <c r="B460" s="186"/>
      <c r="C460" s="175">
        <f>IF(初期登録!$B$10*12+初期登録!$D$10&lt;$A460,"",12)</f>
        <v>12</v>
      </c>
      <c r="D460" s="644">
        <f>IF(初期登録!$B$10*12+初期登録!$D$10&lt;$A460,NA(),[3]各月DI数値!$J350)</f>
        <v>71.428571428571431</v>
      </c>
      <c r="E460" s="92">
        <f>IF(初期登録!$B$10*12+初期登録!$D$10&lt;$A460,NA(),[3]各月DI数値!$S350)</f>
        <v>100</v>
      </c>
      <c r="F460" s="93">
        <f>IF(初期登録!$B$10*12+初期登録!$D$10&lt;$A460,NA(),[3]各月DI数値!$AA350)</f>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c r="U460" s="34">
        <f>D:D-[3]各月DI数値!J350</f>
        <v>0</v>
      </c>
      <c r="V460" s="34">
        <f>E:E-[3]各月DI数値!S350</f>
        <v>0</v>
      </c>
      <c r="W460" s="34">
        <f>F:F-[3]各月DI数値!AA350</f>
        <v>0</v>
      </c>
    </row>
    <row r="461" spans="1:23" ht="15" customHeight="1">
      <c r="A461" s="180"/>
      <c r="B461" s="1126">
        <v>29</v>
      </c>
      <c r="C461" s="1127">
        <f>IF(初期登録!$B$10*12+初期登録!$D$10&lt;$A461,"",1)</f>
        <v>1</v>
      </c>
      <c r="D461" s="1119">
        <f>IF(初期登録!$B$10*12+初期登録!$D$10&lt;$A461,NA(),[3]各月DI数値!$J351)</f>
        <v>71.428571428571431</v>
      </c>
      <c r="E461" s="1120">
        <f>IF(初期登録!$B$10*12+初期登録!$D$10&lt;$A461,NA(),[3]各月DI数値!$S351)</f>
        <v>100</v>
      </c>
      <c r="F461" s="1121">
        <f>IF(初期登録!$B$10*12+初期登録!$D$10&lt;$A461,NA(),[3]各月DI数値!$AA351)</f>
        <v>71.428571428571431</v>
      </c>
      <c r="G461" s="1122">
        <f t="shared" si="46"/>
        <v>129.28571428571456</v>
      </c>
      <c r="H461" s="1123">
        <f t="shared" si="47"/>
        <v>1331.25</v>
      </c>
      <c r="I461" s="1124">
        <f t="shared" si="48"/>
        <v>524.90476190476215</v>
      </c>
      <c r="J461" s="1125">
        <f t="shared" si="56"/>
        <v>2129.2857142857147</v>
      </c>
      <c r="K461" s="1123">
        <f t="shared" si="49"/>
        <v>1331.25</v>
      </c>
      <c r="L461" s="632">
        <f t="shared" si="57"/>
        <v>24.904761904762154</v>
      </c>
      <c r="M461" s="188">
        <v>2017</v>
      </c>
      <c r="N461" s="183">
        <f t="shared" ref="N461:N532" si="58">IF(C460="",NA(),50)</f>
        <v>50</v>
      </c>
      <c r="O461" s="146"/>
      <c r="P461" s="146">
        <f t="shared" ref="P461:P532" si="59">IF(C460="",NA(),0)</f>
        <v>0</v>
      </c>
      <c r="Q461" s="159"/>
      <c r="U461" s="34">
        <f>D:D-[3]各月DI数値!J351</f>
        <v>0</v>
      </c>
      <c r="V461" s="34">
        <f>E:E-[3]各月DI数値!S351</f>
        <v>0</v>
      </c>
      <c r="W461" s="34">
        <f>F:F-[3]各月DI数値!AA351</f>
        <v>0</v>
      </c>
    </row>
    <row r="462" spans="1:23" ht="15" customHeight="1">
      <c r="B462" s="185"/>
      <c r="C462" s="174">
        <f>IF(初期登録!$B$10*12+初期登録!$D$10&lt;$A462,"",2)</f>
        <v>2</v>
      </c>
      <c r="D462" s="642">
        <f>IF(初期登録!$B$10*12+初期登録!$D$10&lt;$A462,NA(),[3]各月DI数値!$J352)</f>
        <v>57.142857142857146</v>
      </c>
      <c r="E462" s="88">
        <f>IF(初期登録!$B$10*12+初期登録!$D$10&lt;$A462,NA(),[3]各月DI数値!$S352)</f>
        <v>75</v>
      </c>
      <c r="F462" s="643">
        <f>IF(初期登録!$B$10*12+初期登録!$D$10&lt;$A462,NA(),[3]各月DI数値!$AA352)</f>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c r="U462" s="34">
        <f>D:D-[3]各月DI数値!J352</f>
        <v>0</v>
      </c>
      <c r="V462" s="34">
        <f>E:E-[3]各月DI数値!S352</f>
        <v>0</v>
      </c>
      <c r="W462" s="34">
        <f>F:F-[3]各月DI数値!AA352</f>
        <v>0</v>
      </c>
    </row>
    <row r="463" spans="1:23" ht="15" customHeight="1">
      <c r="B463" s="185"/>
      <c r="C463" s="174">
        <f>IF(初期登録!$B$10*12+初期登録!$D$10&lt;$A463,"",3)</f>
        <v>3</v>
      </c>
      <c r="D463" s="642">
        <f>IF(初期登録!$B$10*12+初期登録!$D$10&lt;$A463,NA(),[3]各月DI数値!$J353)</f>
        <v>42.857142857142854</v>
      </c>
      <c r="E463" s="88">
        <f>IF(初期登録!$B$10*12+初期登録!$D$10&lt;$A463,NA(),[3]各月DI数値!$S353)</f>
        <v>87.5</v>
      </c>
      <c r="F463" s="643">
        <f>IF(初期登録!$B$10*12+初期登録!$D$10&lt;$A463,NA(),[3]各月DI数値!$AA353)</f>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c r="U463" s="34">
        <f>D:D-[3]各月DI数値!J353</f>
        <v>0</v>
      </c>
      <c r="V463" s="34">
        <f>E:E-[3]各月DI数値!S353</f>
        <v>0</v>
      </c>
      <c r="W463" s="34">
        <f>F:F-[3]各月DI数値!AA353</f>
        <v>0</v>
      </c>
    </row>
    <row r="464" spans="1:23">
      <c r="B464" s="185"/>
      <c r="C464" s="174">
        <f>IF(初期登録!$B$10*12+初期登録!$D$10&lt;$A464,"",4)</f>
        <v>4</v>
      </c>
      <c r="D464" s="642">
        <f>IF(初期登録!$B$10*12+初期登録!$D$10&lt;$A464,NA(),[3]各月DI数値!$J354)</f>
        <v>64.285714285714292</v>
      </c>
      <c r="E464" s="88">
        <f>IF(初期登録!$B$10*12+初期登録!$D$10&lt;$A464,NA(),[3]各月DI数値!$S354)</f>
        <v>87.5</v>
      </c>
      <c r="F464" s="643">
        <f>IF(初期登録!$B$10*12+初期登録!$D$10&lt;$A464,NA(),[3]各月DI数値!$AA354)</f>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c r="U464" s="34">
        <f>D:D-[3]各月DI数値!J354</f>
        <v>0</v>
      </c>
      <c r="V464" s="34">
        <f>E:E-[3]各月DI数値!S354</f>
        <v>0</v>
      </c>
      <c r="W464" s="34">
        <f>F:F-[3]各月DI数値!AA354</f>
        <v>0</v>
      </c>
    </row>
    <row r="465" spans="1:23">
      <c r="B465" s="185"/>
      <c r="C465" s="174">
        <f>IF(初期登録!$B$10*12+初期登録!$D$10&lt;$A465,"",5)</f>
        <v>5</v>
      </c>
      <c r="D465" s="642">
        <f>IF(初期登録!$B$10*12+初期登録!$D$10&lt;$A465,NA(),[3]各月DI数値!$J355)</f>
        <v>28.571428571428573</v>
      </c>
      <c r="E465" s="88">
        <f>IF(初期登録!$B$10*12+初期登録!$D$10&lt;$A465,NA(),[3]各月DI数値!$S355)</f>
        <v>75</v>
      </c>
      <c r="F465" s="643">
        <f>IF(初期登録!$B$10*12+初期登録!$D$10&lt;$A465,NA(),[3]各月DI数値!$AA355)</f>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c r="U465" s="34">
        <f>D:D-[3]各月DI数値!J355</f>
        <v>0</v>
      </c>
      <c r="V465" s="34">
        <f>E:E-[3]各月DI数値!S355</f>
        <v>0</v>
      </c>
      <c r="W465" s="34">
        <f>F:F-[3]各月DI数値!AA355</f>
        <v>0</v>
      </c>
    </row>
    <row r="466" spans="1:23">
      <c r="B466" s="185"/>
      <c r="C466" s="174">
        <f>IF(初期登録!$B$10*12+初期登録!$D$10&lt;$A466,"",6)</f>
        <v>6</v>
      </c>
      <c r="D466" s="642">
        <f>IF(初期登録!$B$10*12+初期登録!$D$10&lt;$A466,NA(),[3]各月DI数値!$J356)</f>
        <v>50</v>
      </c>
      <c r="E466" s="88">
        <f>IF(初期登録!$B$10*12+初期登録!$D$10&lt;$A466,NA(),[3]各月DI数値!$S356)</f>
        <v>87.5</v>
      </c>
      <c r="F466" s="643">
        <f>IF(初期登録!$B$10*12+初期登録!$D$10&lt;$A466,NA(),[3]各月DI数値!$AA356)</f>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c r="U466" s="34">
        <f>D:D-[3]各月DI数値!J356</f>
        <v>0</v>
      </c>
      <c r="V466" s="34">
        <f>E:E-[3]各月DI数値!S356</f>
        <v>0</v>
      </c>
      <c r="W466" s="34">
        <f>F:F-[3]各月DI数値!AA356</f>
        <v>0</v>
      </c>
    </row>
    <row r="467" spans="1:23">
      <c r="B467" s="185"/>
      <c r="C467" s="174">
        <f>IF(初期登録!$B$10*12+初期登録!$D$10&lt;$A467,"",7)</f>
        <v>7</v>
      </c>
      <c r="D467" s="642">
        <f>IF(初期登録!$B$10*12+初期登録!$D$10&lt;$A467,NA(),[3]各月DI数値!$J357)</f>
        <v>57.142857142857146</v>
      </c>
      <c r="E467" s="88">
        <f>IF(初期登録!$B$10*12+初期登録!$D$10&lt;$A467,NA(),[3]各月DI数値!$S357)</f>
        <v>87.5</v>
      </c>
      <c r="F467" s="643">
        <f>IF(初期登録!$B$10*12+初期登録!$D$10&lt;$A467,NA(),[3]各月DI数値!$AA357)</f>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c r="U467" s="34">
        <f>D:D-[3]各月DI数値!J357</f>
        <v>0</v>
      </c>
      <c r="V467" s="34">
        <f>E:E-[3]各月DI数値!S357</f>
        <v>0</v>
      </c>
      <c r="W467" s="34">
        <f>F:F-[3]各月DI数値!AA357</f>
        <v>0</v>
      </c>
    </row>
    <row r="468" spans="1:23">
      <c r="B468" s="185"/>
      <c r="C468" s="174">
        <f>IF(初期登録!$B$10*12+初期登録!$D$10&lt;$A468,"",8)</f>
        <v>8</v>
      </c>
      <c r="D468" s="642">
        <f>IF(初期登録!$B$10*12+初期登録!$D$10&lt;$A468,NA(),[3]各月DI数値!$J358)</f>
        <v>42.857142857142854</v>
      </c>
      <c r="E468" s="88">
        <f>IF(初期登録!$B$10*12+初期登録!$D$10&lt;$A468,NA(),[3]各月DI数値!$S358)</f>
        <v>62.5</v>
      </c>
      <c r="F468" s="643">
        <f>IF(初期登録!$B$10*12+初期登録!$D$10&lt;$A468,NA(),[3]各月DI数値!$AA358)</f>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c r="U468" s="34">
        <f>D:D-[3]各月DI数値!J358</f>
        <v>0</v>
      </c>
      <c r="V468" s="34">
        <f>E:E-[3]各月DI数値!S358</f>
        <v>0</v>
      </c>
      <c r="W468" s="34">
        <f>F:F-[3]各月DI数値!AA358</f>
        <v>0</v>
      </c>
    </row>
    <row r="469" spans="1:23">
      <c r="B469" s="185"/>
      <c r="C469" s="174">
        <f>IF(初期登録!$B$10*12+初期登録!$D$10&lt;$A469,"",9)</f>
        <v>9</v>
      </c>
      <c r="D469" s="642">
        <f>IF(初期登録!$B$10*12+初期登録!$D$10&lt;$A469,NA(),[3]各月DI数値!$J359)</f>
        <v>28.571428571428573</v>
      </c>
      <c r="E469" s="88">
        <f>IF(初期登録!$B$10*12+初期登録!$D$10&lt;$A469,NA(),[3]各月DI数値!$S359)</f>
        <v>31.25</v>
      </c>
      <c r="F469" s="643">
        <f>IF(初期登録!$B$10*12+初期登録!$D$10&lt;$A469,NA(),[3]各月DI数値!$AA359)</f>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c r="U469" s="34">
        <f>D:D-[3]各月DI数値!J359</f>
        <v>0</v>
      </c>
      <c r="V469" s="34">
        <f>E:E-[3]各月DI数値!S359</f>
        <v>0</v>
      </c>
      <c r="W469" s="34">
        <f>F:F-[3]各月DI数値!AA359</f>
        <v>0</v>
      </c>
    </row>
    <row r="470" spans="1:23">
      <c r="B470" s="185"/>
      <c r="C470" s="174">
        <f>IF(初期登録!$B$10*12+初期登録!$D$10&lt;$A470,"",10)</f>
        <v>10</v>
      </c>
      <c r="D470" s="642">
        <f>IF(初期登録!$B$10*12+初期登録!$D$10&lt;$A470,NA(),[3]各月DI数値!$J360)</f>
        <v>14.285714285714286</v>
      </c>
      <c r="E470" s="88">
        <f>IF(初期登録!$B$10*12+初期登録!$D$10&lt;$A470,NA(),[3]各月DI数値!$S360)</f>
        <v>43.75</v>
      </c>
      <c r="F470" s="643">
        <f>IF(初期登録!$B$10*12+初期登録!$D$10&lt;$A470,NA(),[3]各月DI数値!$AA360)</f>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c r="U470" s="34">
        <f>D:D-[3]各月DI数値!J360</f>
        <v>0</v>
      </c>
      <c r="V470" s="34">
        <f>E:E-[3]各月DI数値!S360</f>
        <v>0</v>
      </c>
      <c r="W470" s="34">
        <f>F:F-[3]各月DI数値!AA360</f>
        <v>0</v>
      </c>
    </row>
    <row r="471" spans="1:23">
      <c r="B471" s="185"/>
      <c r="C471" s="174">
        <f>IF(初期登録!$B$10*12+初期登録!$D$10&lt;$A471,"",11)</f>
        <v>11</v>
      </c>
      <c r="D471" s="642">
        <f>IF(初期登録!$B$10*12+初期登録!$D$10&lt;$A471,NA(),[3]各月DI数値!$J361)</f>
        <v>28.571428571428573</v>
      </c>
      <c r="E471" s="88">
        <f>IF(初期登録!$B$10*12+初期登録!$D$10&lt;$A471,NA(),[3]各月DI数値!$S361)</f>
        <v>75</v>
      </c>
      <c r="F471" s="643">
        <f>IF(初期登録!$B$10*12+初期登録!$D$10&lt;$A471,NA(),[3]各月DI数値!$AA361)</f>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c r="U471" s="34">
        <f>D:D-[3]各月DI数値!J361</f>
        <v>0</v>
      </c>
      <c r="V471" s="34">
        <f>E:E-[3]各月DI数値!S361</f>
        <v>0</v>
      </c>
      <c r="W471" s="34">
        <f>F:F-[3]各月DI数値!AA361</f>
        <v>0</v>
      </c>
    </row>
    <row r="472" spans="1:23">
      <c r="B472" s="186"/>
      <c r="C472" s="175">
        <f>IF(初期登録!$B$10*12+初期登録!$D$10&lt;$A472,"",12)</f>
        <v>12</v>
      </c>
      <c r="D472" s="644">
        <f>IF(初期登録!$B$10*12+初期登録!$D$10&lt;$A472,NA(),[3]各月DI数値!$J362)</f>
        <v>28.571428571428573</v>
      </c>
      <c r="E472" s="92">
        <f>IF(初期登録!$B$10*12+初期登録!$D$10&lt;$A472,NA(),[3]各月DI数値!$S362)</f>
        <v>75</v>
      </c>
      <c r="F472" s="93">
        <f>IF(初期登録!$B$10*12+初期登録!$D$10&lt;$A472,NA(),[3]各月DI数値!$AA362)</f>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c r="U472" s="34">
        <f>D:D-[3]各月DI数値!J362</f>
        <v>0</v>
      </c>
      <c r="V472" s="34">
        <f>E:E-[3]各月DI数値!S362</f>
        <v>0</v>
      </c>
      <c r="W472" s="34">
        <f>F:F-[3]各月DI数値!AA362</f>
        <v>0</v>
      </c>
    </row>
    <row r="473" spans="1:23" ht="15" customHeight="1">
      <c r="A473" s="180"/>
      <c r="B473" s="1126">
        <v>30</v>
      </c>
      <c r="C473" s="1127">
        <f>IF(初期登録!$B$10*12+初期登録!$D$10&lt;$A473,"",1)</f>
        <v>1</v>
      </c>
      <c r="D473" s="1119">
        <f>IF(初期登録!$B$10*12+初期登録!$D$10&lt;$A473,NA(),[3]各月DI数値!$J363)</f>
        <v>71.428571428571431</v>
      </c>
      <c r="E473" s="1120">
        <f>IF(初期登録!$B$10*12+初期登録!$D$10&lt;$A473,NA(),[3]各月DI数値!$S363)</f>
        <v>75</v>
      </c>
      <c r="F473" s="1121">
        <f>IF(初期登録!$B$10*12+初期登録!$D$10&lt;$A473,NA(),[3]各月DI数値!$AA363)</f>
        <v>50</v>
      </c>
      <c r="G473" s="1122">
        <f t="shared" ref="G473:G484" si="60">D473-50+G472</f>
        <v>43.571428571428854</v>
      </c>
      <c r="H473" s="1123">
        <f t="shared" ref="H473:H484" si="61">E473-50+H472</f>
        <v>1593.75</v>
      </c>
      <c r="I473" s="1124">
        <f t="shared" ref="I473:I484" si="62">F473-50+I472</f>
        <v>603.4761904761906</v>
      </c>
      <c r="J473" s="1125">
        <f t="shared" si="56"/>
        <v>2043.5714285714289</v>
      </c>
      <c r="K473" s="1123">
        <f t="shared" ref="K473:K484" si="63">IF(E473="",NA,H473)</f>
        <v>1593.75</v>
      </c>
      <c r="L473" s="632">
        <f t="shared" si="57"/>
        <v>103.4761904761906</v>
      </c>
      <c r="M473" s="188">
        <v>2018</v>
      </c>
      <c r="N473" s="183">
        <f t="shared" si="58"/>
        <v>50</v>
      </c>
      <c r="O473" s="146"/>
      <c r="P473" s="146">
        <f t="shared" si="59"/>
        <v>0</v>
      </c>
      <c r="Q473" s="159"/>
      <c r="U473" s="34">
        <f>D:D-[3]各月DI数値!J363</f>
        <v>0</v>
      </c>
      <c r="V473" s="34">
        <f>E:E-[3]各月DI数値!S363</f>
        <v>0</v>
      </c>
      <c r="W473" s="34">
        <f>F:F-[3]各月DI数値!AA363</f>
        <v>0</v>
      </c>
    </row>
    <row r="474" spans="1:23" ht="15" customHeight="1">
      <c r="B474" s="185"/>
      <c r="C474" s="174">
        <f>IF(初期登録!$B$10*12+初期登録!$D$10&lt;$A474,"",2)</f>
        <v>2</v>
      </c>
      <c r="D474" s="642">
        <f>IF(初期登録!$B$10*12+初期登録!$D$10&lt;$A474,NA(),[3]各月DI数値!$J364)</f>
        <v>71.428571428571431</v>
      </c>
      <c r="E474" s="88">
        <f>IF(初期登録!$B$10*12+初期登録!$D$10&lt;$A474,NA(),[3]各月DI数値!$S364)</f>
        <v>62.5</v>
      </c>
      <c r="F474" s="643">
        <f>IF(初期登録!$B$10*12+初期登録!$D$10&lt;$A474,NA(),[3]各月DI数値!$AA364)</f>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c r="U474" s="34">
        <f>D:D-[3]各月DI数値!J364</f>
        <v>0</v>
      </c>
      <c r="V474" s="34">
        <f>E:E-[3]各月DI数値!S364</f>
        <v>0</v>
      </c>
      <c r="W474" s="34">
        <f>F:F-[3]各月DI数値!AA364</f>
        <v>0</v>
      </c>
    </row>
    <row r="475" spans="1:23" ht="15" customHeight="1">
      <c r="B475" s="185"/>
      <c r="C475" s="174">
        <f>IF(初期登録!$B$10*12+初期登録!$D$10&lt;$A475,"",3)</f>
        <v>3</v>
      </c>
      <c r="D475" s="642">
        <f>IF(初期登録!$B$10*12+初期登録!$D$10&lt;$A475,NA(),[3]各月DI数値!$J365)</f>
        <v>85.714285714285708</v>
      </c>
      <c r="E475" s="88">
        <f>IF(初期登録!$B$10*12+初期登録!$D$10&lt;$A475,NA(),[3]各月DI数値!$S365)</f>
        <v>75</v>
      </c>
      <c r="F475" s="643">
        <f>IF(初期登録!$B$10*12+初期登録!$D$10&lt;$A475,NA(),[3]各月DI数値!$AA365)</f>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c r="U475" s="34">
        <f>D:D-[3]各月DI数値!J365</f>
        <v>0</v>
      </c>
      <c r="V475" s="34">
        <f>E:E-[3]各月DI数値!S365</f>
        <v>0</v>
      </c>
      <c r="W475" s="34">
        <f>F:F-[3]各月DI数値!AA365</f>
        <v>0</v>
      </c>
    </row>
    <row r="476" spans="1:23">
      <c r="B476" s="185"/>
      <c r="C476" s="174">
        <f>IF(初期登録!$B$10*12+初期登録!$D$10&lt;$A476,"",4)</f>
        <v>4</v>
      </c>
      <c r="D476" s="642">
        <f>IF(初期登録!$B$10*12+初期登録!$D$10&lt;$A476,NA(),[3]各月DI数値!$J366)</f>
        <v>78.571428571428569</v>
      </c>
      <c r="E476" s="88">
        <f>IF(初期登録!$B$10*12+初期登録!$D$10&lt;$A476,NA(),[3]各月DI数値!$S366)</f>
        <v>75</v>
      </c>
      <c r="F476" s="643">
        <f>IF(初期登録!$B$10*12+初期登録!$D$10&lt;$A476,NA(),[3]各月DI数値!$AA366)</f>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c r="U476" s="34">
        <f>D:D-[3]各月DI数値!J366</f>
        <v>0</v>
      </c>
      <c r="V476" s="34">
        <f>E:E-[3]各月DI数値!S366</f>
        <v>0</v>
      </c>
      <c r="W476" s="34">
        <f>F:F-[3]各月DI数値!AA366</f>
        <v>0</v>
      </c>
    </row>
    <row r="477" spans="1:23">
      <c r="B477" s="185"/>
      <c r="C477" s="174">
        <f>IF(初期登録!$B$10*12+初期登録!$D$10&lt;$A477,"",5)</f>
        <v>5</v>
      </c>
      <c r="D477" s="642">
        <f>IF(初期登録!$B$10*12+初期登録!$D$10&lt;$A477,NA(),[3]各月DI数値!$J367)</f>
        <v>71.428571428571431</v>
      </c>
      <c r="E477" s="88">
        <f>IF(初期登録!$B$10*12+初期登録!$D$10&lt;$A477,NA(),[3]各月DI数値!$S367)</f>
        <v>62.5</v>
      </c>
      <c r="F477" s="643">
        <f>IF(初期登録!$B$10*12+初期登録!$D$10&lt;$A477,NA(),[3]各月DI数値!$AA367)</f>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c r="U477" s="34">
        <f>D:D-[3]各月DI数値!J367</f>
        <v>0</v>
      </c>
      <c r="V477" s="34">
        <f>E:E-[3]各月DI数値!S367</f>
        <v>0</v>
      </c>
      <c r="W477" s="34">
        <f>F:F-[3]各月DI数値!AA367</f>
        <v>0</v>
      </c>
    </row>
    <row r="478" spans="1:23">
      <c r="B478" s="185"/>
      <c r="C478" s="174">
        <f>IF(初期登録!$B$10*12+初期登録!$D$10&lt;$A478,"",6)</f>
        <v>6</v>
      </c>
      <c r="D478" s="642">
        <f>IF(初期登録!$B$10*12+初期登録!$D$10&lt;$A478,NA(),[3]各月DI数値!$J368)</f>
        <v>64.285714285714292</v>
      </c>
      <c r="E478" s="88">
        <f>IF(初期登録!$B$10*12+初期登録!$D$10&lt;$A478,NA(),[3]各月DI数値!$S368)</f>
        <v>75</v>
      </c>
      <c r="F478" s="643">
        <f>IF(初期登録!$B$10*12+初期登録!$D$10&lt;$A478,NA(),[3]各月DI数値!$AA368)</f>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c r="U478" s="34">
        <f>D:D-[3]各月DI数値!J368</f>
        <v>0</v>
      </c>
      <c r="V478" s="34">
        <f>E:E-[3]各月DI数値!S368</f>
        <v>0</v>
      </c>
      <c r="W478" s="34">
        <f>F:F-[3]各月DI数値!AA368</f>
        <v>0</v>
      </c>
    </row>
    <row r="479" spans="1:23">
      <c r="B479" s="185"/>
      <c r="C479" s="174">
        <f>IF(初期登録!$B$10*12+初期登録!$D$10&lt;$A479,"",7)</f>
        <v>7</v>
      </c>
      <c r="D479" s="642">
        <f>IF(初期登録!$B$10*12+初期登録!$D$10&lt;$A479,NA(),[3]各月DI数値!$J369)</f>
        <v>78.571428571428569</v>
      </c>
      <c r="E479" s="88">
        <f>IF(初期登録!$B$10*12+初期登録!$D$10&lt;$A479,NA(),[3]各月DI数値!$S369)</f>
        <v>87.5</v>
      </c>
      <c r="F479" s="643">
        <f>IF(初期登録!$B$10*12+初期登録!$D$10&lt;$A479,NA(),[3]各月DI数値!$AA369)</f>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c r="U479" s="34">
        <f>D:D-[3]各月DI数値!J369</f>
        <v>0</v>
      </c>
      <c r="V479" s="34">
        <f>E:E-[3]各月DI数値!S369</f>
        <v>0</v>
      </c>
      <c r="W479" s="34">
        <f>F:F-[3]各月DI数値!AA369</f>
        <v>0</v>
      </c>
    </row>
    <row r="480" spans="1:23">
      <c r="B480" s="185"/>
      <c r="C480" s="174">
        <f>IF(初期登録!$B$10*12+初期登録!$D$10&lt;$A480,"",8)</f>
        <v>8</v>
      </c>
      <c r="D480" s="642">
        <f>IF(初期登録!$B$10*12+初期登録!$D$10&lt;$A480,NA(),[3]各月DI数値!$J370)</f>
        <v>57.142857142857146</v>
      </c>
      <c r="E480" s="88">
        <f>IF(初期登録!$B$10*12+初期登録!$D$10&lt;$A480,NA(),[3]各月DI数値!$S370)</f>
        <v>62.5</v>
      </c>
      <c r="F480" s="643">
        <f>IF(初期登録!$B$10*12+初期登録!$D$10&lt;$A480,NA(),[3]各月DI数値!$AA370)</f>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c r="U480" s="34">
        <f>D:D-[3]各月DI数値!J370</f>
        <v>0</v>
      </c>
      <c r="V480" s="34">
        <f>E:E-[3]各月DI数値!S370</f>
        <v>0</v>
      </c>
      <c r="W480" s="34">
        <f>F:F-[3]各月DI数値!AA370</f>
        <v>0</v>
      </c>
    </row>
    <row r="481" spans="1:23">
      <c r="B481" s="185"/>
      <c r="C481" s="174">
        <f>IF(初期登録!$B$10*12+初期登録!$D$10&lt;$A481,"",9)</f>
        <v>9</v>
      </c>
      <c r="D481" s="642">
        <f>IF(初期登録!$B$10*12+初期登録!$D$10&lt;$A481,NA(),[3]各月DI数値!$J371)</f>
        <v>50</v>
      </c>
      <c r="E481" s="88">
        <f>IF(初期登録!$B$10*12+初期登録!$D$10&lt;$A481,NA(),[3]各月DI数値!$S371)</f>
        <v>50</v>
      </c>
      <c r="F481" s="643">
        <f>IF(初期登録!$B$10*12+初期登録!$D$10&lt;$A481,NA(),[3]各月DI数値!$AA371)</f>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c r="U481" s="34">
        <f>D:D-[3]各月DI数値!J371</f>
        <v>0</v>
      </c>
      <c r="V481" s="34">
        <f>E:E-[3]各月DI数値!S371</f>
        <v>0</v>
      </c>
      <c r="W481" s="34">
        <f>F:F-[3]各月DI数値!AA371</f>
        <v>0</v>
      </c>
    </row>
    <row r="482" spans="1:23">
      <c r="B482" s="185"/>
      <c r="C482" s="174">
        <f>IF(初期登録!$B$10*12+初期登録!$D$10&lt;$A482,"",10)</f>
        <v>10</v>
      </c>
      <c r="D482" s="642">
        <f>IF(初期登録!$B$10*12+初期登録!$D$10&lt;$A482,NA(),[3]各月DI数値!$J372)</f>
        <v>57.142857142857146</v>
      </c>
      <c r="E482" s="88">
        <f>IF(初期登録!$B$10*12+初期登録!$D$10&lt;$A482,NA(),[3]各月DI数値!$S372)</f>
        <v>62.5</v>
      </c>
      <c r="F482" s="643">
        <f>IF(初期登録!$B$10*12+初期登録!$D$10&lt;$A482,NA(),[3]各月DI数値!$AA372)</f>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c r="U482" s="34">
        <f>D:D-[3]各月DI数値!J372</f>
        <v>0</v>
      </c>
      <c r="V482" s="34">
        <f>E:E-[3]各月DI数値!S372</f>
        <v>0</v>
      </c>
      <c r="W482" s="34">
        <f>F:F-[3]各月DI数値!AA372</f>
        <v>0</v>
      </c>
    </row>
    <row r="483" spans="1:23">
      <c r="B483" s="185"/>
      <c r="C483" s="174">
        <f>IF(初期登録!$B$10*12+初期登録!$D$10&lt;$A483,"",11)</f>
        <v>11</v>
      </c>
      <c r="D483" s="642">
        <f>IF(初期登録!$B$10*12+初期登録!$D$10&lt;$A483,NA(),[3]各月DI数値!$J373)</f>
        <v>57.142857142857146</v>
      </c>
      <c r="E483" s="88">
        <f>IF(初期登録!$B$10*12+初期登録!$D$10&lt;$A483,NA(),[3]各月DI数値!$S373)</f>
        <v>6.25</v>
      </c>
      <c r="F483" s="643">
        <f>IF(初期登録!$B$10*12+初期登録!$D$10&lt;$A483,NA(),[3]各月DI数値!$AA373)</f>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c r="U483" s="34">
        <f>D:D-[3]各月DI数値!J373</f>
        <v>0</v>
      </c>
      <c r="V483" s="34">
        <f>E:E-[3]各月DI数値!S373</f>
        <v>0</v>
      </c>
      <c r="W483" s="34">
        <f>F:F-[3]各月DI数値!AA373</f>
        <v>0</v>
      </c>
    </row>
    <row r="484" spans="1:23">
      <c r="B484" s="186"/>
      <c r="C484" s="175">
        <f>IF(初期登録!$B$10*12+初期登録!$D$10&lt;$A484,"",12)</f>
        <v>12</v>
      </c>
      <c r="D484" s="644">
        <f>IF(初期登録!$B$10*12+初期登録!$D$10&lt;$A484,NA(),[3]各月DI数値!$J374)</f>
        <v>42.857142857142854</v>
      </c>
      <c r="E484" s="92">
        <f>IF(初期登録!$B$10*12+初期登録!$D$10&lt;$A484,NA(),[3]各月DI数値!$S374)</f>
        <v>6.25</v>
      </c>
      <c r="F484" s="93">
        <f>IF(初期登録!$B$10*12+初期登録!$D$10&lt;$A484,NA(),[3]各月DI数値!$AA374)</f>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c r="U484" s="34">
        <f>D:D-[3]各月DI数値!J374</f>
        <v>0</v>
      </c>
      <c r="V484" s="34">
        <f>E:E-[3]各月DI数値!S374</f>
        <v>0</v>
      </c>
      <c r="W484" s="34">
        <f>F:F-[3]各月DI数値!AA374</f>
        <v>0</v>
      </c>
    </row>
    <row r="485" spans="1:23" ht="15" customHeight="1">
      <c r="A485" s="180"/>
      <c r="B485" s="1126" t="s">
        <v>736</v>
      </c>
      <c r="C485" s="1127">
        <f>IF(初期登録!$B$10*12+初期登録!$D$10&lt;$A473,"",1)</f>
        <v>1</v>
      </c>
      <c r="D485" s="1119">
        <f>IF(初期登録!$B$10*12+初期登録!$D$10&lt;$A485,NA(),[3]各月DI数値!$J375)</f>
        <v>85.714285714285708</v>
      </c>
      <c r="E485" s="1120">
        <f>IF(初期登録!$B$10*12+初期登録!$D$10&lt;$A485,NA(),[3]各月DI数値!$S375)</f>
        <v>12.5</v>
      </c>
      <c r="F485" s="1121">
        <f>IF(初期登録!$B$10*12+初期登録!$D$10&lt;$A485,NA(),[3]各月DI数値!$AA375)</f>
        <v>14.285714285714286</v>
      </c>
      <c r="G485" s="1122">
        <f t="shared" ref="G485:G496" si="64">D485-50+G484</f>
        <v>243.57142857142884</v>
      </c>
      <c r="H485" s="1123">
        <f t="shared" ref="H485:H496" si="65">E485-50+H484</f>
        <v>1631.25</v>
      </c>
      <c r="I485" s="1124">
        <f t="shared" ref="I485:I496" si="66">F485-50+I484</f>
        <v>503.47619047619065</v>
      </c>
      <c r="J485" s="1125">
        <f t="shared" si="56"/>
        <v>2243.5714285714289</v>
      </c>
      <c r="K485" s="1123">
        <f t="shared" ref="K485:K496" si="67">IF(E485="",NA,H485)</f>
        <v>1631.25</v>
      </c>
      <c r="L485" s="632">
        <f t="shared" si="57"/>
        <v>3.4761904761906521</v>
      </c>
      <c r="M485" s="188">
        <v>2019</v>
      </c>
      <c r="N485" s="183">
        <f t="shared" si="58"/>
        <v>50</v>
      </c>
      <c r="O485" s="146">
        <v>99</v>
      </c>
      <c r="P485" s="146">
        <f t="shared" si="59"/>
        <v>0</v>
      </c>
      <c r="Q485" s="159">
        <v>2780</v>
      </c>
      <c r="U485" s="34">
        <f>D:D-[3]各月DI数値!J375</f>
        <v>0</v>
      </c>
      <c r="V485" s="34">
        <f>E:E-[3]各月DI数値!S375</f>
        <v>0</v>
      </c>
      <c r="W485" s="34">
        <f>F:F-[3]各月DI数値!AA375</f>
        <v>0</v>
      </c>
    </row>
    <row r="486" spans="1:23" ht="15" customHeight="1">
      <c r="B486" s="185"/>
      <c r="C486" s="174">
        <f>IF(初期登録!$B$10*12+初期登録!$D$10&lt;$A474,"",2)</f>
        <v>2</v>
      </c>
      <c r="D486" s="642">
        <f>IF(初期登録!$B$10*12+初期登録!$D$10&lt;$A486,NA(),[3]各月DI数値!$J376)</f>
        <v>57.142857142857146</v>
      </c>
      <c r="E486" s="88">
        <f>IF(初期登録!$B$10*12+初期登録!$D$10&lt;$A486,NA(),[3]各月DI数値!$S376)</f>
        <v>25</v>
      </c>
      <c r="F486" s="643">
        <f>IF(初期登録!$B$10*12+初期登録!$D$10&lt;$A486,NA(),[3]各月DI数値!$AA376)</f>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c r="U486" s="34">
        <f>D:D-[3]各月DI数値!J376</f>
        <v>0</v>
      </c>
      <c r="V486" s="34">
        <f>E:E-[3]各月DI数値!S376</f>
        <v>0</v>
      </c>
      <c r="W486" s="34">
        <f>F:F-[3]各月DI数値!AA376</f>
        <v>0</v>
      </c>
    </row>
    <row r="487" spans="1:23" ht="15" customHeight="1">
      <c r="B487" s="185"/>
      <c r="C487" s="174">
        <f>IF(初期登録!$B$10*12+初期登録!$D$10&lt;$A475,"",3)</f>
        <v>3</v>
      </c>
      <c r="D487" s="642">
        <f>IF(初期登録!$B$10*12+初期登録!$D$10&lt;$A487,NA(),[3]各月DI数値!$J377)</f>
        <v>14.285714285714286</v>
      </c>
      <c r="E487" s="88">
        <f>IF(初期登録!$B$10*12+初期登録!$D$10&lt;$A487,NA(),[3]各月DI数値!$S377)</f>
        <v>37.5</v>
      </c>
      <c r="F487" s="643">
        <f>IF(初期登録!$B$10*12+初期登録!$D$10&lt;$A487,NA(),[3]各月DI数値!$AA377)</f>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c r="U487" s="34">
        <f>D:D-[3]各月DI数値!J377</f>
        <v>0</v>
      </c>
      <c r="V487" s="34">
        <f>E:E-[3]各月DI数値!S377</f>
        <v>0</v>
      </c>
      <c r="W487" s="34">
        <f>F:F-[3]各月DI数値!AA377</f>
        <v>0</v>
      </c>
    </row>
    <row r="488" spans="1:23">
      <c r="B488" s="185"/>
      <c r="C488" s="174">
        <f>IF(初期登録!$B$10*12+初期登録!$D$10&lt;$A476,"",4)</f>
        <v>4</v>
      </c>
      <c r="D488" s="642">
        <f>IF(初期登録!$B$10*12+初期登録!$D$10&lt;$A488,NA(),[3]各月DI数値!$J378)</f>
        <v>28.571428571428573</v>
      </c>
      <c r="E488" s="88">
        <f>IF(初期登録!$B$10*12+初期登録!$D$10&lt;$A488,NA(),[3]各月DI数値!$S378)</f>
        <v>50</v>
      </c>
      <c r="F488" s="643">
        <f>IF(初期登録!$B$10*12+初期登録!$D$10&lt;$A488,NA(),[3]各月DI数値!$AA378)</f>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c r="U488" s="34">
        <f>D:D-[3]各月DI数値!J378</f>
        <v>0</v>
      </c>
      <c r="V488" s="34">
        <f>E:E-[3]各月DI数値!S378</f>
        <v>0</v>
      </c>
      <c r="W488" s="34">
        <f>F:F-[3]各月DI数値!AA378</f>
        <v>0</v>
      </c>
    </row>
    <row r="489" spans="1:23">
      <c r="B489" s="185"/>
      <c r="C489" s="174">
        <f>IF(初期登録!$B$10*12+初期登録!$D$10&lt;$A477,"",5)</f>
        <v>5</v>
      </c>
      <c r="D489" s="642">
        <f>IF(初期登録!$B$10*12+初期登録!$D$10&lt;$A489,NA(),[3]各月DI数値!$J379)</f>
        <v>42.857142857142854</v>
      </c>
      <c r="E489" s="88">
        <f>IF(初期登録!$B$10*12+初期登録!$D$10&lt;$A489,NA(),[3]各月DI数値!$S379)</f>
        <v>37.5</v>
      </c>
      <c r="F489" s="643">
        <f>IF(初期登録!$B$10*12+初期登録!$D$10&lt;$A489,NA(),[3]各月DI数値!$AA379)</f>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c r="U489" s="34">
        <f>D:D-[3]各月DI数値!J379</f>
        <v>0</v>
      </c>
      <c r="V489" s="34">
        <f>E:E-[3]各月DI数値!S379</f>
        <v>0</v>
      </c>
      <c r="W489" s="34">
        <f>F:F-[3]各月DI数値!AA379</f>
        <v>0</v>
      </c>
    </row>
    <row r="490" spans="1:23">
      <c r="B490" s="185"/>
      <c r="C490" s="174">
        <f>IF(初期登録!$B$10*12+初期登録!$D$10&lt;$A478,"",6)</f>
        <v>6</v>
      </c>
      <c r="D490" s="642">
        <f>IF(初期登録!$B$10*12+初期登録!$D$10&lt;$A490,NA(),[3]各月DI数値!$J380)</f>
        <v>50</v>
      </c>
      <c r="E490" s="88">
        <f>IF(初期登録!$B$10*12+初期登録!$D$10&lt;$A490,NA(),[3]各月DI数値!$S380)</f>
        <v>62.5</v>
      </c>
      <c r="F490" s="643">
        <f>IF(初期登録!$B$10*12+初期登録!$D$10&lt;$A490,NA(),[3]各月DI数値!$AA380)</f>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c r="U490" s="34">
        <f>D:D-[3]各月DI数値!J380</f>
        <v>0</v>
      </c>
      <c r="V490" s="34">
        <f>E:E-[3]各月DI数値!S380</f>
        <v>0</v>
      </c>
      <c r="W490" s="34">
        <f>F:F-[3]各月DI数値!AA380</f>
        <v>0</v>
      </c>
    </row>
    <row r="491" spans="1:23">
      <c r="B491" s="185"/>
      <c r="C491" s="174">
        <f>IF(初期登録!$B$10*12+初期登録!$D$10&lt;$A479,"",7)</f>
        <v>7</v>
      </c>
      <c r="D491" s="642">
        <f>IF(初期登録!$B$10*12+初期登録!$D$10&lt;$A491,NA(),[3]各月DI数値!$J381)</f>
        <v>28.571428571428573</v>
      </c>
      <c r="E491" s="88">
        <f>IF(初期登録!$B$10*12+初期登録!$D$10&lt;$A491,NA(),[3]各月DI数値!$S381)</f>
        <v>12.5</v>
      </c>
      <c r="F491" s="643">
        <f>IF(初期登録!$B$10*12+初期登録!$D$10&lt;$A491,NA(),[3]各月DI数値!$AA381)</f>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c r="U491" s="34">
        <f>D:D-[3]各月DI数値!J381</f>
        <v>0</v>
      </c>
      <c r="V491" s="34">
        <f>E:E-[3]各月DI数値!S381</f>
        <v>0</v>
      </c>
      <c r="W491" s="34">
        <f>F:F-[3]各月DI数値!AA381</f>
        <v>0</v>
      </c>
    </row>
    <row r="492" spans="1:23">
      <c r="B492" s="185"/>
      <c r="C492" s="174">
        <f>IF(初期登録!$B$10*12+初期登録!$D$10&lt;$A480,"",8)</f>
        <v>8</v>
      </c>
      <c r="D492" s="642">
        <f>IF(初期登録!$B$10*12+初期登録!$D$10&lt;$A492,NA(),[3]各月DI数値!$J382)</f>
        <v>28.571428571428573</v>
      </c>
      <c r="E492" s="88">
        <f>IF(初期登録!$B$10*12+初期登録!$D$10&lt;$A492,NA(),[3]各月DI数値!$S382)</f>
        <v>25</v>
      </c>
      <c r="F492" s="643">
        <f>IF(初期登録!$B$10*12+初期登録!$D$10&lt;$A492,NA(),[3]各月DI数値!$AA382)</f>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c r="U492" s="34">
        <f>D:D-[3]各月DI数値!J382</f>
        <v>0</v>
      </c>
      <c r="V492" s="34">
        <f>E:E-[3]各月DI数値!S382</f>
        <v>0</v>
      </c>
      <c r="W492" s="34">
        <f>F:F-[3]各月DI数値!AA382</f>
        <v>0</v>
      </c>
    </row>
    <row r="493" spans="1:23">
      <c r="B493" s="185"/>
      <c r="C493" s="174">
        <f>IF(初期登録!$B$10*12+初期登録!$D$10&lt;$A481,"",9)</f>
        <v>9</v>
      </c>
      <c r="D493" s="642">
        <f>IF(初期登録!$B$10*12+初期登録!$D$10&lt;$A493,NA(),[3]各月DI数値!$J383)</f>
        <v>28.571428571428573</v>
      </c>
      <c r="E493" s="88">
        <f>IF(初期登録!$B$10*12+初期登録!$D$10&lt;$A493,NA(),[3]各月DI数値!$S383)</f>
        <v>62.5</v>
      </c>
      <c r="F493" s="643">
        <f>IF(初期登録!$B$10*12+初期登録!$D$10&lt;$A493,NA(),[3]各月DI数値!$AA383)</f>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c r="U493" s="34">
        <f>D:D-[3]各月DI数値!J383</f>
        <v>0</v>
      </c>
      <c r="V493" s="34">
        <f>E:E-[3]各月DI数値!S383</f>
        <v>0</v>
      </c>
      <c r="W493" s="34">
        <f>F:F-[3]各月DI数値!AA383</f>
        <v>0</v>
      </c>
    </row>
    <row r="494" spans="1:23">
      <c r="B494" s="185"/>
      <c r="C494" s="174">
        <f>IF(初期登録!$B$10*12+初期登録!$D$10&lt;$A482,"",10)</f>
        <v>10</v>
      </c>
      <c r="D494" s="642">
        <f>IF(初期登録!$B$10*12+初期登録!$D$10&lt;$A494,NA(),[3]各月DI数値!$J384)</f>
        <v>21.428571428571427</v>
      </c>
      <c r="E494" s="88">
        <f>IF(初期登録!$B$10*12+初期登録!$D$10&lt;$A494,NA(),[3]各月DI数値!$S384)</f>
        <v>25</v>
      </c>
      <c r="F494" s="643">
        <f>IF(初期登録!$B$10*12+初期登録!$D$10&lt;$A494,NA(),[3]各月DI数値!$AA384)</f>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c r="U494" s="34">
        <f>D:D-[3]各月DI数値!J384</f>
        <v>0</v>
      </c>
      <c r="V494" s="34">
        <f>E:E-[3]各月DI数値!S384</f>
        <v>0</v>
      </c>
      <c r="W494" s="34">
        <f>F:F-[3]各月DI数値!AA384</f>
        <v>0</v>
      </c>
    </row>
    <row r="495" spans="1:23">
      <c r="B495" s="185"/>
      <c r="C495" s="174">
        <f>IF(初期登録!$B$10*12+初期登録!$D$10&lt;$A483,"",11)</f>
        <v>11</v>
      </c>
      <c r="D495" s="642">
        <f>IF(初期登録!$B$10*12+初期登録!$D$10&lt;$A495,NA(),[3]各月DI数値!$J385)</f>
        <v>28.571428571428573</v>
      </c>
      <c r="E495" s="88">
        <f>IF(初期登録!$B$10*12+初期登録!$D$10&lt;$A495,NA(),[3]各月DI数値!$S385)</f>
        <v>12.5</v>
      </c>
      <c r="F495" s="643">
        <f>IF(初期登録!$B$10*12+初期登録!$D$10&lt;$A495,NA(),[3]各月DI数値!$AA385)</f>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c r="U495" s="34">
        <f>D:D-[3]各月DI数値!J385</f>
        <v>0</v>
      </c>
      <c r="V495" s="34">
        <f>E:E-[3]各月DI数値!S385</f>
        <v>0</v>
      </c>
      <c r="W495" s="34">
        <f>F:F-[3]各月DI数値!AA385</f>
        <v>0</v>
      </c>
    </row>
    <row r="496" spans="1:23">
      <c r="B496" s="186"/>
      <c r="C496" s="175">
        <f>IF(初期登録!$B$10*12+初期登録!$D$10&lt;$A484,"",12)</f>
        <v>12</v>
      </c>
      <c r="D496" s="644">
        <f>IF(初期登録!$B$10*12+初期登録!$D$10&lt;$A496,NA(),[3]各月DI数値!$J386)</f>
        <v>14.285714285714286</v>
      </c>
      <c r="E496" s="92">
        <f>IF(初期登録!$B$10*12+初期登録!$D$10&lt;$A496,NA(),[3]各月DI数値!$S386)</f>
        <v>12.5</v>
      </c>
      <c r="F496" s="93">
        <f>IF(初期登録!$B$10*12+初期登録!$D$10&lt;$A496,NA(),[3]各月DI数値!$AA386)</f>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c r="U496" s="34">
        <f>D:D-[3]各月DI数値!J386</f>
        <v>0</v>
      </c>
      <c r="V496" s="34">
        <f>E:E-[3]各月DI数値!S386</f>
        <v>0</v>
      </c>
      <c r="W496" s="34">
        <f>F:F-[3]各月DI数値!AA386</f>
        <v>0</v>
      </c>
    </row>
    <row r="497" spans="2:23">
      <c r="B497" s="1126">
        <v>2</v>
      </c>
      <c r="C497" s="1127">
        <f>IF(初期登録!$B$10*12+初期登録!$D$10&lt;$A473,"",1)</f>
        <v>1</v>
      </c>
      <c r="D497" s="1119">
        <f>IF(初期登録!$B$10*12+初期登録!$D$10&lt;$A497,NA(),[3]各月DI数値!$J387)</f>
        <v>28.571428571428573</v>
      </c>
      <c r="E497" s="1120">
        <f>IF(初期登録!$B$10*12+初期登録!$D$10&lt;$A497,NA(),[3]各月DI数値!$S387)</f>
        <v>12.5</v>
      </c>
      <c r="F497" s="1121">
        <f>IF(初期登録!$B$10*12+初期登録!$D$10&lt;$A497,NA(),[3]各月DI数値!$AA387)</f>
        <v>28.571428571428573</v>
      </c>
      <c r="G497" s="1122">
        <f t="shared" ref="G497:G521" si="68">D497-50+G496</f>
        <v>15.000000000000295</v>
      </c>
      <c r="H497" s="1123">
        <f t="shared" ref="H497:H521" si="69">E497-50+H496</f>
        <v>1406.25</v>
      </c>
      <c r="I497" s="1124">
        <f t="shared" ref="I497:I521" si="70">F497-50+I496</f>
        <v>574.90476190476193</v>
      </c>
      <c r="J497" s="1125">
        <f t="shared" si="56"/>
        <v>2015.0000000000002</v>
      </c>
      <c r="K497" s="1123">
        <f t="shared" ref="K497:K521" si="71">IF(E497="",NA,H497)</f>
        <v>1406.25</v>
      </c>
      <c r="L497" s="632">
        <f t="shared" si="57"/>
        <v>74.904761904761926</v>
      </c>
      <c r="M497" s="188">
        <v>2020</v>
      </c>
      <c r="N497" s="183">
        <f>IF(C484="",NA(),50)</f>
        <v>50</v>
      </c>
      <c r="O497" s="146">
        <v>99</v>
      </c>
      <c r="P497" s="146">
        <f>IF(C484="",NA(),0)</f>
        <v>0</v>
      </c>
      <c r="Q497" s="159">
        <v>2780</v>
      </c>
      <c r="U497" s="34">
        <f>D:D-[3]各月DI数値!J387</f>
        <v>0</v>
      </c>
      <c r="V497" s="34">
        <f>E:E-[3]各月DI数値!S387</f>
        <v>0</v>
      </c>
      <c r="W497" s="34">
        <f>F:F-[3]各月DI数値!AA387</f>
        <v>0</v>
      </c>
    </row>
    <row r="498" spans="2:23">
      <c r="B498" s="185"/>
      <c r="C498" s="174">
        <f>IF(初期登録!$B$10*12+初期登録!$D$10&lt;$A474,"",2)</f>
        <v>2</v>
      </c>
      <c r="D498" s="642">
        <f>IF(初期登録!$B$10*12+初期登録!$D$10&lt;$A498,NA(),[3]各月DI数値!$J388)</f>
        <v>14.285714285714286</v>
      </c>
      <c r="E498" s="88">
        <f>IF(初期登録!$B$10*12+初期登録!$D$10&lt;$A498,NA(),[3]各月DI数値!$S388)</f>
        <v>37.5</v>
      </c>
      <c r="F498" s="643">
        <f>IF(初期登録!$B$10*12+初期登録!$D$10&lt;$A498,NA(),[3]各月DI数値!$AA388)</f>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c r="U498" s="34">
        <f>D:D-[3]各月DI数値!J388</f>
        <v>0</v>
      </c>
      <c r="V498" s="34">
        <f>E:E-[3]各月DI数値!S388</f>
        <v>0</v>
      </c>
      <c r="W498" s="34">
        <f>F:F-[3]各月DI数値!AA388</f>
        <v>0</v>
      </c>
    </row>
    <row r="499" spans="2:23">
      <c r="B499" s="185"/>
      <c r="C499" s="174">
        <f>IF(初期登録!$B$10*12+初期登録!$D$10&lt;$A475,"",3)</f>
        <v>3</v>
      </c>
      <c r="D499" s="642">
        <f>IF(初期登録!$B$10*12+初期登録!$D$10&lt;$A499,NA(),[3]各月DI数値!$J389)</f>
        <v>28.571428571428573</v>
      </c>
      <c r="E499" s="88">
        <f>IF(初期登録!$B$10*12+初期登録!$D$10&lt;$A499,NA(),[3]各月DI数値!$S389)</f>
        <v>37.5</v>
      </c>
      <c r="F499" s="643">
        <f>IF(初期登録!$B$10*12+初期登録!$D$10&lt;$A499,NA(),[3]各月DI数値!$AA389)</f>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c r="U499" s="34">
        <f>D:D-[3]各月DI数値!J389</f>
        <v>0</v>
      </c>
      <c r="V499" s="34">
        <f>E:E-[3]各月DI数値!S389</f>
        <v>0</v>
      </c>
      <c r="W499" s="34">
        <f>F:F-[3]各月DI数値!AA389</f>
        <v>0</v>
      </c>
    </row>
    <row r="500" spans="2:23">
      <c r="B500" s="185"/>
      <c r="C500" s="174">
        <f>IF(初期登録!$B$10*12+初期登録!$D$10&lt;$A476,"",4)</f>
        <v>4</v>
      </c>
      <c r="D500" s="642">
        <f>IF(初期登録!$B$10*12+初期登録!$D$10&lt;$A500,NA(),[3]各月DI数値!$J390)</f>
        <v>14.285714285714286</v>
      </c>
      <c r="E500" s="88">
        <f>IF(初期登録!$B$10*12+初期登録!$D$10&lt;$A500,NA(),[3]各月DI数値!$S390)</f>
        <v>50</v>
      </c>
      <c r="F500" s="643">
        <f>IF(初期登録!$B$10*12+初期登録!$D$10&lt;$A500,NA(),[3]各月DI数値!$AA390)</f>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c r="U500" s="34">
        <f>D:D-[3]各月DI数値!J390</f>
        <v>0</v>
      </c>
      <c r="V500" s="34">
        <f>E:E-[3]各月DI数値!S390</f>
        <v>0</v>
      </c>
      <c r="W500" s="34">
        <f>F:F-[3]各月DI数値!AA390</f>
        <v>0</v>
      </c>
    </row>
    <row r="501" spans="2:23">
      <c r="B501" s="185"/>
      <c r="C501" s="174">
        <f>IF(初期登録!$B$10*12+初期登録!$D$10&lt;$A477,"",5)</f>
        <v>5</v>
      </c>
      <c r="D501" s="642">
        <f>IF(初期登録!$B$10*12+初期登録!$D$10&lt;$A501,NA(),[3]各月DI数値!$J391)</f>
        <v>14.285714285714286</v>
      </c>
      <c r="E501" s="88">
        <f>IF(初期登録!$B$10*12+初期登録!$D$10&lt;$A501,NA(),[3]各月DI数値!$S391)</f>
        <v>0</v>
      </c>
      <c r="F501" s="643">
        <f>IF(初期登録!$B$10*12+初期登録!$D$10&lt;$A501,NA(),[3]各月DI数値!$AA391)</f>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c r="U501" s="34">
        <f>D:D-[3]各月DI数値!J391</f>
        <v>0</v>
      </c>
      <c r="V501" s="34">
        <f>E:E-[3]各月DI数値!S391</f>
        <v>0</v>
      </c>
      <c r="W501" s="34">
        <f>F:F-[3]各月DI数値!AA391</f>
        <v>0</v>
      </c>
    </row>
    <row r="502" spans="2:23">
      <c r="B502" s="185"/>
      <c r="C502" s="174">
        <f>IF(初期登録!$B$10*12+初期登録!$D$10&lt;$A478,"",6)</f>
        <v>6</v>
      </c>
      <c r="D502" s="642">
        <f>IF(初期登録!$B$10*12+初期登録!$D$10&lt;$A502,NA(),[3]各月DI数値!$J392)</f>
        <v>14.285714285714286</v>
      </c>
      <c r="E502" s="88">
        <f>IF(初期登録!$B$10*12+初期登録!$D$10&lt;$A502,NA(),[3]各月DI数値!$S392)</f>
        <v>0</v>
      </c>
      <c r="F502" s="643">
        <f>IF(初期登録!$B$10*12+初期登録!$D$10&lt;$A502,NA(),[3]各月DI数値!$AA392)</f>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c r="U502" s="34">
        <f>D:D-[3]各月DI数値!J392</f>
        <v>0</v>
      </c>
      <c r="V502" s="34">
        <f>E:E-[3]各月DI数値!S392</f>
        <v>0</v>
      </c>
      <c r="W502" s="34">
        <f>F:F-[3]各月DI数値!AA392</f>
        <v>0</v>
      </c>
    </row>
    <row r="503" spans="2:23">
      <c r="B503" s="185"/>
      <c r="C503" s="174">
        <f>IF(初期登録!$B$10*12+初期登録!$D$10&lt;$A479,"",7)</f>
        <v>7</v>
      </c>
      <c r="D503" s="642">
        <f>IF(初期登録!$B$10*12+初期登録!$D$10&lt;$A503,NA(),[3]各月DI数値!$J393)</f>
        <v>14.285714285714286</v>
      </c>
      <c r="E503" s="88">
        <f>IF(初期登録!$B$10*12+初期登録!$D$10&lt;$A503,NA(),[3]各月DI数値!$S393)</f>
        <v>12.5</v>
      </c>
      <c r="F503" s="643">
        <f>IF(初期登録!$B$10*12+初期登録!$D$10&lt;$A503,NA(),[3]各月DI数値!$AA393)</f>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c r="U503" s="34">
        <f>D:D-[3]各月DI数値!J393</f>
        <v>0</v>
      </c>
      <c r="V503" s="34">
        <f>E:E-[3]各月DI数値!S393</f>
        <v>0</v>
      </c>
      <c r="W503" s="34">
        <f>F:F-[3]各月DI数値!AA393</f>
        <v>0</v>
      </c>
    </row>
    <row r="504" spans="2:23">
      <c r="B504" s="185"/>
      <c r="C504" s="174">
        <f>IF(初期登録!$B$10*12+初期登録!$D$10&lt;$A480,"",8)</f>
        <v>8</v>
      </c>
      <c r="D504" s="642">
        <f>IF(初期登録!$B$10*12+初期登録!$D$10&lt;$A504,NA(),[3]各月DI数値!$J394)</f>
        <v>42.857142857142854</v>
      </c>
      <c r="E504" s="88">
        <f>IF(初期登録!$B$10*12+初期登録!$D$10&lt;$A504,NA(),[3]各月DI数値!$S394)</f>
        <v>0</v>
      </c>
      <c r="F504" s="643">
        <f>IF(初期登録!$B$10*12+初期登録!$D$10&lt;$A504,NA(),[3]各月DI数値!$AA394)</f>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c r="U504" s="34">
        <f>D:D-[3]各月DI数値!J394</f>
        <v>0</v>
      </c>
      <c r="V504" s="34">
        <f>E:E-[3]各月DI数値!S394</f>
        <v>0</v>
      </c>
      <c r="W504" s="34">
        <f>F:F-[3]各月DI数値!AA394</f>
        <v>0</v>
      </c>
    </row>
    <row r="505" spans="2:23">
      <c r="B505" s="185"/>
      <c r="C505" s="174">
        <f>IF(初期登録!$B$10*12+初期登録!$D$10&lt;$A481,"",9)</f>
        <v>9</v>
      </c>
      <c r="D505" s="642">
        <f>IF(初期登録!$B$10*12+初期登録!$D$10&lt;$A505,NA(),[3]各月DI数値!$J395)</f>
        <v>71.428571428571431</v>
      </c>
      <c r="E505" s="88">
        <f>IF(初期登録!$B$10*12+初期登録!$D$10&lt;$A505,NA(),[3]各月DI数値!$S395)</f>
        <v>0</v>
      </c>
      <c r="F505" s="643">
        <f>IF(初期登録!$B$10*12+初期登録!$D$10&lt;$A505,NA(),[3]各月DI数値!$AA395)</f>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c r="U505" s="34">
        <f>D:D-[3]各月DI数値!J395</f>
        <v>0</v>
      </c>
      <c r="V505" s="34">
        <f>E:E-[3]各月DI数値!S395</f>
        <v>0</v>
      </c>
      <c r="W505" s="34">
        <f>F:F-[3]各月DI数値!AA395</f>
        <v>0</v>
      </c>
    </row>
    <row r="506" spans="2:23">
      <c r="B506" s="185"/>
      <c r="C506" s="174">
        <f>IF(初期登録!$B$10*12+初期登録!$D$10&lt;$A482,"",10)</f>
        <v>10</v>
      </c>
      <c r="D506" s="642">
        <f>IF(初期登録!$B$10*12+初期登録!$D$10&lt;$A506,NA(),[3]各月DI数値!$J396)</f>
        <v>71.428571428571431</v>
      </c>
      <c r="E506" s="88">
        <f>IF(初期登録!$B$10*12+初期登録!$D$10&lt;$A506,NA(),[3]各月DI数値!$S396)</f>
        <v>75</v>
      </c>
      <c r="F506" s="643">
        <f>IF(初期登録!$B$10*12+初期登録!$D$10&lt;$A506,NA(),[3]各月DI数値!$AA396)</f>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c r="U506" s="34">
        <f>D:D-[3]各月DI数値!J396</f>
        <v>0</v>
      </c>
      <c r="V506" s="34">
        <f>E:E-[3]各月DI数値!S396</f>
        <v>0</v>
      </c>
      <c r="W506" s="34">
        <f>F:F-[3]各月DI数値!AA396</f>
        <v>0</v>
      </c>
    </row>
    <row r="507" spans="2:23">
      <c r="B507" s="185"/>
      <c r="C507" s="174">
        <f>IF(初期登録!$B$10*12+初期登録!$D$10&lt;$A483,"",11)</f>
        <v>11</v>
      </c>
      <c r="D507" s="642">
        <f>IF(初期登録!$B$10*12+初期登録!$D$10&lt;$A507,NA(),[3]各月DI数値!$J397)</f>
        <v>85.714285714285708</v>
      </c>
      <c r="E507" s="88">
        <f>IF(初期登録!$B$10*12+初期登録!$D$10&lt;$A507,NA(),[3]各月DI数値!$S397)</f>
        <v>100</v>
      </c>
      <c r="F507" s="643">
        <f>IF(初期登録!$B$10*12+初期登録!$D$10&lt;$A507,NA(),[3]各月DI数値!$AA397)</f>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c r="U507" s="34">
        <f>D:D-[3]各月DI数値!J397</f>
        <v>0</v>
      </c>
      <c r="V507" s="34">
        <f>E:E-[3]各月DI数値!S397</f>
        <v>0</v>
      </c>
      <c r="W507" s="34">
        <f>F:F-[3]各月DI数値!AA397</f>
        <v>0</v>
      </c>
    </row>
    <row r="508" spans="2:23" ht="12.75" customHeight="1">
      <c r="B508" s="186"/>
      <c r="C508" s="175">
        <f>IF(初期登録!$B$10*12+初期登録!$D$10&lt;$A484,"",12)</f>
        <v>12</v>
      </c>
      <c r="D508" s="644">
        <f>IF(初期登録!$B$10*12+初期登録!$D$10&lt;$A508,NA(),[3]各月DI数値!$J398)</f>
        <v>71.428571428571431</v>
      </c>
      <c r="E508" s="92">
        <f>IF(初期登録!$B$10*12+初期登録!$D$10&lt;$A508,NA(),[3]各月DI数値!$S398)</f>
        <v>87.5</v>
      </c>
      <c r="F508" s="93">
        <f>IF(初期登録!$B$10*12+初期登録!$D$10&lt;$A508,NA(),[3]各月DI数値!$AA398)</f>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c r="U508" s="34">
        <f>D:D-[3]各月DI数値!J398</f>
        <v>0</v>
      </c>
      <c r="V508" s="34">
        <f>E:E-[3]各月DI数値!S398</f>
        <v>0</v>
      </c>
      <c r="W508" s="34">
        <f>F:F-[3]各月DI数値!AA398</f>
        <v>0</v>
      </c>
    </row>
    <row r="509" spans="2:23">
      <c r="B509" s="1126">
        <v>3</v>
      </c>
      <c r="C509" s="1127">
        <f>IF(初期登録!$B$10*12+初期登録!$D$10&lt;$A473,"",1)</f>
        <v>1</v>
      </c>
      <c r="D509" s="1119">
        <f>IF(初期登録!$B$10*12+初期登録!$D$10&lt;$A509,NA(),[3]各月DI数値!$J399)</f>
        <v>57.142857142857146</v>
      </c>
      <c r="E509" s="1120">
        <f>IF(初期登録!$B$10*12+初期登録!$D$10&lt;$A509,NA(),[3]各月DI数値!$S399)</f>
        <v>87.5</v>
      </c>
      <c r="F509" s="1121">
        <f>IF(初期登録!$B$10*12+初期登録!$D$10&lt;$A509,NA(),[3]各月DI数値!$AA399)</f>
        <v>50</v>
      </c>
      <c r="G509" s="1122">
        <f t="shared" si="68"/>
        <v>-84.999999999999716</v>
      </c>
      <c r="H509" s="1123">
        <f t="shared" si="69"/>
        <v>1293.75</v>
      </c>
      <c r="I509" s="1124">
        <f t="shared" si="70"/>
        <v>467.76190476190465</v>
      </c>
      <c r="J509" s="1125">
        <f t="shared" si="56"/>
        <v>1915.0000000000002</v>
      </c>
      <c r="K509" s="1123">
        <f t="shared" si="71"/>
        <v>1293.75</v>
      </c>
      <c r="L509" s="632">
        <f t="shared" si="57"/>
        <v>-32.238095238095354</v>
      </c>
      <c r="M509" s="188">
        <v>2021</v>
      </c>
      <c r="N509" s="183">
        <f>IF(C484="",NA(),50)</f>
        <v>50</v>
      </c>
      <c r="O509" s="146"/>
      <c r="P509" s="146">
        <f>IF(C484="",NA(),0)</f>
        <v>0</v>
      </c>
      <c r="Q509" s="159"/>
      <c r="U509" s="34">
        <f>D:D-[3]各月DI数値!J399</f>
        <v>0</v>
      </c>
      <c r="V509" s="34">
        <f>E:E-[3]各月DI数値!S399</f>
        <v>0</v>
      </c>
      <c r="W509" s="34">
        <f>F:F-[3]各月DI数値!AA399</f>
        <v>0</v>
      </c>
    </row>
    <row r="510" spans="2:23">
      <c r="B510" s="185"/>
      <c r="C510" s="174">
        <f>IF(初期登録!$B$10*12+初期登録!$D$10&lt;$A474,"",2)</f>
        <v>2</v>
      </c>
      <c r="D510" s="642">
        <f>IF(初期登録!$B$10*12+初期登録!$D$10&lt;$A510,NA(),[3]各月DI数値!$J400)</f>
        <v>28.571428571428573</v>
      </c>
      <c r="E510" s="88">
        <f>IF(初期登録!$B$10*12+初期登録!$D$10&lt;$A510,NA(),[3]各月DI数値!$S400)</f>
        <v>87.5</v>
      </c>
      <c r="F510" s="643">
        <f>IF(初期登録!$B$10*12+初期登録!$D$10&lt;$A510,NA(),[3]各月DI数値!$AA400)</f>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c r="U510" s="34">
        <f>D:D-[3]各月DI数値!J400</f>
        <v>0</v>
      </c>
      <c r="V510" s="34">
        <f>E:E-[3]各月DI数値!S400</f>
        <v>0</v>
      </c>
      <c r="W510" s="34">
        <f>F:F-[3]各月DI数値!AA400</f>
        <v>0</v>
      </c>
    </row>
    <row r="511" spans="2:23">
      <c r="B511" s="185"/>
      <c r="C511" s="174">
        <f>IF(初期登録!$B$10*12+初期登録!$D$10&lt;$A475,"",3)</f>
        <v>3</v>
      </c>
      <c r="D511" s="642">
        <f>IF(初期登録!$B$10*12+初期登録!$D$10&lt;$A511,NA(),[3]各月DI数値!$J401)</f>
        <v>42.857142857142854</v>
      </c>
      <c r="E511" s="88">
        <f>IF(初期登録!$B$10*12+初期登録!$D$10&lt;$A511,NA(),[3]各月DI数値!$S401)</f>
        <v>75</v>
      </c>
      <c r="F511" s="643">
        <f>IF(初期登録!$B$10*12+初期登録!$D$10&lt;$A511,NA(),[3]各月DI数値!$AA401)</f>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c r="U511" s="34">
        <f>D:D-[3]各月DI数値!J401</f>
        <v>0</v>
      </c>
      <c r="V511" s="34">
        <f>E:E-[3]各月DI数値!S401</f>
        <v>0</v>
      </c>
      <c r="W511" s="34">
        <f>F:F-[3]各月DI数値!AA401</f>
        <v>0</v>
      </c>
    </row>
    <row r="512" spans="2:23">
      <c r="B512" s="185"/>
      <c r="C512" s="174">
        <f>IF(初期登録!$B$10*12+初期登録!$D$10&lt;$A476,"",4)</f>
        <v>4</v>
      </c>
      <c r="D512" s="642">
        <f>IF(初期登録!$B$10*12+初期登録!$D$10&lt;$A512,NA(),[3]各月DI数値!$J402)</f>
        <v>71.428571428571431</v>
      </c>
      <c r="E512" s="88">
        <f>IF(初期登録!$B$10*12+初期登録!$D$10&lt;$A512,NA(),[3]各月DI数値!$S402)</f>
        <v>87.5</v>
      </c>
      <c r="F512" s="643">
        <f>IF(初期登録!$B$10*12+初期登録!$D$10&lt;$A512,NA(),[3]各月DI数値!$AA402)</f>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c r="U512" s="34">
        <f>D:D-[3]各月DI数値!J402</f>
        <v>0</v>
      </c>
      <c r="V512" s="34">
        <f>E:E-[3]各月DI数値!S402</f>
        <v>0</v>
      </c>
      <c r="W512" s="34">
        <f>F:F-[3]各月DI数値!AA402</f>
        <v>0</v>
      </c>
    </row>
    <row r="513" spans="2:23">
      <c r="B513" s="185"/>
      <c r="C513" s="174">
        <f>IF(初期登録!$B$10*12+初期登録!$D$10&lt;$A477,"",5)</f>
        <v>5</v>
      </c>
      <c r="D513" s="642">
        <f>IF(初期登録!$B$10*12+初期登録!$D$10&lt;$A513,NA(),[3]各月DI数値!$J403)</f>
        <v>57.142857142857146</v>
      </c>
      <c r="E513" s="88">
        <f>IF(初期登録!$B$10*12+初期登録!$D$10&lt;$A513,NA(),[3]各月DI数値!$S403)</f>
        <v>100</v>
      </c>
      <c r="F513" s="643">
        <f>IF(初期登録!$B$10*12+初期登録!$D$10&lt;$A513,NA(),[3]各月DI数値!$AA403)</f>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c r="U513" s="34">
        <f>D:D-[3]各月DI数値!J403</f>
        <v>0</v>
      </c>
      <c r="V513" s="34">
        <f>E:E-[3]各月DI数値!S403</f>
        <v>0</v>
      </c>
      <c r="W513" s="34">
        <f>F:F-[3]各月DI数値!AA403</f>
        <v>0</v>
      </c>
    </row>
    <row r="514" spans="2:23">
      <c r="B514" s="185"/>
      <c r="C514" s="174">
        <f>IF(初期登録!$B$10*12+初期登録!$D$10&lt;$A478,"",6)</f>
        <v>6</v>
      </c>
      <c r="D514" s="642">
        <f>IF(初期登録!$B$10*12+初期登録!$D$10&lt;$A514,NA(),[3]各月DI数値!$J404)</f>
        <v>42.857142857142854</v>
      </c>
      <c r="E514" s="88">
        <f>IF(初期登録!$B$10*12+初期登録!$D$10&lt;$A514,NA(),[3]各月DI数値!$S404)</f>
        <v>87.5</v>
      </c>
      <c r="F514" s="643">
        <f>IF(初期登録!$B$10*12+初期登録!$D$10&lt;$A514,NA(),[3]各月DI数値!$AA404)</f>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c r="U514" s="34">
        <f>D:D-[3]各月DI数値!J404</f>
        <v>0</v>
      </c>
      <c r="V514" s="34">
        <f>E:E-[3]各月DI数値!S404</f>
        <v>0</v>
      </c>
      <c r="W514" s="34">
        <f>F:F-[3]各月DI数値!AA404</f>
        <v>0</v>
      </c>
    </row>
    <row r="515" spans="2:23">
      <c r="B515" s="185"/>
      <c r="C515" s="174">
        <f>IF(初期登録!$B$10*12+初期登録!$D$10&lt;$A479,"",7)</f>
        <v>7</v>
      </c>
      <c r="D515" s="642">
        <f>IF(初期登録!$B$10*12+初期登録!$D$10&lt;$A515,NA(),[3]各月DI数値!$J405)</f>
        <v>64.285714285714292</v>
      </c>
      <c r="E515" s="88">
        <f>IF(初期登録!$B$10*12+初期登録!$D$10&lt;$A515,NA(),[3]各月DI数値!$S405)</f>
        <v>87.5</v>
      </c>
      <c r="F515" s="643">
        <f>IF(初期登録!$B$10*12+初期登録!$D$10&lt;$A515,NA(),[3]各月DI数値!$AA405)</f>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c r="U515" s="34">
        <f>D:D-[3]各月DI数値!J405</f>
        <v>0</v>
      </c>
      <c r="V515" s="34">
        <f>E:E-[3]各月DI数値!S405</f>
        <v>0</v>
      </c>
      <c r="W515" s="34">
        <f>F:F-[3]各月DI数値!AA405</f>
        <v>0</v>
      </c>
    </row>
    <row r="516" spans="2:23">
      <c r="B516" s="185"/>
      <c r="C516" s="174">
        <f>IF(初期登録!$B$10*12+初期登録!$D$10&lt;$A480,"",8)</f>
        <v>8</v>
      </c>
      <c r="D516" s="642">
        <f>IF(初期登録!$B$10*12+初期登録!$D$10&lt;$A516,NA(),[3]各月DI数値!$J406)</f>
        <v>71.428571428571431</v>
      </c>
      <c r="E516" s="88">
        <f>IF(初期登録!$B$10*12+初期登録!$D$10&lt;$A516,NA(),[3]各月DI数値!$S406)</f>
        <v>100</v>
      </c>
      <c r="F516" s="643">
        <f>IF(初期登録!$B$10*12+初期登録!$D$10&lt;$A516,NA(),[3]各月DI数値!$AA406)</f>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c r="U516" s="34">
        <f>D:D-[3]各月DI数値!J406</f>
        <v>0</v>
      </c>
      <c r="V516" s="34">
        <f>E:E-[3]各月DI数値!S406</f>
        <v>0</v>
      </c>
      <c r="W516" s="34">
        <f>F:F-[3]各月DI数値!AA406</f>
        <v>0</v>
      </c>
    </row>
    <row r="517" spans="2:23">
      <c r="B517" s="185"/>
      <c r="C517" s="174">
        <f>IF(初期登録!$B$10*12+初期登録!$D$10&lt;$A481,"",9)</f>
        <v>9</v>
      </c>
      <c r="D517" s="642">
        <f>IF(初期登録!$B$10*12+初期登録!$D$10&lt;$A517,NA(),[3]各月DI数値!$J407)</f>
        <v>42.857142857142854</v>
      </c>
      <c r="E517" s="88">
        <f>IF(初期登録!$B$10*12+初期登録!$D$10&lt;$A517,NA(),[3]各月DI数値!$S407)</f>
        <v>75</v>
      </c>
      <c r="F517" s="643">
        <f>IF(初期登録!$B$10*12+初期登録!$D$10&lt;$A517,NA(),[3]各月DI数値!$AA407)</f>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c r="U517" s="34">
        <f>D:D-[3]各月DI数値!J407</f>
        <v>0</v>
      </c>
      <c r="V517" s="34">
        <f>E:E-[3]各月DI数値!S407</f>
        <v>0</v>
      </c>
      <c r="W517" s="34">
        <f>F:F-[3]各月DI数値!AA407</f>
        <v>0</v>
      </c>
    </row>
    <row r="518" spans="2:23">
      <c r="B518" s="185"/>
      <c r="C518" s="174">
        <f>IF(初期登録!$B$10*12+初期登録!$D$10&lt;$A482,"",10)</f>
        <v>10</v>
      </c>
      <c r="D518" s="642">
        <f>IF(初期登録!$B$10*12+初期登録!$D$10&lt;$A518,NA(),[3]各月DI数値!$J408)</f>
        <v>35.714285714285715</v>
      </c>
      <c r="E518" s="88">
        <f>IF(初期登録!$B$10*12+初期登録!$D$10&lt;$A518,NA(),[3]各月DI数値!$S408)</f>
        <v>75</v>
      </c>
      <c r="F518" s="643">
        <f>IF(初期登録!$B$10*12+初期登録!$D$10&lt;$A518,NA(),[3]各月DI数値!$AA408)</f>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c r="U518" s="34">
        <f>D:D-[3]各月DI数値!J408</f>
        <v>0</v>
      </c>
      <c r="V518" s="34">
        <f>E:E-[3]各月DI数値!S408</f>
        <v>0</v>
      </c>
      <c r="W518" s="34">
        <f>F:F-[3]各月DI数値!AA408</f>
        <v>0</v>
      </c>
    </row>
    <row r="519" spans="2:23">
      <c r="B519" s="185"/>
      <c r="C519" s="174">
        <f>IF(初期登録!$B$10*12+初期登録!$D$10&lt;$A483,"",11)</f>
        <v>11</v>
      </c>
      <c r="D519" s="642">
        <f>IF(初期登録!$B$10*12+初期登録!$D$10&lt;$A519,NA(),[3]各月DI数値!$J409)</f>
        <v>42.857142857142854</v>
      </c>
      <c r="E519" s="88">
        <f>IF(初期登録!$B$10*12+初期登録!$D$10&lt;$A519,NA(),[3]各月DI数値!$S409)</f>
        <v>75</v>
      </c>
      <c r="F519" s="643">
        <f>IF(初期登録!$B$10*12+初期登録!$D$10&lt;$A519,NA(),[3]各月DI数値!$AA409)</f>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c r="U519" s="34">
        <f>D:D-[3]各月DI数値!J409</f>
        <v>0</v>
      </c>
      <c r="V519" s="34">
        <f>E:E-[3]各月DI数値!S409</f>
        <v>0</v>
      </c>
      <c r="W519" s="34">
        <f>F:F-[3]各月DI数値!AA409</f>
        <v>0</v>
      </c>
    </row>
    <row r="520" spans="2:23">
      <c r="B520" s="186"/>
      <c r="C520" s="175">
        <f>IF(初期登録!$B$10*12+初期登録!$D$10&lt;$A484,"",12)</f>
        <v>12</v>
      </c>
      <c r="D520" s="1037">
        <f>IF(初期登録!$B$10*12+初期登録!$D$10&lt;$A520,NA(),[3]各月DI数値!$J410)</f>
        <v>42.857142857142854</v>
      </c>
      <c r="E520" s="1038">
        <f>IF(初期登録!$B$10*12+初期登録!$D$10&lt;$A520,NA(),[3]各月DI数値!$S410)</f>
        <v>75</v>
      </c>
      <c r="F520" s="1039">
        <f>IF(初期登録!$B$10*12+初期登録!$D$10&lt;$A520,NA(),[3]各月DI数値!$AA410)</f>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c r="U520" s="34">
        <f>D:D-[3]各月DI数値!J410</f>
        <v>0</v>
      </c>
      <c r="V520" s="34">
        <f>E:E-[3]各月DI数値!S410</f>
        <v>0</v>
      </c>
      <c r="W520" s="34">
        <f>F:F-[3]各月DI数値!AA410</f>
        <v>0</v>
      </c>
    </row>
    <row r="521" spans="2:23">
      <c r="B521" s="184">
        <v>4</v>
      </c>
      <c r="C521" s="178">
        <f>IF(初期登録!$B$10*12+初期登録!$D$10&lt;$A485,"",1)</f>
        <v>1</v>
      </c>
      <c r="D521" s="1041">
        <f>IF(初期登録!$B$10*12+初期登録!$D$10&lt;$A521,NA(),[3]各月DI数値!$J411)</f>
        <v>35.714285714285715</v>
      </c>
      <c r="E521" s="1042">
        <f>IF(初期登録!$B$10*12+初期登録!$D$10&lt;$A521,NA(),[3]各月DI数値!$S411)</f>
        <v>62.5</v>
      </c>
      <c r="F521" s="1043">
        <f>IF(初期登録!$B$10*12+初期登録!$D$10&lt;$A521,NA(),[3]各月DI数値!$AA411)</f>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c r="U521" s="34">
        <f>D:D-[3]各月DI数値!J411</f>
        <v>0</v>
      </c>
      <c r="V521" s="34">
        <f>E:E-[3]各月DI数値!S411</f>
        <v>0</v>
      </c>
      <c r="W521" s="34">
        <f>F:F-[3]各月DI数値!AA411</f>
        <v>0</v>
      </c>
    </row>
    <row r="522" spans="2:23">
      <c r="B522" s="185"/>
      <c r="C522" s="174">
        <f>IF(初期登録!$B$10*12+初期登録!$D$10&lt;$A486,"",2)</f>
        <v>2</v>
      </c>
      <c r="D522" s="642">
        <f>IF(初期登録!$B$10*12+初期登録!$D$10&lt;$A522,NA(),[3]各月DI数値!$J412)</f>
        <v>42.857142857142854</v>
      </c>
      <c r="E522" s="88">
        <f>IF(初期登録!$B$10*12+初期登録!$D$10&lt;$A522,NA(),[3]各月DI数値!$S412)</f>
        <v>62.5</v>
      </c>
      <c r="F522" s="643">
        <f>IF(初期登録!$B$10*12+初期登録!$D$10&lt;$A522,NA(),[3]各月DI数値!$AA412)</f>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c r="U522" s="34">
        <f>D:D-[3]各月DI数値!J412</f>
        <v>0</v>
      </c>
      <c r="V522" s="34">
        <f>E:E-[3]各月DI数値!S412</f>
        <v>0</v>
      </c>
      <c r="W522" s="34">
        <f>F:F-[3]各月DI数値!AA412</f>
        <v>0</v>
      </c>
    </row>
    <row r="523" spans="2:23">
      <c r="B523" s="185"/>
      <c r="C523" s="174">
        <f>IF(初期登録!$B$10*12+初期登録!$D$10&lt;$A487,"",3)</f>
        <v>3</v>
      </c>
      <c r="D523" s="642">
        <f>IF(初期登録!$B$10*12+初期登録!$D$10&lt;$A523,NA(),[3]各月DI数値!$J413)</f>
        <v>28.571428571428573</v>
      </c>
      <c r="E523" s="88">
        <f>IF(初期登録!$B$10*12+初期登録!$D$10&lt;$A523,NA(),[3]各月DI数値!$S413)</f>
        <v>87.5</v>
      </c>
      <c r="F523" s="643">
        <f>IF(初期登録!$B$10*12+初期登録!$D$10&lt;$A523,NA(),[3]各月DI数値!$AA413)</f>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c r="U523" s="34">
        <f>D:D-[3]各月DI数値!J413</f>
        <v>0</v>
      </c>
      <c r="V523" s="34">
        <f>E:E-[3]各月DI数値!S413</f>
        <v>0</v>
      </c>
      <c r="W523" s="34">
        <f>F:F-[3]各月DI数値!AA413</f>
        <v>0</v>
      </c>
    </row>
    <row r="524" spans="2:23">
      <c r="B524" s="185"/>
      <c r="C524" s="174">
        <f>IF(初期登録!$B$10*12+初期登録!$D$10&lt;$A488,"",4)</f>
        <v>4</v>
      </c>
      <c r="D524" s="642">
        <f>IF(初期登録!$B$10*12+初期登録!$D$10&lt;$A524,NA(),[3]各月DI数値!$J414)</f>
        <v>42.857142857142854</v>
      </c>
      <c r="E524" s="88">
        <f>IF(初期登録!$B$10*12+初期登録!$D$10&lt;$A524,NA(),[3]各月DI数値!$S414)</f>
        <v>87.5</v>
      </c>
      <c r="F524" s="643">
        <f>IF(初期登録!$B$10*12+初期登録!$D$10&lt;$A524,NA(),[3]各月DI数値!$AA414)</f>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c r="U524" s="34">
        <f>D:D-[3]各月DI数値!J414</f>
        <v>0</v>
      </c>
      <c r="V524" s="34">
        <f>E:E-[3]各月DI数値!S414</f>
        <v>0</v>
      </c>
      <c r="W524" s="34">
        <f>F:F-[3]各月DI数値!AA414</f>
        <v>0</v>
      </c>
    </row>
    <row r="525" spans="2:23">
      <c r="B525" s="185"/>
      <c r="C525" s="174">
        <f>IF(初期登録!$B$10*12+初期登録!$D$10&lt;$A489,"",5)</f>
        <v>5</v>
      </c>
      <c r="D525" s="642">
        <f>IF(初期登録!$B$10*12+初期登録!$D$10&lt;$A525,NA(),[3]各月DI数値!$J415)</f>
        <v>42.857142857142854</v>
      </c>
      <c r="E525" s="88">
        <f>IF(初期登録!$B$10*12+初期登録!$D$10&lt;$A525,NA(),[3]各月DI数値!$S415)</f>
        <v>87.5</v>
      </c>
      <c r="F525" s="643">
        <f>IF(初期登録!$B$10*12+初期登録!$D$10&lt;$A525,NA(),[3]各月DI数値!$AA415)</f>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c r="U525" s="34">
        <f>D:D-[3]各月DI数値!J415</f>
        <v>0</v>
      </c>
      <c r="V525" s="34">
        <f>E:E-[3]各月DI数値!S415</f>
        <v>0</v>
      </c>
      <c r="W525" s="34">
        <f>F:F-[3]各月DI数値!AA415</f>
        <v>0</v>
      </c>
    </row>
    <row r="526" spans="2:23">
      <c r="B526" s="185"/>
      <c r="C526" s="174">
        <f>IF(初期登録!$B$10*12+初期登録!$D$10&lt;$A490,"",6)</f>
        <v>6</v>
      </c>
      <c r="D526" s="642">
        <f>IF(初期登録!$B$10*12+初期登録!$D$10&lt;$A526,NA(),[3]各月DI数値!$J416)</f>
        <v>64.285714285714292</v>
      </c>
      <c r="E526" s="88">
        <f>IF(初期登録!$B$10*12+初期登録!$D$10&lt;$A526,NA(),[3]各月DI数値!$S416)</f>
        <v>62.5</v>
      </c>
      <c r="F526" s="643">
        <f>IF(初期登録!$B$10*12+初期登録!$D$10&lt;$A526,NA(),[3]各月DI数値!$AA416)</f>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c r="U526" s="34">
        <f>D:D-[3]各月DI数値!J416</f>
        <v>0</v>
      </c>
      <c r="V526" s="34">
        <f>E:E-[3]各月DI数値!S416</f>
        <v>0</v>
      </c>
      <c r="W526" s="34">
        <f>F:F-[3]各月DI数値!AA416</f>
        <v>0</v>
      </c>
    </row>
    <row r="527" spans="2:23">
      <c r="B527" s="185"/>
      <c r="C527" s="174">
        <f>IF(初期登録!$B$10*12+初期登録!$D$10&lt;$A491,"",7)</f>
        <v>7</v>
      </c>
      <c r="D527" s="642">
        <f>IF(初期登録!$B$10*12+初期登録!$D$10&lt;$A527,NA(),[3]各月DI数値!$J417)</f>
        <v>85.714285714285708</v>
      </c>
      <c r="E527" s="88">
        <f>IF(初期登録!$B$10*12+初期登録!$D$10&lt;$A527,NA(),[3]各月DI数値!$S417)</f>
        <v>62.5</v>
      </c>
      <c r="F527" s="643">
        <f>IF(初期登録!$B$10*12+初期登録!$D$10&lt;$A527,NA(),[3]各月DI数値!$AA417)</f>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c r="U527" s="34">
        <f>D:D-[3]各月DI数値!J417</f>
        <v>0</v>
      </c>
      <c r="V527" s="34">
        <f>E:E-[3]各月DI数値!S417</f>
        <v>0</v>
      </c>
      <c r="W527" s="34">
        <f>F:F-[3]各月DI数値!AA417</f>
        <v>0</v>
      </c>
    </row>
    <row r="528" spans="2:23">
      <c r="B528" s="185"/>
      <c r="C528" s="174">
        <f>IF(初期登録!$B$10*12+初期登録!$D$10&lt;$A492,"",8)</f>
        <v>8</v>
      </c>
      <c r="D528" s="642">
        <f>IF(初期登録!$B$10*12+初期登録!$D$10&lt;$A528,NA(),[3]各月DI数値!$J418)</f>
        <v>57.142857142857146</v>
      </c>
      <c r="E528" s="88">
        <f>IF(初期登録!$B$10*12+初期登録!$D$10&lt;$A528,NA(),[3]各月DI数値!$S418)</f>
        <v>62.5</v>
      </c>
      <c r="F528" s="643">
        <f>IF(初期登録!$B$10*12+初期登録!$D$10&lt;$A528,NA(),[3]各月DI数値!$AA418)</f>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c r="U528" s="34">
        <f>D:D-[3]各月DI数値!J418</f>
        <v>0</v>
      </c>
      <c r="V528" s="34">
        <f>E:E-[3]各月DI数値!S418</f>
        <v>0</v>
      </c>
      <c r="W528" s="34">
        <f>F:F-[3]各月DI数値!AA418</f>
        <v>0</v>
      </c>
    </row>
    <row r="529" spans="2:23">
      <c r="B529" s="185"/>
      <c r="C529" s="174">
        <f>IF(初期登録!$B$10*12+初期登録!$D$10&lt;$A493,"",9)</f>
        <v>9</v>
      </c>
      <c r="D529" s="642">
        <f>IF(初期登録!$B$10*12+初期登録!$D$10&lt;$A529,NA(),[3]各月DI数値!$J419)</f>
        <v>42.857142857142854</v>
      </c>
      <c r="E529" s="88">
        <f>IF(初期登録!$B$10*12+初期登録!$D$10&lt;$A529,NA(),[3]各月DI数値!$S419)</f>
        <v>62.5</v>
      </c>
      <c r="F529" s="643">
        <f>IF(初期登録!$B$10*12+初期登録!$D$10&lt;$A529,NA(),[3]各月DI数値!$AA419)</f>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c r="U529" s="34">
        <f>D:D-[3]各月DI数値!J419</f>
        <v>0</v>
      </c>
      <c r="V529" s="34">
        <f>E:E-[3]各月DI数値!S419</f>
        <v>0</v>
      </c>
      <c r="W529" s="34">
        <f>F:F-[3]各月DI数値!AA419</f>
        <v>0</v>
      </c>
    </row>
    <row r="530" spans="2:23">
      <c r="B530" s="185"/>
      <c r="C530" s="174">
        <f>IF(初期登録!$B$10*12+初期登録!$D$10&lt;$A494,"",10)</f>
        <v>10</v>
      </c>
      <c r="D530" s="642">
        <f>IF(初期登録!$B$10*12+初期登録!$D$10&lt;$A530,NA(),[3]各月DI数値!$J420)</f>
        <v>71.428571428571431</v>
      </c>
      <c r="E530" s="88">
        <f>IF(初期登録!$B$10*12+初期登録!$D$10&lt;$A530,NA(),[3]各月DI数値!$S420)</f>
        <v>25</v>
      </c>
      <c r="F530" s="643">
        <f>IF(初期登録!$B$10*12+初期登録!$D$10&lt;$A530,NA(),[3]各月DI数値!$AA420)</f>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c r="U530" s="34">
        <f>D:D-[3]各月DI数値!J420</f>
        <v>0</v>
      </c>
      <c r="V530" s="34">
        <f>E:E-[3]各月DI数値!S420</f>
        <v>0</v>
      </c>
      <c r="W530" s="34">
        <f>F:F-[3]各月DI数値!AA420</f>
        <v>0</v>
      </c>
    </row>
    <row r="531" spans="2:23">
      <c r="B531" s="185"/>
      <c r="C531" s="174">
        <f>IF(初期登録!$B$10*12+初期登録!$D$10&lt;$A495,"",11)</f>
        <v>11</v>
      </c>
      <c r="D531" s="642">
        <f>IF(初期登録!$B$10*12+初期登録!$D$10&lt;$A531,NA(),[3]各月DI数値!$J421)</f>
        <v>50</v>
      </c>
      <c r="E531" s="88">
        <f>IF(初期登録!$B$10*12+初期登録!$D$10&lt;$A531,NA(),[3]各月DI数値!$S421)</f>
        <v>50</v>
      </c>
      <c r="F531" s="643">
        <f>IF(初期登録!$B$10*12+初期登録!$D$10&lt;$A531,NA(),[3]各月DI数値!$AA421)</f>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c r="U531" s="34">
        <f>D:D-[3]各月DI数値!J421</f>
        <v>0</v>
      </c>
      <c r="V531" s="34">
        <f>E:E-[3]各月DI数値!S421</f>
        <v>0</v>
      </c>
      <c r="W531" s="34">
        <f>F:F-[3]各月DI数値!AA421</f>
        <v>0</v>
      </c>
    </row>
    <row r="532" spans="2:23">
      <c r="B532" s="186"/>
      <c r="C532" s="175">
        <f>IF(初期登録!$B$10*12+初期登録!$D$10&lt;$A496,"",12)</f>
        <v>12</v>
      </c>
      <c r="D532" s="1037">
        <f>IF(初期登録!$B$10*12+初期登録!$D$10&lt;$A532,NA(),[3]各月DI数値!$J422)</f>
        <v>50</v>
      </c>
      <c r="E532" s="1038">
        <f>IF(初期登録!$B$10*12+初期登録!$D$10&lt;$A532,NA(),[3]各月DI数値!$S422)</f>
        <v>25</v>
      </c>
      <c r="F532" s="1039">
        <f>IF(初期登録!$B$10*12+初期登録!$D$10&lt;$A532,NA(),[3]各月DI数値!$AA422)</f>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c r="U532" s="34">
        <f>D:D-[3]各月DI数値!J422</f>
        <v>0</v>
      </c>
      <c r="V532" s="34">
        <f>E:E-[3]各月DI数値!S422</f>
        <v>0</v>
      </c>
      <c r="W532" s="34">
        <f>F:F-[3]各月DI数値!AA422</f>
        <v>0</v>
      </c>
    </row>
    <row r="533" spans="2:23">
      <c r="B533" s="184">
        <v>5</v>
      </c>
      <c r="C533" s="178">
        <f>IF(初期登録!$B$10*12+初期登録!$D$10&lt;$A497,"",1)</f>
        <v>1</v>
      </c>
      <c r="D533" s="1041">
        <f>IF(初期登録!$B$10*12+初期登録!$D$10&lt;$A533,NA(),[3]各月DI数値!$J423)</f>
        <v>50</v>
      </c>
      <c r="E533" s="1042">
        <f>IF(初期登録!$B$10*12+初期登録!$D$10&lt;$A533,NA(),[3]各月DI数値!$S423)</f>
        <v>18.75</v>
      </c>
      <c r="F533" s="1043">
        <f>IF(初期登録!$B$10*12+初期登録!$D$10&lt;$A533,NA(),[3]各月DI数値!$AA423)</f>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c r="U533" s="34">
        <f>D:D-[3]各月DI数値!J423</f>
        <v>0</v>
      </c>
      <c r="V533" s="34">
        <f>E:E-[3]各月DI数値!S423</f>
        <v>0</v>
      </c>
      <c r="W533" s="34">
        <f>F:F-[3]各月DI数値!AA423</f>
        <v>0</v>
      </c>
    </row>
    <row r="534" spans="2:23">
      <c r="B534" s="185"/>
      <c r="C534" s="174">
        <f>IF(初期登録!$B$10*12+初期登録!$D$10&lt;$A498,"",2)</f>
        <v>2</v>
      </c>
      <c r="D534" s="642">
        <f>IF(初期登録!$B$10*12+初期登録!$D$10&lt;$A534,NA(),[3]各月DI数値!$J424)</f>
        <v>57.142857142857146</v>
      </c>
      <c r="E534" s="88">
        <f>IF(初期登録!$B$10*12+初期登録!$D$10&lt;$A534,NA(),[3]各月DI数値!$S424)</f>
        <v>25</v>
      </c>
      <c r="F534" s="643">
        <f>IF(初期登録!$B$10*12+初期登録!$D$10&lt;$A534,NA(),[3]各月DI数値!$AA424)</f>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c r="U534" s="34">
        <f>D:D-[3]各月DI数値!J424</f>
        <v>0</v>
      </c>
      <c r="V534" s="34">
        <f>E:E-[3]各月DI数値!S424</f>
        <v>0</v>
      </c>
      <c r="W534" s="34">
        <f>F:F-[3]各月DI数値!AA424</f>
        <v>0</v>
      </c>
    </row>
    <row r="535" spans="2:23">
      <c r="B535" s="185"/>
      <c r="C535" s="174">
        <f>IF(初期登録!$B$10*12+初期登録!$D$10&lt;$A499,"",3)</f>
        <v>3</v>
      </c>
      <c r="D535" s="642">
        <f>IF(初期登録!$B$10*12+初期登録!$D$10&lt;$A535,NA(),[3]各月DI数値!$J425)</f>
        <v>28.571428571428573</v>
      </c>
      <c r="E535" s="88">
        <f>IF(初期登録!$B$10*12+初期登録!$D$10&lt;$A535,NA(),[3]各月DI数値!$S425)</f>
        <v>50</v>
      </c>
      <c r="F535" s="643">
        <f>IF(初期登録!$B$10*12+初期登録!$D$10&lt;$A535,NA(),[3]各月DI数値!$AA425)</f>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c r="U535" s="34">
        <f>D:D-[3]各月DI数値!J425</f>
        <v>0</v>
      </c>
      <c r="V535" s="34">
        <f>E:E-[3]各月DI数値!S425</f>
        <v>0</v>
      </c>
      <c r="W535" s="34">
        <f>F:F-[3]各月DI数値!AA425</f>
        <v>0</v>
      </c>
    </row>
    <row r="536" spans="2:23">
      <c r="B536" s="185"/>
      <c r="C536" s="174">
        <f>IF(初期登録!$B$10*12+初期登録!$D$10&lt;$A500,"",4)</f>
        <v>4</v>
      </c>
      <c r="D536" s="642">
        <f>IF(初期登録!$B$10*12+初期登録!$D$10&lt;$A536,NA(),[3]各月DI数値!$J426)</f>
        <v>57.142857142857146</v>
      </c>
      <c r="E536" s="88">
        <f>IF(初期登録!$B$10*12+初期登録!$D$10&lt;$A536,NA(),[3]各月DI数値!$S426)</f>
        <v>37.5</v>
      </c>
      <c r="F536" s="643">
        <f>IF(初期登録!$B$10*12+初期登録!$D$10&lt;$A536,NA(),[3]各月DI数値!$AA426)</f>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c r="U536" s="34">
        <f>D:D-[3]各月DI数値!J426</f>
        <v>0</v>
      </c>
      <c r="V536" s="34">
        <f>E:E-[3]各月DI数値!S426</f>
        <v>0</v>
      </c>
      <c r="W536" s="34">
        <f>F:F-[3]各月DI数値!AA426</f>
        <v>0</v>
      </c>
    </row>
    <row r="537" spans="2:23">
      <c r="B537" s="185"/>
      <c r="C537" s="174">
        <f>IF(初期登録!$B$10*12+初期登録!$D$10&lt;$A501,"",5)</f>
        <v>5</v>
      </c>
      <c r="D537" s="642">
        <f>IF(初期登録!$B$10*12+初期登録!$D$10&lt;$A537,NA(),[3]各月DI数値!$J427)</f>
        <v>28.571428571428573</v>
      </c>
      <c r="E537" s="88">
        <f>IF(初期登録!$B$10*12+初期登録!$D$10&lt;$A537,NA(),[3]各月DI数値!$S427)</f>
        <v>50</v>
      </c>
      <c r="F537" s="643">
        <f>IF(初期登録!$B$10*12+初期登録!$D$10&lt;$A537,NA(),[3]各月DI数値!$AA427)</f>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c r="U537" s="34">
        <f>D:D-[3]各月DI数値!J427</f>
        <v>0</v>
      </c>
      <c r="V537" s="34">
        <f>E:E-[3]各月DI数値!S427</f>
        <v>0</v>
      </c>
      <c r="W537" s="34">
        <f>F:F-[3]各月DI数値!AA427</f>
        <v>0</v>
      </c>
    </row>
    <row r="538" spans="2:23">
      <c r="B538" s="185"/>
      <c r="C538" s="174">
        <f>IF(初期登録!$B$10*12+初期登録!$D$10&lt;$A502,"",6)</f>
        <v>6</v>
      </c>
      <c r="D538" s="642">
        <f>IF(初期登録!$B$10*12+初期登録!$D$10&lt;$A538,NA(),[3]各月DI数値!$J428)</f>
        <v>42.857142857142854</v>
      </c>
      <c r="E538" s="88">
        <f>IF(初期登録!$B$10*12+初期登録!$D$10&lt;$A538,NA(),[3]各月DI数値!$S428)</f>
        <v>25</v>
      </c>
      <c r="F538" s="643">
        <f>IF(初期登録!$B$10*12+初期登録!$D$10&lt;$A538,NA(),[3]各月DI数値!$AA428)</f>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c r="U538" s="34">
        <f>D:D-[3]各月DI数値!J428</f>
        <v>0</v>
      </c>
      <c r="V538" s="34">
        <f>E:E-[3]各月DI数値!S428</f>
        <v>0</v>
      </c>
      <c r="W538" s="34">
        <f>F:F-[3]各月DI数値!AA428</f>
        <v>0</v>
      </c>
    </row>
    <row r="539" spans="2:23">
      <c r="B539" s="185"/>
      <c r="C539" s="174">
        <f>IF(初期登録!$B$10*12+初期登録!$D$10&lt;$A503,"",7)</f>
        <v>7</v>
      </c>
      <c r="D539" s="642">
        <f>IF(初期登録!$B$10*12+初期登録!$D$10&lt;$A539,NA(),[3]各月DI数値!$J429)</f>
        <v>28.571428571428573</v>
      </c>
      <c r="E539" s="88">
        <f>IF(初期登録!$B$10*12+初期登録!$D$10&lt;$A539,NA(),[3]各月DI数値!$S429)</f>
        <v>25</v>
      </c>
      <c r="F539" s="643">
        <f>IF(初期登録!$B$10*12+初期登録!$D$10&lt;$A539,NA(),[3]各月DI数値!$AA429)</f>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c r="U539" s="34">
        <f>D:D-[3]各月DI数値!J429</f>
        <v>0</v>
      </c>
      <c r="V539" s="34">
        <f>E:E-[3]各月DI数値!S429</f>
        <v>0</v>
      </c>
      <c r="W539" s="34">
        <f>F:F-[3]各月DI数値!AA429</f>
        <v>0</v>
      </c>
    </row>
    <row r="540" spans="2:23">
      <c r="B540" s="185"/>
      <c r="C540" s="174">
        <f>IF(初期登録!$B$10*12+初期登録!$D$10&lt;$A504,"",8)</f>
        <v>8</v>
      </c>
      <c r="D540" s="642">
        <f>IF(初期登録!$B$10*12+初期登録!$D$10&lt;$A540,NA(),[3]各月DI数値!$J430)</f>
        <v>57.142857142857146</v>
      </c>
      <c r="E540" s="88">
        <f>IF(初期登録!$B$10*12+初期登録!$D$10&lt;$A540,NA(),[3]各月DI数値!$S430)</f>
        <v>25</v>
      </c>
      <c r="F540" s="643">
        <f>IF(初期登録!$B$10*12+初期登録!$D$10&lt;$A540,NA(),[3]各月DI数値!$AA430)</f>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c r="U540" s="34">
        <f>D:D-[3]各月DI数値!J430</f>
        <v>0</v>
      </c>
      <c r="V540" s="34">
        <f>E:E-[3]各月DI数値!S430</f>
        <v>0</v>
      </c>
      <c r="W540" s="34">
        <f>F:F-[3]各月DI数値!AA430</f>
        <v>0</v>
      </c>
    </row>
    <row r="541" spans="2:23">
      <c r="B541" s="185"/>
      <c r="C541" s="174">
        <f>IF(初期登録!$B$10*12+初期登録!$D$10&lt;$A505,"",9)</f>
        <v>9</v>
      </c>
      <c r="D541" s="642">
        <f>IF(初期登録!$B$10*12+初期登録!$D$10&lt;$A541,NA(),[3]各月DI数値!$J431)</f>
        <v>57.142857142857146</v>
      </c>
      <c r="E541" s="88">
        <f>IF(初期登録!$B$10*12+初期登録!$D$10&lt;$A541,NA(),[3]各月DI数値!$S431)</f>
        <v>25</v>
      </c>
      <c r="F541" s="643">
        <f>IF(初期登録!$B$10*12+初期登録!$D$10&lt;$A541,NA(),[3]各月DI数値!$AA431)</f>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c r="U541" s="34">
        <f>D:D-[3]各月DI数値!J431</f>
        <v>0</v>
      </c>
      <c r="V541" s="34">
        <f>E:E-[3]各月DI数値!S431</f>
        <v>0</v>
      </c>
      <c r="W541" s="34">
        <f>F:F-[3]各月DI数値!AA431</f>
        <v>0</v>
      </c>
    </row>
    <row r="542" spans="2:23">
      <c r="B542" s="185"/>
      <c r="C542" s="174">
        <f>IF(初期登録!$B$10*12+初期登録!$D$10&lt;$A506,"",10)</f>
        <v>10</v>
      </c>
      <c r="D542" s="642">
        <f>IF(初期登録!$B$10*12+初期登録!$D$10&lt;$A542,NA(),[3]各月DI数値!$J432)</f>
        <v>21.428571428571427</v>
      </c>
      <c r="E542" s="88">
        <f>IF(初期登録!$B$10*12+初期登録!$D$10&lt;$A542,NA(),[3]各月DI数値!$S432)</f>
        <v>37.5</v>
      </c>
      <c r="F542" s="643">
        <f>IF(初期登録!$B$10*12+初期登録!$D$10&lt;$A542,NA(),[3]各月DI数値!$AA432)</f>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c r="U542" s="34">
        <f>D:D-[3]各月DI数値!J432</f>
        <v>0</v>
      </c>
      <c r="V542" s="34">
        <f>E:E-[3]各月DI数値!S432</f>
        <v>0</v>
      </c>
      <c r="W542" s="34">
        <f>F:F-[3]各月DI数値!AA432</f>
        <v>0</v>
      </c>
    </row>
    <row r="543" spans="2:23">
      <c r="B543" s="185"/>
      <c r="C543" s="174">
        <f>IF(初期登録!$B$10*12+初期登録!$D$10&lt;$A507,"",11)</f>
        <v>11</v>
      </c>
      <c r="D543" s="642">
        <f>IF(初期登録!$B$10*12+初期登録!$D$10&lt;$A543,NA(),[3]各月DI数値!$J433)</f>
        <v>28.571428571428573</v>
      </c>
      <c r="E543" s="88">
        <f>IF(初期登録!$B$10*12+初期登録!$D$10&lt;$A543,NA(),[3]各月DI数値!$S433)</f>
        <v>12.5</v>
      </c>
      <c r="F543" s="643">
        <f>IF(初期登録!$B$10*12+初期登録!$D$10&lt;$A543,NA(),[3]各月DI数値!$AA433)</f>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c r="U543" s="34">
        <f>D:D-[3]各月DI数値!J433</f>
        <v>0</v>
      </c>
      <c r="V543" s="34">
        <f>E:E-[3]各月DI数値!S433</f>
        <v>0</v>
      </c>
      <c r="W543" s="34">
        <f>F:F-[3]各月DI数値!AA433</f>
        <v>0</v>
      </c>
    </row>
    <row r="544" spans="2:23">
      <c r="B544" s="186"/>
      <c r="C544" s="175">
        <f>IF(初期登録!$B$10*12+初期登録!$D$10&lt;$A508,"",12)</f>
        <v>12</v>
      </c>
      <c r="D544" s="644">
        <f>IF(初期登録!$B$10*12+初期登録!$D$10&lt;$A544,NA(),[3]各月DI数値!$J434)</f>
        <v>64.285714285714292</v>
      </c>
      <c r="E544" s="92">
        <f>IF(初期登録!$B$10*12+初期登録!$D$10&lt;$A544,NA(),[3]各月DI数値!$S434)</f>
        <v>37.5</v>
      </c>
      <c r="F544" s="93">
        <f>IF(初期登録!$B$10*12+初期登録!$D$10&lt;$A544,NA(),[3]各月DI数値!$AA434)</f>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c r="U544" s="34">
        <f>D:D-[3]各月DI数値!J434</f>
        <v>0</v>
      </c>
      <c r="V544" s="34">
        <f>E:E-[3]各月DI数値!S434</f>
        <v>0</v>
      </c>
      <c r="W544" s="34">
        <f>F:F-[3]各月DI数値!AA434</f>
        <v>0</v>
      </c>
    </row>
    <row r="545" spans="2:23">
      <c r="B545" s="184">
        <v>6</v>
      </c>
      <c r="C545" s="178">
        <f>IF(初期登録!$B$10*12+初期登録!$D$10&lt;$A509,"",1)</f>
        <v>1</v>
      </c>
      <c r="D545" s="1041">
        <f>IF(初期登録!$B$10*12+初期登録!$D$10&lt;$A545,NA(),[3]各月DI数値!$J435)</f>
        <v>28.571428571428573</v>
      </c>
      <c r="E545" s="1042">
        <f>IF(初期登録!$B$10*12+初期登録!$D$10&lt;$A545,NA(),[3]各月DI数値!$S435)</f>
        <v>12.5</v>
      </c>
      <c r="F545" s="1043">
        <f>IF(初期登録!$B$10*12+初期登録!$D$10&lt;$A545,NA(),[3]各月DI数値!$AA435)</f>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c r="U545" s="34">
        <f>D:D-[3]各月DI数値!J435</f>
        <v>0</v>
      </c>
      <c r="V545" s="34">
        <f>E:E-[3]各月DI数値!S435</f>
        <v>0</v>
      </c>
      <c r="W545" s="34">
        <f>F:F-[3]各月DI数値!AA435</f>
        <v>0</v>
      </c>
    </row>
    <row r="546" spans="2:23">
      <c r="B546" s="185"/>
      <c r="C546" s="174">
        <f>IF(初期登録!$B$10*12+初期登録!$D$10&lt;$A510,"",2)</f>
        <v>2</v>
      </c>
      <c r="D546" s="642">
        <f>IF(初期登録!$B$10*12+初期登録!$D$10&lt;$A546,NA(),[3]各月DI数値!$J436)</f>
        <v>0</v>
      </c>
      <c r="E546" s="88">
        <f>IF(初期登録!$B$10*12+初期登録!$D$10&lt;$A546,NA(),[3]各月DI数値!$S436)</f>
        <v>62.5</v>
      </c>
      <c r="F546" s="643">
        <f>IF(初期登録!$B$10*12+初期登録!$D$10&lt;$A546,NA(),[3]各月DI数値!$AA436)</f>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c r="U546" s="34">
        <f>D:D-[3]各月DI数値!J436</f>
        <v>0</v>
      </c>
      <c r="V546" s="34">
        <f>E:E-[3]各月DI数値!S436</f>
        <v>0</v>
      </c>
      <c r="W546" s="34">
        <f>F:F-[3]各月DI数値!AA436</f>
        <v>0</v>
      </c>
    </row>
    <row r="547" spans="2:23">
      <c r="B547" s="185"/>
      <c r="C547" s="174">
        <f>IF(初期登録!$B$10*12+初期登録!$D$10&lt;$A511,"",3)</f>
        <v>3</v>
      </c>
      <c r="D547" s="642">
        <f>IF(初期登録!$B$10*12+初期登録!$D$10&lt;$A547,NA(),[3]各月DI数値!$J437)</f>
        <v>57.142857142857146</v>
      </c>
      <c r="E547" s="88">
        <f>IF(初期登録!$B$10*12+初期登録!$D$10&lt;$A547,NA(),[3]各月DI数値!$S437)</f>
        <v>62.5</v>
      </c>
      <c r="F547" s="643">
        <f>IF(初期登録!$B$10*12+初期登録!$D$10&lt;$A547,NA(),[3]各月DI数値!$AA437)</f>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c r="U547" s="34">
        <f>D:D-[3]各月DI数値!J437</f>
        <v>0</v>
      </c>
      <c r="V547" s="34">
        <f>E:E-[3]各月DI数値!S437</f>
        <v>0</v>
      </c>
      <c r="W547" s="34">
        <f>F:F-[3]各月DI数値!AA437</f>
        <v>0</v>
      </c>
    </row>
    <row r="548" spans="2:23">
      <c r="B548" s="185"/>
      <c r="C548" s="174">
        <f>IF(初期登録!$B$10*12+初期登録!$D$10&lt;$A512,"",4)</f>
        <v>4</v>
      </c>
      <c r="D548" s="642">
        <f>IF(初期登録!$B$10*12+初期登録!$D$10&lt;$A548,NA(),[3]各月DI数値!$J438)</f>
        <v>42.857142857142854</v>
      </c>
      <c r="E548" s="88">
        <f>IF(初期登録!$B$10*12+初期登録!$D$10&lt;$A548,NA(),[3]各月DI数値!$S438)</f>
        <v>62.5</v>
      </c>
      <c r="F548" s="643">
        <f>IF(初期登録!$B$10*12+初期登録!$D$10&lt;$A548,NA(),[3]各月DI数値!$AA438)</f>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c r="U548" s="34">
        <f>D:D-[3]各月DI数値!J438</f>
        <v>0</v>
      </c>
      <c r="V548" s="34">
        <f>E:E-[3]各月DI数値!S438</f>
        <v>0</v>
      </c>
      <c r="W548" s="34">
        <f>F:F-[3]各月DI数値!AA438</f>
        <v>0</v>
      </c>
    </row>
    <row r="549" spans="2:23">
      <c r="B549" s="185"/>
      <c r="C549" s="174">
        <f>IF(初期登録!$B$10*12+初期登録!$D$10&lt;$A513,"",5)</f>
        <v>5</v>
      </c>
      <c r="D549" s="642">
        <f>IF(初期登録!$B$10*12+初期登録!$D$10&lt;$A549,NA(),[3]各月DI数値!$J439)</f>
        <v>28.571428571428573</v>
      </c>
      <c r="E549" s="88">
        <f>IF(初期登録!$B$10*12+初期登録!$D$10&lt;$A549,NA(),[3]各月DI数値!$S439)</f>
        <v>62.5</v>
      </c>
      <c r="F549" s="643">
        <f>IF(初期登録!$B$10*12+初期登録!$D$10&lt;$A549,NA(),[3]各月DI数値!$AA439)</f>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c r="U549" s="34">
        <f>D:D-[3]各月DI数値!J439</f>
        <v>0</v>
      </c>
      <c r="V549" s="34">
        <f>E:E-[3]各月DI数値!S439</f>
        <v>0</v>
      </c>
      <c r="W549" s="34">
        <f>F:F-[3]各月DI数値!AA439</f>
        <v>0</v>
      </c>
    </row>
    <row r="550" spans="2:23">
      <c r="B550" s="185"/>
      <c r="C550" s="174">
        <f>IF(初期登録!$B$10*12+初期登録!$D$10&lt;$A514,"",6)</f>
        <v>6</v>
      </c>
      <c r="D550" s="642">
        <f>IF(初期登録!$B$10*12+初期登録!$D$10&lt;$A550,NA(),[3]各月DI数値!$J440)</f>
        <v>42.857142857142854</v>
      </c>
      <c r="E550" s="88">
        <f>IF(初期登録!$B$10*12+初期登録!$D$10&lt;$A550,NA(),[3]各月DI数値!$S440)</f>
        <v>75</v>
      </c>
      <c r="F550" s="643">
        <f>IF(初期登録!$B$10*12+初期登録!$D$10&lt;$A550,NA(),[3]各月DI数値!$AA440)</f>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c r="U550" s="34">
        <f>D:D-[3]各月DI数値!J440</f>
        <v>0</v>
      </c>
      <c r="V550" s="34">
        <f>E:E-[3]各月DI数値!S440</f>
        <v>0</v>
      </c>
      <c r="W550" s="34">
        <f>F:F-[3]各月DI数値!AA440</f>
        <v>0</v>
      </c>
    </row>
    <row r="551" spans="2:23">
      <c r="B551" s="185"/>
      <c r="C551" s="174">
        <f>IF(初期登録!$B$10*12+初期登録!$D$10&lt;$A515,"",7)</f>
        <v>7</v>
      </c>
      <c r="D551" s="642">
        <f>IF(初期登録!$B$10*12+初期登録!$D$10&lt;$A551,NA(),[3]各月DI数値!$J441)</f>
        <v>64.285714285714292</v>
      </c>
      <c r="E551" s="88">
        <f>IF(初期登録!$B$10*12+初期登録!$D$10&lt;$A551,NA(),[3]各月DI数値!$S441)</f>
        <v>50</v>
      </c>
      <c r="F551" s="643">
        <f>IF(初期登録!$B$10*12+初期登録!$D$10&lt;$A551,NA(),[3]各月DI数値!$AA441)</f>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c r="U551" s="34">
        <f>D:D-[3]各月DI数値!J441</f>
        <v>0</v>
      </c>
      <c r="V551" s="34">
        <f>E:E-[3]各月DI数値!S441</f>
        <v>0</v>
      </c>
      <c r="W551" s="34">
        <f>F:F-[3]各月DI数値!AA441</f>
        <v>0</v>
      </c>
    </row>
    <row r="552" spans="2:23">
      <c r="B552" s="185"/>
      <c r="C552" s="174">
        <f>IF(初期登録!$B$10*12+初期登録!$D$10&lt;$A516,"",8)</f>
        <v>8</v>
      </c>
      <c r="D552" s="642">
        <f>IF(初期登録!$B$10*12+初期登録!$D$10&lt;$A552,NA(),[3]各月DI数値!$J442)</f>
        <v>42.857142857142854</v>
      </c>
      <c r="E552" s="88">
        <f>IF(初期登録!$B$10*12+初期登録!$D$10&lt;$A552,NA(),[3]各月DI数値!$S442)</f>
        <v>25</v>
      </c>
      <c r="F552" s="643">
        <f>IF(初期登録!$B$10*12+初期登録!$D$10&lt;$A552,NA(),[3]各月DI数値!$AA442)</f>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c r="U552" s="34">
        <f>D:D-[3]各月DI数値!J442</f>
        <v>0</v>
      </c>
      <c r="V552" s="34">
        <f>E:E-[3]各月DI数値!S442</f>
        <v>0</v>
      </c>
      <c r="W552" s="34">
        <f>F:F-[3]各月DI数値!AA442</f>
        <v>0</v>
      </c>
    </row>
    <row r="553" spans="2:23">
      <c r="B553" s="185"/>
      <c r="C553" s="174">
        <f>IF(初期登録!$B$10*12+初期登録!$D$10&lt;$A517,"",9)</f>
        <v>9</v>
      </c>
      <c r="D553" s="642">
        <f>IF(初期登録!$B$10*12+初期登録!$D$10&lt;$A553,NA(),[3]各月DI数値!$J443)</f>
        <v>57.142857142857146</v>
      </c>
      <c r="E553" s="88">
        <f>IF(初期登録!$B$10*12+初期登録!$D$10&lt;$A553,NA(),[3]各月DI数値!$S443)</f>
        <v>43.75</v>
      </c>
      <c r="F553" s="643">
        <f>IF(初期登録!$B$10*12+初期登録!$D$10&lt;$A553,NA(),[3]各月DI数値!$AA443)</f>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c r="U553" s="34">
        <f>D:D-[3]各月DI数値!J443</f>
        <v>0</v>
      </c>
      <c r="V553" s="34">
        <f>E:E-[3]各月DI数値!S443</f>
        <v>0</v>
      </c>
      <c r="W553" s="34">
        <f>F:F-[3]各月DI数値!AA443</f>
        <v>0</v>
      </c>
    </row>
    <row r="554" spans="2:23">
      <c r="B554" s="185"/>
      <c r="C554" s="174">
        <f>IF(初期登録!$B$10*12+初期登録!$D$10&lt;$A518,"",10)</f>
        <v>10</v>
      </c>
      <c r="D554" s="642">
        <f>IF(初期登録!$B$10*12+初期登録!$D$10&lt;$A554,NA(),[3]各月DI数値!$J444)</f>
        <v>71.428571428571431</v>
      </c>
      <c r="E554" s="88">
        <f>IF(初期登録!$B$10*12+初期登録!$D$10&lt;$A554,NA(),[3]各月DI数値!$S444)</f>
        <v>75</v>
      </c>
      <c r="F554" s="643">
        <f>IF(初期登録!$B$10*12+初期登録!$D$10&lt;$A554,NA(),[3]各月DI数値!$AA444)</f>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c r="U554" s="34">
        <f>D:D-[3]各月DI数値!J444</f>
        <v>0</v>
      </c>
      <c r="V554" s="34">
        <f>E:E-[3]各月DI数値!S444</f>
        <v>0</v>
      </c>
      <c r="W554" s="34">
        <f>F:F-[3]各月DI数値!AA444</f>
        <v>0</v>
      </c>
    </row>
    <row r="555" spans="2:23">
      <c r="B555" s="185"/>
      <c r="C555" s="174">
        <f>IF(初期登録!$B$10*12+初期登録!$D$10&lt;$A519,"",11)</f>
        <v>11</v>
      </c>
      <c r="D555" s="642">
        <f>IF(初期登録!$B$10*12+初期登録!$D$10&lt;$A555,NA(),[3]各月DI数値!$J445)</f>
        <v>42.857142857142854</v>
      </c>
      <c r="E555" s="88">
        <f>IF(初期登録!$B$10*12+初期登録!$D$10&lt;$A555,NA(),[3]各月DI数値!$S445)</f>
        <v>68.75</v>
      </c>
      <c r="F555" s="643">
        <f>IF(初期登録!$B$10*12+初期登録!$D$10&lt;$A555,NA(),[3]各月DI数値!$AA445)</f>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c r="U555" s="34">
        <f>D:D-[3]各月DI数値!J445</f>
        <v>0</v>
      </c>
      <c r="V555" s="34">
        <f>E:E-[3]各月DI数値!S445</f>
        <v>0</v>
      </c>
      <c r="W555" s="34">
        <f>F:F-[3]各月DI数値!AA445</f>
        <v>0</v>
      </c>
    </row>
    <row r="556" spans="2:23">
      <c r="B556" s="186"/>
      <c r="C556" s="175">
        <f>IF(初期登録!$B$10*12+初期登録!$D$10&lt;$A520,"",12)</f>
        <v>12</v>
      </c>
      <c r="D556" s="644">
        <f>IF(初期登録!$B$10*12+初期登録!$D$10&lt;$A556,NA(),[3]各月DI数値!$J446)</f>
        <v>57.142857142857146</v>
      </c>
      <c r="E556" s="92">
        <f>IF(初期登録!$B$10*12+初期登録!$D$10&lt;$A556,NA(),[3]各月DI数値!$S446)</f>
        <v>75</v>
      </c>
      <c r="F556" s="93">
        <f>IF(初期登録!$B$10*12+初期登録!$D$10&lt;$A556,NA(),[3]各月DI数値!$AA446)</f>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23">
      <c r="B557" s="184">
        <v>7</v>
      </c>
      <c r="C557" s="178">
        <f>IF(初期登録!$B$10*12+初期登録!$D$10&lt;$A521,"",1)</f>
        <v>1</v>
      </c>
      <c r="D557" s="1041">
        <f>IF(初期登録!$B$10*12+初期登録!$D$10&lt;$A557,NA(),[3]各月DI数値!$J447)</f>
        <v>57.142857142857146</v>
      </c>
      <c r="E557" s="1042">
        <f>IF(初期登録!$B$10*12+初期登録!$D$10&lt;$A557,NA(),[3]各月DI数値!$S447)</f>
        <v>87.5</v>
      </c>
      <c r="F557" s="1043">
        <f>IF(初期登録!$B$10*12+初期登録!$D$10&lt;$A557,NA(),[3]各月DI数値!$AA447)</f>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23">
      <c r="B558" s="185"/>
      <c r="C558" s="174">
        <f>IF(初期登録!$B$10*12+初期登録!$D$10&lt;$A522,"",2)</f>
        <v>2</v>
      </c>
      <c r="D558" s="642">
        <f>IF(初期登録!$B$10*12+初期登録!$D$10&lt;$A558,NA(),[3]各月DI数値!$J448)</f>
        <v>71.428571428571431</v>
      </c>
      <c r="E558" s="88">
        <f>IF(初期登録!$B$10*12+初期登録!$D$10&lt;$A558,NA(),[3]各月DI数値!$S448)</f>
        <v>62.5</v>
      </c>
      <c r="F558" s="643">
        <f>IF(初期登録!$B$10*12+初期登録!$D$10&lt;$A558,NA(),[3]各月DI数値!$AA448)</f>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23">
      <c r="B559" s="1258"/>
      <c r="C559" s="174">
        <f>IF(初期登録!$B$10*12+初期登録!$D$10&lt;$A523,"",3)</f>
        <v>3</v>
      </c>
      <c r="D559" s="642">
        <f>IF(初期登録!$B$10*12+初期登録!$D$10&lt;$A559,NA(),[3]各月DI数値!$J449)</f>
        <v>50</v>
      </c>
      <c r="E559" s="88">
        <f>IF(初期登録!$B$10*12+初期登録!$D$10&lt;$A559,NA(),[3]各月DI数値!$S449)</f>
        <v>75</v>
      </c>
      <c r="F559" s="643">
        <f>IF(初期登録!$B$10*12+初期登録!$D$10&lt;$A559,NA(),[3]各月DI数値!$AA449)</f>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23">
      <c r="B560" s="1258"/>
      <c r="C560" s="174">
        <f>IF(初期登録!$B$10*12+初期登録!$D$10&lt;$A524,"",4)</f>
        <v>4</v>
      </c>
      <c r="D560" s="642">
        <f>IF(初期登録!$B$10*12+初期登録!$D$10&lt;$A560,NA(),[3]各月DI数値!$J450)</f>
        <v>85.714285714285708</v>
      </c>
      <c r="E560" s="88">
        <f>IF(初期登録!$B$10*12+初期登録!$D$10&lt;$A560,NA(),[3]各月DI数値!$S450)</f>
        <v>25</v>
      </c>
      <c r="F560" s="643">
        <f>IF(初期登録!$B$10*12+初期登録!$D$10&lt;$A560,NA(),[3]各月DI数値!$AA450)</f>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8"/>
      <c r="C561" s="174">
        <f>IF(初期登録!$B$10*12+初期登録!$D$10&lt;$A525,"",5)</f>
        <v>5</v>
      </c>
      <c r="D561" s="642">
        <f>IF(初期登録!$B$10*12+初期登録!$D$10&lt;$A561,NA(),[3]各月DI数値!$J451)</f>
        <v>57.142857142857146</v>
      </c>
      <c r="E561" s="88">
        <f>IF(初期登録!$B$10*12+初期登録!$D$10&lt;$A561,NA(),[3]各月DI数値!$S451)</f>
        <v>50</v>
      </c>
      <c r="F561" s="643">
        <f>IF(初期登録!$B$10*12+初期登録!$D$10&lt;$A561,NA(),[3]各月DI数値!$AA451)</f>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8"/>
      <c r="C562" s="174">
        <f>IF(初期登録!$B$10*12+初期登録!$D$10&lt;$A526,"",6)</f>
        <v>6</v>
      </c>
      <c r="D562" s="642">
        <f>IF(初期登録!$B$10*12+初期登録!$D$10&lt;$A562,NA(),[3]各月DI数値!$J452)</f>
        <v>57.142857142857146</v>
      </c>
      <c r="E562" s="88">
        <f>IF(初期登録!$B$10*12+初期登録!$D$10&lt;$A562,NA(),[3]各月DI数値!$S452)</f>
        <v>25</v>
      </c>
      <c r="F562" s="643">
        <f>IF(初期登録!$B$10*12+初期登録!$D$10&lt;$A562,NA(),[3]各月DI数値!$AA452)</f>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8"/>
      <c r="C563" s="174">
        <f>IF(初期登録!$B$10*12+初期登録!$D$10&lt;$A527,"",7)</f>
        <v>7</v>
      </c>
      <c r="D563" s="642">
        <f>IF(初期登録!$B$10*12+初期登録!$D$10&lt;$A563,NA(),[3]各月DI数値!$J453)</f>
        <v>64.285714285714292</v>
      </c>
      <c r="E563" s="88">
        <f>IF(初期登録!$B$10*12+初期登録!$D$10&lt;$A563,NA(),[3]各月DI数値!$S453)</f>
        <v>0</v>
      </c>
      <c r="F563" s="643">
        <f>IF(初期登録!$B$10*12+初期登録!$D$10&lt;$A563,NA(),[3]各月DI数値!$AA453)</f>
        <v>42.857142857142854</v>
      </c>
      <c r="G563" s="154">
        <f t="shared" si="95"/>
        <v>-127.85714285714248</v>
      </c>
      <c r="H563" s="155">
        <f>E563-50+H562</f>
        <v>1625</v>
      </c>
      <c r="I563" s="157">
        <f t="shared" si="97"/>
        <v>824.90476190476113</v>
      </c>
      <c r="J563" s="635">
        <f>IF($D563="",NA,$G563+2000)</f>
        <v>1872.1428571428576</v>
      </c>
      <c r="K563" s="90">
        <f>IF(E563="",NA,H563)</f>
        <v>1625</v>
      </c>
      <c r="L563" s="58">
        <f>IF($F563="",NA,$I563-500)</f>
        <v>324.90476190476113</v>
      </c>
      <c r="M563" s="189"/>
      <c r="N563" s="183">
        <f t="shared" si="91"/>
        <v>50</v>
      </c>
      <c r="O563" s="146"/>
      <c r="P563" s="146">
        <f t="shared" si="92"/>
        <v>0</v>
      </c>
      <c r="Q563" s="147"/>
    </row>
    <row r="564" spans="1:17">
      <c r="B564" s="1258"/>
      <c r="C564" s="174">
        <f>IF(初期登録!$B$10*12+初期登録!$D$10&lt;$A528,"",8)</f>
        <v>8</v>
      </c>
      <c r="D564" s="642">
        <f>IF(初期登録!$B$10*12+初期登録!$D$10&lt;$A564,NA(),[3]各月DI数値!$J454)</f>
        <v>42.857142857142854</v>
      </c>
      <c r="E564" s="88">
        <f>IF(初期登録!$B$10*12+初期登録!$D$10&lt;$A564,NA(),[3]各月DI数値!$S454)</f>
        <v>12.5</v>
      </c>
      <c r="F564" s="643">
        <f>IF(初期登録!$B$10*12+初期登録!$D$10&lt;$A564,NA(),[3]各月DI数値!$AA454)</f>
        <v>14.285714285714286</v>
      </c>
      <c r="G564" s="154">
        <f t="shared" si="95"/>
        <v>-134.99999999999963</v>
      </c>
      <c r="H564" s="155">
        <f t="shared" si="96"/>
        <v>1587.5</v>
      </c>
      <c r="I564" s="157">
        <f t="shared" si="97"/>
        <v>789.19047619047547</v>
      </c>
      <c r="J564" s="635">
        <f>IF($D564="",NA,$G564+2000)</f>
        <v>1865.0000000000005</v>
      </c>
      <c r="K564" s="90">
        <f>IF(E564="",NA,H564)</f>
        <v>1587.5</v>
      </c>
      <c r="L564" s="58">
        <f>IF($F564="",NA,$I564-500)</f>
        <v>289.19047619047547</v>
      </c>
      <c r="M564" s="189"/>
      <c r="N564" s="183">
        <f t="shared" si="91"/>
        <v>50</v>
      </c>
      <c r="O564" s="146"/>
      <c r="P564" s="146">
        <f t="shared" si="92"/>
        <v>0</v>
      </c>
      <c r="Q564" s="147"/>
    </row>
    <row r="565" spans="1:17">
      <c r="B565" s="1258"/>
      <c r="C565" s="174">
        <f>IF(初期登録!$B$10*12+初期登録!$D$10&lt;$A529,"",9)</f>
        <v>9</v>
      </c>
      <c r="D565" s="642">
        <f>IF(初期登録!$B$10*12+初期登録!$D$10&lt;$A565,NA(),[3]各月DI数値!$J455)</f>
        <v>42.857142857142854</v>
      </c>
      <c r="E565" s="88">
        <f>IF(初期登録!$B$10*12+初期登録!$D$10&lt;$A565,NA(),[3]各月DI数値!$S455)</f>
        <v>50</v>
      </c>
      <c r="F565" s="643">
        <f>IF(初期登録!$B$10*12+初期登録!$D$10&lt;$A565,NA(),[3]各月DI数値!$AA455)</f>
        <v>42.857142857142854</v>
      </c>
      <c r="G565" s="154">
        <f t="shared" si="95"/>
        <v>-142.14285714285677</v>
      </c>
      <c r="H565" s="155">
        <f t="shared" si="96"/>
        <v>1587.5</v>
      </c>
      <c r="I565" s="157">
        <f t="shared" si="97"/>
        <v>782.04761904761835</v>
      </c>
      <c r="J565" s="635">
        <f>IF($D565="",NA,$G565+2000)</f>
        <v>1857.8571428571431</v>
      </c>
      <c r="K565" s="90">
        <f>IF(E565="",NA,H565)</f>
        <v>1587.5</v>
      </c>
      <c r="L565" s="58">
        <f>IF($F565="",NA,$I565-500)</f>
        <v>282.04761904761835</v>
      </c>
      <c r="M565" s="189"/>
      <c r="N565" s="183">
        <f t="shared" si="91"/>
        <v>50</v>
      </c>
      <c r="O565" s="146"/>
      <c r="P565" s="146">
        <f t="shared" si="92"/>
        <v>0</v>
      </c>
      <c r="Q565" s="147"/>
    </row>
    <row r="566" spans="1:17">
      <c r="B566" s="1258"/>
      <c r="C566" s="174">
        <f>IF(初期登録!$B$10*12+初期登録!$D$10&lt;$A530,"",10)</f>
        <v>10</v>
      </c>
      <c r="D566" s="1037"/>
      <c r="E566" s="1038"/>
      <c r="F566" s="1039"/>
      <c r="G566" s="154">
        <f t="shared" si="95"/>
        <v>-192.14285714285677</v>
      </c>
      <c r="H566" s="155">
        <f t="shared" si="96"/>
        <v>1537.5</v>
      </c>
      <c r="I566" s="157">
        <f t="shared" si="97"/>
        <v>732.04761904761835</v>
      </c>
      <c r="J566" s="1040"/>
      <c r="K566" s="155"/>
      <c r="L566" s="639"/>
      <c r="M566" s="189"/>
      <c r="N566" s="183">
        <f t="shared" si="91"/>
        <v>50</v>
      </c>
      <c r="O566" s="146"/>
      <c r="P566" s="146">
        <f t="shared" si="92"/>
        <v>0</v>
      </c>
      <c r="Q566" s="147"/>
    </row>
    <row r="567" spans="1:17">
      <c r="B567" s="1258"/>
      <c r="C567" s="174">
        <f>IF(初期登録!$B$10*12+初期登録!$D$10&lt;$A531,"",11)</f>
        <v>11</v>
      </c>
      <c r="D567" s="1037"/>
      <c r="E567" s="1038"/>
      <c r="F567" s="1039"/>
      <c r="G567" s="154">
        <f t="shared" si="95"/>
        <v>-242.14285714285677</v>
      </c>
      <c r="H567" s="155">
        <f t="shared" si="96"/>
        <v>1487.5</v>
      </c>
      <c r="I567" s="157">
        <f t="shared" si="97"/>
        <v>682.04761904761835</v>
      </c>
      <c r="J567" s="1040"/>
      <c r="K567" s="155"/>
      <c r="L567" s="639"/>
      <c r="M567" s="189"/>
      <c r="N567" s="183">
        <f t="shared" si="91"/>
        <v>50</v>
      </c>
      <c r="O567" s="146"/>
      <c r="P567" s="146">
        <f t="shared" si="92"/>
        <v>0</v>
      </c>
      <c r="Q567" s="147"/>
    </row>
    <row r="568" spans="1:17">
      <c r="B568" s="186"/>
      <c r="C568" s="175">
        <f>IF(初期登録!$B$10*12+初期登録!$D$10&lt;$A520,"",12)</f>
        <v>12</v>
      </c>
      <c r="D568" s="644"/>
      <c r="E568" s="92"/>
      <c r="F568" s="93"/>
      <c r="G568" s="94">
        <f t="shared" si="95"/>
        <v>-292.14285714285677</v>
      </c>
      <c r="H568" s="95">
        <f t="shared" si="96"/>
        <v>1437.5</v>
      </c>
      <c r="I568" s="96">
        <f t="shared" si="97"/>
        <v>632.04761904761835</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3.8" thickBot="1">
      <c r="Q570" s="580"/>
    </row>
    <row r="571" spans="1:17" ht="13.8" thickBot="1">
      <c r="A571" s="189">
        <f>初期登録!$B$10*12+初期登録!$D$10+472</f>
        <v>565</v>
      </c>
      <c r="B571" s="1749" t="s">
        <v>282</v>
      </c>
      <c r="C571" s="1750"/>
      <c r="D571" s="1259">
        <v>64.285714285714292</v>
      </c>
      <c r="E571" s="1259">
        <v>0</v>
      </c>
      <c r="F571" s="1259">
        <v>42.857142857142854</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19"/>
  <sheetViews>
    <sheetView workbookViewId="0">
      <pane xSplit="3" ySplit="63" topLeftCell="D395" activePane="bottomRight" state="frozen"/>
      <selection activeCell="L387" sqref="L387"/>
      <selection pane="topRight" activeCell="L387" sqref="L387"/>
      <selection pane="bottomLeft" activeCell="L387" sqref="L387"/>
      <selection pane="bottomRight" activeCell="V398" sqref="V398"/>
    </sheetView>
  </sheetViews>
  <sheetFormatPr defaultColWidth="9.109375" defaultRowHeight="14.4"/>
  <cols>
    <col min="1" max="1" width="6.88671875" style="310" customWidth="1"/>
    <col min="2" max="2" width="6.21875" style="310" bestFit="1" customWidth="1"/>
    <col min="3" max="3" width="6.88671875" style="310" customWidth="1"/>
    <col min="4" max="4" width="9.77734375" style="214" bestFit="1" customWidth="1"/>
    <col min="5" max="5" width="9.33203125" style="214" bestFit="1" customWidth="1"/>
    <col min="6" max="6" width="9.77734375" style="214" bestFit="1" customWidth="1"/>
    <col min="7" max="7" width="7.77734375" style="311" bestFit="1" customWidth="1"/>
    <col min="8" max="8" width="8.33203125" style="311" bestFit="1" customWidth="1"/>
    <col min="9" max="9" width="9.77734375" style="214" bestFit="1" customWidth="1"/>
    <col min="10" max="10" width="9.33203125" style="214" bestFit="1" customWidth="1"/>
    <col min="11" max="11" width="9.77734375" style="214" bestFit="1" customWidth="1"/>
    <col min="12" max="12" width="1.88671875" style="214" customWidth="1"/>
    <col min="13" max="13" width="9.6640625" style="214" customWidth="1"/>
    <col min="14" max="14" width="9.88671875" style="214" customWidth="1"/>
    <col min="15" max="15" width="9.33203125" style="214" customWidth="1"/>
    <col min="16" max="16" width="2.44140625" style="214" customWidth="1"/>
    <col min="17" max="19" width="9.33203125" style="214" bestFit="1" customWidth="1"/>
    <col min="20" max="20" width="9.44140625" style="214" bestFit="1" customWidth="1"/>
    <col min="21" max="21" width="10.33203125" style="214" customWidth="1"/>
    <col min="22" max="22" width="9.44140625" style="214" customWidth="1"/>
    <col min="23" max="23" width="9.6640625" style="214" customWidth="1"/>
    <col min="24" max="24" width="2.33203125" style="214" customWidth="1"/>
    <col min="25" max="26" width="9.33203125" style="214" bestFit="1" customWidth="1"/>
    <col min="27" max="27" width="9.77734375" style="214" bestFit="1" customWidth="1"/>
    <col min="28" max="16384" width="9.109375" style="214"/>
  </cols>
  <sheetData>
    <row r="1" spans="1:27" s="322" customFormat="1">
      <c r="A1" s="317"/>
      <c r="B1" s="318"/>
      <c r="C1" s="318"/>
      <c r="D1" s="1202" t="s">
        <v>140</v>
      </c>
      <c r="E1" s="1203"/>
      <c r="F1" s="1202"/>
      <c r="G1" s="319"/>
      <c r="H1" s="319"/>
      <c r="I1" s="1202" t="s">
        <v>291</v>
      </c>
      <c r="J1" s="1203"/>
      <c r="K1" s="1202"/>
      <c r="L1" s="320"/>
      <c r="M1" s="1202" t="s">
        <v>142</v>
      </c>
      <c r="N1" s="1203"/>
      <c r="O1" s="1202"/>
      <c r="P1" s="320"/>
      <c r="Q1" s="1202" t="s">
        <v>292</v>
      </c>
      <c r="R1" s="1203"/>
      <c r="S1" s="1202"/>
      <c r="T1" s="320"/>
      <c r="U1" s="320"/>
      <c r="V1" s="313" t="s">
        <v>143</v>
      </c>
      <c r="W1" s="320"/>
      <c r="X1" s="320"/>
      <c r="Y1" s="320"/>
      <c r="Z1" s="313" t="s">
        <v>293</v>
      </c>
      <c r="AA1" s="321"/>
    </row>
    <row r="2" spans="1:27" s="322" customFormat="1" ht="33.75" customHeight="1">
      <c r="A2" s="1762" t="s">
        <v>324</v>
      </c>
      <c r="B2" s="1763"/>
      <c r="C2" s="1764"/>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29"/>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29"/>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30"/>
      <c r="M65" s="589">
        <f t="shared" si="18"/>
        <v>102.1</v>
      </c>
      <c r="N65" s="589">
        <f t="shared" si="19"/>
        <v>106.3</v>
      </c>
      <c r="O65" s="589">
        <f t="shared" si="20"/>
        <v>112.17</v>
      </c>
      <c r="P65" s="584"/>
      <c r="Q65" s="589">
        <f t="shared" si="6"/>
        <v>-1.9500000000000028</v>
      </c>
      <c r="R65" s="589">
        <f t="shared" si="7"/>
        <v>-1.9500000000000028</v>
      </c>
      <c r="S65" s="589">
        <f t="shared" si="8"/>
        <v>-0.67999999999999261</v>
      </c>
      <c r="T65" s="1230"/>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30"/>
      <c r="M66" s="589">
        <f t="shared" si="18"/>
        <v>99.33</v>
      </c>
      <c r="N66" s="589">
        <f t="shared" si="19"/>
        <v>102.2</v>
      </c>
      <c r="O66" s="589">
        <f t="shared" si="20"/>
        <v>109.33</v>
      </c>
      <c r="P66" s="584"/>
      <c r="Q66" s="589">
        <f t="shared" si="6"/>
        <v>-2.769999999999996</v>
      </c>
      <c r="R66" s="589">
        <f t="shared" si="7"/>
        <v>-4.0999999999999943</v>
      </c>
      <c r="S66" s="589">
        <f t="shared" si="8"/>
        <v>-2.8400000000000034</v>
      </c>
      <c r="T66" s="1230"/>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30"/>
      <c r="M67" s="589">
        <f t="shared" si="18"/>
        <v>99.1</v>
      </c>
      <c r="N67" s="589">
        <f t="shared" si="19"/>
        <v>99.17</v>
      </c>
      <c r="O67" s="589">
        <f t="shared" si="20"/>
        <v>106.13</v>
      </c>
      <c r="P67" s="584"/>
      <c r="Q67" s="589">
        <f t="shared" si="6"/>
        <v>-0.23000000000000398</v>
      </c>
      <c r="R67" s="589">
        <f t="shared" si="7"/>
        <v>-3.0300000000000011</v>
      </c>
      <c r="S67" s="589">
        <f t="shared" si="8"/>
        <v>-3.2000000000000028</v>
      </c>
      <c r="T67" s="1230"/>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30"/>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30"/>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30"/>
      <c r="M69" s="589">
        <f t="shared" si="18"/>
        <v>94.13</v>
      </c>
      <c r="N69" s="589">
        <f t="shared" si="19"/>
        <v>88.27</v>
      </c>
      <c r="O69" s="589">
        <f t="shared" si="20"/>
        <v>98</v>
      </c>
      <c r="P69" s="584"/>
      <c r="Q69" s="589">
        <f t="shared" si="24"/>
        <v>-3.5700000000000074</v>
      </c>
      <c r="R69" s="589">
        <f t="shared" si="25"/>
        <v>-5.2000000000000028</v>
      </c>
      <c r="S69" s="589">
        <f t="shared" si="26"/>
        <v>-3.7999999999999972</v>
      </c>
      <c r="T69" s="1230"/>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30"/>
      <c r="M70" s="589">
        <f t="shared" si="18"/>
        <v>92.93</v>
      </c>
      <c r="N70" s="589">
        <f t="shared" si="19"/>
        <v>86.2</v>
      </c>
      <c r="O70" s="589">
        <f t="shared" si="20"/>
        <v>96.37</v>
      </c>
      <c r="P70" s="584"/>
      <c r="Q70" s="589">
        <f t="shared" si="24"/>
        <v>-1.1999999999999886</v>
      </c>
      <c r="R70" s="589">
        <f t="shared" si="25"/>
        <v>-2.0699999999999932</v>
      </c>
      <c r="S70" s="589">
        <f t="shared" si="26"/>
        <v>-1.6299999999999955</v>
      </c>
      <c r="T70" s="1230"/>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30"/>
      <c r="M71" s="589">
        <f t="shared" si="18"/>
        <v>91.1</v>
      </c>
      <c r="N71" s="589">
        <f t="shared" si="19"/>
        <v>83.17</v>
      </c>
      <c r="O71" s="589">
        <f t="shared" si="20"/>
        <v>94.2</v>
      </c>
      <c r="P71" s="584"/>
      <c r="Q71" s="589">
        <f t="shared" si="24"/>
        <v>-1.8300000000000125</v>
      </c>
      <c r="R71" s="589">
        <f t="shared" si="25"/>
        <v>-3.0300000000000011</v>
      </c>
      <c r="S71" s="589">
        <f t="shared" si="26"/>
        <v>-2.1700000000000017</v>
      </c>
      <c r="T71" s="1230"/>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94.6</v>
      </c>
      <c r="G72" s="588">
        <v>170</v>
      </c>
      <c r="H72" s="588">
        <v>100</v>
      </c>
      <c r="I72" s="584">
        <f t="shared" si="15"/>
        <v>1.2999999999999972</v>
      </c>
      <c r="J72" s="584">
        <f t="shared" si="16"/>
        <v>5.3999999999999915</v>
      </c>
      <c r="K72" s="584">
        <f t="shared" si="17"/>
        <v>3.2999999999999972</v>
      </c>
      <c r="L72" s="1230"/>
      <c r="M72" s="589">
        <f t="shared" si="18"/>
        <v>90.7</v>
      </c>
      <c r="N72" s="589">
        <f t="shared" si="19"/>
        <v>81.47</v>
      </c>
      <c r="O72" s="589">
        <f t="shared" si="20"/>
        <v>93.77</v>
      </c>
      <c r="P72" s="584"/>
      <c r="Q72" s="589">
        <f t="shared" si="24"/>
        <v>-0.39999999999999147</v>
      </c>
      <c r="R72" s="589">
        <f t="shared" si="25"/>
        <v>-1.7000000000000028</v>
      </c>
      <c r="S72" s="589">
        <f t="shared" si="26"/>
        <v>-0.43000000000000682</v>
      </c>
      <c r="T72" s="1230"/>
      <c r="U72" s="589">
        <f t="shared" si="21"/>
        <v>93.74</v>
      </c>
      <c r="V72" s="589">
        <f t="shared" si="22"/>
        <v>87.36</v>
      </c>
      <c r="W72" s="589">
        <f t="shared" si="23"/>
        <v>97.51</v>
      </c>
      <c r="X72" s="588"/>
      <c r="Y72" s="589">
        <f t="shared" si="12"/>
        <v>-1.2000000000000028</v>
      </c>
      <c r="Z72" s="589">
        <f t="shared" si="13"/>
        <v>-2.9699999999999989</v>
      </c>
      <c r="AA72" s="590">
        <f t="shared" si="14"/>
        <v>-2.3199999999999932</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-2.7999999999999972</v>
      </c>
      <c r="L73" s="1230"/>
      <c r="M73" s="589">
        <f t="shared" si="18"/>
        <v>91.7</v>
      </c>
      <c r="N73" s="589">
        <f t="shared" si="19"/>
        <v>80.23</v>
      </c>
      <c r="O73" s="589">
        <f t="shared" si="20"/>
        <v>92.57</v>
      </c>
      <c r="P73" s="584"/>
      <c r="Q73" s="589">
        <f t="shared" si="24"/>
        <v>1</v>
      </c>
      <c r="R73" s="589">
        <f t="shared" si="25"/>
        <v>-1.2399999999999949</v>
      </c>
      <c r="S73" s="589">
        <f t="shared" si="26"/>
        <v>-1.2000000000000028</v>
      </c>
      <c r="T73" s="1230"/>
      <c r="U73" s="589">
        <f t="shared" si="21"/>
        <v>93.04</v>
      </c>
      <c r="V73" s="589">
        <f t="shared" si="22"/>
        <v>84.59</v>
      </c>
      <c r="W73" s="589">
        <f t="shared" si="23"/>
        <v>95.3</v>
      </c>
      <c r="X73" s="588"/>
      <c r="Y73" s="589">
        <f t="shared" si="12"/>
        <v>-0.69999999999998863</v>
      </c>
      <c r="Z73" s="589">
        <f t="shared" si="13"/>
        <v>-2.769999999999996</v>
      </c>
      <c r="AA73" s="590">
        <f t="shared" si="14"/>
        <v>-2.210000000000008</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30"/>
      <c r="M74" s="589">
        <f t="shared" si="18"/>
        <v>93.57</v>
      </c>
      <c r="N74" s="589">
        <f t="shared" si="19"/>
        <v>82.37</v>
      </c>
      <c r="O74" s="589">
        <f t="shared" si="20"/>
        <v>94.07</v>
      </c>
      <c r="P74" s="584"/>
      <c r="Q74" s="589">
        <f t="shared" si="24"/>
        <v>1.8699999999999903</v>
      </c>
      <c r="R74" s="589">
        <f t="shared" si="25"/>
        <v>2.1400000000000006</v>
      </c>
      <c r="S74" s="589">
        <f t="shared" si="26"/>
        <v>1.5</v>
      </c>
      <c r="T74" s="1230"/>
      <c r="U74" s="589">
        <f t="shared" si="21"/>
        <v>92.57</v>
      </c>
      <c r="V74" s="589">
        <f t="shared" si="22"/>
        <v>83.13</v>
      </c>
      <c r="W74" s="589">
        <f t="shared" si="23"/>
        <v>94.66</v>
      </c>
      <c r="X74" s="588"/>
      <c r="Y74" s="589">
        <f t="shared" si="12"/>
        <v>-0.47000000000001307</v>
      </c>
      <c r="Z74" s="589">
        <f t="shared" si="13"/>
        <v>-1.460000000000008</v>
      </c>
      <c r="AA74" s="590">
        <f t="shared" si="14"/>
        <v>-0.64000000000000057</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31"/>
      <c r="M75" s="604">
        <f t="shared" si="18"/>
        <v>94.63</v>
      </c>
      <c r="N75" s="604">
        <f t="shared" si="19"/>
        <v>83.9</v>
      </c>
      <c r="O75" s="604">
        <f t="shared" si="20"/>
        <v>94.5</v>
      </c>
      <c r="P75" s="593"/>
      <c r="Q75" s="589">
        <f t="shared" si="24"/>
        <v>1.0600000000000023</v>
      </c>
      <c r="R75" s="589">
        <f t="shared" si="25"/>
        <v>1.5300000000000011</v>
      </c>
      <c r="S75" s="589">
        <f t="shared" si="26"/>
        <v>0.43000000000000682</v>
      </c>
      <c r="T75" s="1231"/>
      <c r="U75" s="594">
        <f t="shared" si="21"/>
        <v>92.43</v>
      </c>
      <c r="V75" s="594">
        <f t="shared" si="22"/>
        <v>83.26</v>
      </c>
      <c r="W75" s="594">
        <f t="shared" si="23"/>
        <v>94.39</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32"/>
      <c r="M76" s="585">
        <f t="shared" si="18"/>
        <v>92.17</v>
      </c>
      <c r="N76" s="585">
        <f t="shared" si="19"/>
        <v>82.47</v>
      </c>
      <c r="O76" s="585">
        <f t="shared" si="20"/>
        <v>94.73</v>
      </c>
      <c r="P76" s="598"/>
      <c r="Q76" s="589">
        <f t="shared" si="24"/>
        <v>-2.4599999999999937</v>
      </c>
      <c r="R76" s="589">
        <f t="shared" si="25"/>
        <v>-1.4300000000000068</v>
      </c>
      <c r="S76" s="589">
        <f t="shared" si="26"/>
        <v>0.23000000000000398</v>
      </c>
      <c r="T76" s="1232"/>
      <c r="U76" s="599">
        <f t="shared" si="21"/>
        <v>92.2</v>
      </c>
      <c r="V76" s="599">
        <f t="shared" si="22"/>
        <v>82.1</v>
      </c>
      <c r="W76" s="599">
        <f t="shared" si="23"/>
        <v>93.9</v>
      </c>
      <c r="X76" s="597"/>
      <c r="Y76" s="599">
        <f t="shared" ref="Y76:Y139" si="27">U76-U75</f>
        <v>-0.23000000000000398</v>
      </c>
      <c r="Z76" s="599">
        <f t="shared" ref="Z76:Z139" si="28">V76-V75</f>
        <v>-1.1600000000000108</v>
      </c>
      <c r="AA76" s="600">
        <f t="shared" ref="AA76:AA139" si="29">W76-W75</f>
        <v>-0.48999999999999488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30"/>
      <c r="M77" s="589">
        <f t="shared" si="18"/>
        <v>93.2</v>
      </c>
      <c r="N77" s="589">
        <f t="shared" si="19"/>
        <v>82.4</v>
      </c>
      <c r="O77" s="589">
        <f t="shared" si="20"/>
        <v>93.67</v>
      </c>
      <c r="P77" s="584"/>
      <c r="Q77" s="589">
        <f t="shared" si="24"/>
        <v>1.0300000000000011</v>
      </c>
      <c r="R77" s="589">
        <f t="shared" si="25"/>
        <v>-6.9999999999993179E-2</v>
      </c>
      <c r="S77" s="589">
        <f t="shared" si="26"/>
        <v>-1.0600000000000023</v>
      </c>
      <c r="T77" s="1230"/>
      <c r="U77" s="589">
        <f t="shared" si="21"/>
        <v>92.69</v>
      </c>
      <c r="V77" s="589">
        <f t="shared" si="22"/>
        <v>81.5</v>
      </c>
      <c r="W77" s="589">
        <f t="shared" si="23"/>
        <v>93.5</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30"/>
      <c r="M78" s="589">
        <f t="shared" si="18"/>
        <v>94.8</v>
      </c>
      <c r="N78" s="589">
        <f t="shared" si="19"/>
        <v>84.77</v>
      </c>
      <c r="O78" s="589">
        <f t="shared" si="20"/>
        <v>92.3</v>
      </c>
      <c r="P78" s="584"/>
      <c r="Q78" s="589">
        <f t="shared" si="24"/>
        <v>1.5999999999999943</v>
      </c>
      <c r="R78" s="589">
        <f t="shared" si="25"/>
        <v>2.3699999999999903</v>
      </c>
      <c r="S78" s="589">
        <f t="shared" si="26"/>
        <v>-1.3700000000000045</v>
      </c>
      <c r="T78" s="1230"/>
      <c r="U78" s="589">
        <f t="shared" si="21"/>
        <v>94.01</v>
      </c>
      <c r="V78" s="589">
        <f t="shared" si="22"/>
        <v>83.94</v>
      </c>
      <c r="W78" s="589">
        <f t="shared" si="23"/>
        <v>93.57</v>
      </c>
      <c r="X78" s="588"/>
      <c r="Y78" s="589">
        <f t="shared" si="27"/>
        <v>1.3200000000000074</v>
      </c>
      <c r="Z78" s="589">
        <f t="shared" si="28"/>
        <v>2.4399999999999977</v>
      </c>
      <c r="AA78" s="590">
        <f t="shared" si="29"/>
        <v>6.9999999999993179E-2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30"/>
      <c r="M79" s="589">
        <f t="shared" si="18"/>
        <v>96.67</v>
      </c>
      <c r="N79" s="589">
        <f t="shared" si="19"/>
        <v>86.83</v>
      </c>
      <c r="O79" s="589">
        <f t="shared" si="20"/>
        <v>92.3</v>
      </c>
      <c r="P79" s="584"/>
      <c r="Q79" s="589">
        <f t="shared" si="24"/>
        <v>1.8700000000000045</v>
      </c>
      <c r="R79" s="589">
        <f t="shared" si="25"/>
        <v>2.0600000000000023</v>
      </c>
      <c r="S79" s="589">
        <f t="shared" si="26"/>
        <v>0</v>
      </c>
      <c r="T79" s="1230"/>
      <c r="U79" s="589">
        <f t="shared" si="21"/>
        <v>94.76</v>
      </c>
      <c r="V79" s="589">
        <f t="shared" si="22"/>
        <v>84.4</v>
      </c>
      <c r="W79" s="589">
        <f t="shared" si="23"/>
        <v>93.27</v>
      </c>
      <c r="X79" s="588"/>
      <c r="Y79" s="589">
        <f t="shared" si="27"/>
        <v>0.75</v>
      </c>
      <c r="Z79" s="589">
        <f t="shared" si="28"/>
        <v>0.46000000000000796</v>
      </c>
      <c r="AA79" s="590">
        <f t="shared" si="29"/>
        <v>-0.29999999999999716</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30"/>
      <c r="M80" s="589">
        <f t="shared" si="18"/>
        <v>95.87</v>
      </c>
      <c r="N80" s="589">
        <f t="shared" si="19"/>
        <v>87.07</v>
      </c>
      <c r="O80" s="589">
        <f t="shared" si="20"/>
        <v>91.3</v>
      </c>
      <c r="P80" s="584"/>
      <c r="Q80" s="589">
        <f t="shared" si="24"/>
        <v>-0.79999999999999716</v>
      </c>
      <c r="R80" s="589">
        <f t="shared" si="25"/>
        <v>0.23999999999999488</v>
      </c>
      <c r="S80" s="589">
        <f t="shared" si="26"/>
        <v>-1</v>
      </c>
      <c r="T80" s="1230"/>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30"/>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30"/>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30"/>
      <c r="M82" s="589">
        <f t="shared" si="18"/>
        <v>98.8</v>
      </c>
      <c r="N82" s="589">
        <f t="shared" si="19"/>
        <v>87.3</v>
      </c>
      <c r="O82" s="589">
        <f t="shared" si="20"/>
        <v>90.4</v>
      </c>
      <c r="P82" s="584"/>
      <c r="Q82" s="589">
        <f t="shared" si="24"/>
        <v>2.8699999999999903</v>
      </c>
      <c r="R82" s="589">
        <f t="shared" si="25"/>
        <v>1.769999999999996</v>
      </c>
      <c r="S82" s="589">
        <f t="shared" si="26"/>
        <v>-0.42999999999999261</v>
      </c>
      <c r="T82" s="1230"/>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30"/>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30"/>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30"/>
      <c r="M84" s="589">
        <f t="shared" si="18"/>
        <v>102.6</v>
      </c>
      <c r="N84" s="589">
        <f t="shared" si="19"/>
        <v>88.83</v>
      </c>
      <c r="O84" s="589">
        <f t="shared" si="20"/>
        <v>89.97</v>
      </c>
      <c r="P84" s="584"/>
      <c r="Q84" s="589">
        <f t="shared" si="24"/>
        <v>1.7299999999999898</v>
      </c>
      <c r="R84" s="589">
        <f t="shared" si="25"/>
        <v>1.230000000000004</v>
      </c>
      <c r="S84" s="589">
        <f t="shared" si="26"/>
        <v>0.14000000000000057</v>
      </c>
      <c r="T84" s="1230"/>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30"/>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30"/>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30"/>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30"/>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33"/>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33"/>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29"/>
      <c r="M88" s="599">
        <f t="shared" si="18"/>
        <v>106.43</v>
      </c>
      <c r="N88" s="599">
        <f t="shared" si="19"/>
        <v>91.3</v>
      </c>
      <c r="O88" s="599">
        <f t="shared" si="20"/>
        <v>84.53</v>
      </c>
      <c r="P88" s="583"/>
      <c r="Q88" s="589">
        <f t="shared" si="24"/>
        <v>-0.26999999999999602</v>
      </c>
      <c r="R88" s="589">
        <f t="shared" si="25"/>
        <v>-1.269999999999996</v>
      </c>
      <c r="S88" s="589">
        <f t="shared" si="26"/>
        <v>-1.1700000000000017</v>
      </c>
      <c r="T88" s="1229"/>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30"/>
      <c r="M89" s="589">
        <f t="shared" si="18"/>
        <v>108.2</v>
      </c>
      <c r="N89" s="589">
        <f t="shared" si="19"/>
        <v>92.27</v>
      </c>
      <c r="O89" s="589">
        <f t="shared" si="20"/>
        <v>84.7</v>
      </c>
      <c r="P89" s="584"/>
      <c r="Q89" s="589">
        <f t="shared" si="24"/>
        <v>1.769999999999996</v>
      </c>
      <c r="R89" s="589">
        <f t="shared" si="25"/>
        <v>0.96999999999999886</v>
      </c>
      <c r="S89" s="589">
        <f t="shared" si="26"/>
        <v>0.17000000000000171</v>
      </c>
      <c r="T89" s="1230"/>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115.4</v>
      </c>
      <c r="E90" s="587">
        <v>106.3</v>
      </c>
      <c r="F90" s="587">
        <v>85.8</v>
      </c>
      <c r="G90" s="588"/>
      <c r="H90" s="588">
        <v>100</v>
      </c>
      <c r="I90" s="584">
        <f t="shared" si="15"/>
        <v>2.6000000000000085</v>
      </c>
      <c r="J90" s="584">
        <f t="shared" si="16"/>
        <v>9.3999999999999915</v>
      </c>
      <c r="K90" s="584">
        <f t="shared" si="17"/>
        <v>0.20000000000000284</v>
      </c>
      <c r="L90" s="1230"/>
      <c r="M90" s="589">
        <f t="shared" si="18"/>
        <v>111.3</v>
      </c>
      <c r="N90" s="589">
        <f t="shared" si="19"/>
        <v>96.97</v>
      </c>
      <c r="O90" s="589">
        <f t="shared" si="20"/>
        <v>85.67</v>
      </c>
      <c r="P90" s="584"/>
      <c r="Q90" s="589">
        <f t="shared" si="24"/>
        <v>3.0999999999999943</v>
      </c>
      <c r="R90" s="589">
        <f t="shared" si="25"/>
        <v>4.7000000000000028</v>
      </c>
      <c r="S90" s="589">
        <f t="shared" si="26"/>
        <v>0.96999999999999886</v>
      </c>
      <c r="T90" s="1230"/>
      <c r="U90" s="589">
        <f t="shared" si="21"/>
        <v>108.17</v>
      </c>
      <c r="V90" s="589">
        <f t="shared" si="22"/>
        <v>94.43</v>
      </c>
      <c r="W90" s="589">
        <f t="shared" si="23"/>
        <v>86.41</v>
      </c>
      <c r="X90" s="588"/>
      <c r="Y90" s="589">
        <f t="shared" si="27"/>
        <v>2.0600000000000023</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-6.2000000000000028</v>
      </c>
      <c r="J91" s="584">
        <f t="shared" si="16"/>
        <v>-12.599999999999994</v>
      </c>
      <c r="K91" s="584">
        <f t="shared" si="17"/>
        <v>1.1000000000000085</v>
      </c>
      <c r="L91" s="1230"/>
      <c r="M91" s="589">
        <f t="shared" si="18"/>
        <v>112.47</v>
      </c>
      <c r="N91" s="589">
        <f t="shared" si="19"/>
        <v>98.97</v>
      </c>
      <c r="O91" s="589">
        <f t="shared" si="20"/>
        <v>86.1</v>
      </c>
      <c r="P91" s="584"/>
      <c r="Q91" s="589">
        <f t="shared" si="24"/>
        <v>1.1700000000000017</v>
      </c>
      <c r="R91" s="589">
        <f t="shared" si="25"/>
        <v>2</v>
      </c>
      <c r="S91" s="589">
        <f t="shared" si="26"/>
        <v>0.42999999999999261</v>
      </c>
      <c r="T91" s="1230"/>
      <c r="U91" s="589">
        <f t="shared" si="21"/>
        <v>109.03</v>
      </c>
      <c r="V91" s="589">
        <f t="shared" si="22"/>
        <v>94.61</v>
      </c>
      <c r="W91" s="589">
        <f t="shared" si="23"/>
        <v>85.86</v>
      </c>
      <c r="X91" s="588"/>
      <c r="Y91" s="589">
        <f t="shared" si="27"/>
        <v>0.85999999999999943</v>
      </c>
      <c r="Z91" s="589">
        <f t="shared" si="28"/>
        <v>0.17999999999999261</v>
      </c>
      <c r="AA91" s="590">
        <f t="shared" si="29"/>
        <v>-0.54999999999999716</v>
      </c>
    </row>
    <row r="92" spans="1:27" s="501" customFormat="1">
      <c r="A92" s="483"/>
      <c r="B92" s="484" t="s">
        <v>141</v>
      </c>
      <c r="C92" s="485">
        <v>5</v>
      </c>
      <c r="D92" s="587">
        <v>111.4</v>
      </c>
      <c r="E92" s="587">
        <v>102.5</v>
      </c>
      <c r="F92" s="587">
        <v>89</v>
      </c>
      <c r="G92" s="588"/>
      <c r="H92" s="588">
        <v>100</v>
      </c>
      <c r="I92" s="584">
        <f t="shared" si="15"/>
        <v>2.2000000000000028</v>
      </c>
      <c r="J92" s="584">
        <f t="shared" si="16"/>
        <v>8.7999999999999972</v>
      </c>
      <c r="K92" s="584">
        <f t="shared" si="17"/>
        <v>2.0999999999999943</v>
      </c>
      <c r="L92" s="1230"/>
      <c r="M92" s="589">
        <f t="shared" si="18"/>
        <v>112</v>
      </c>
      <c r="N92" s="589">
        <f t="shared" si="19"/>
        <v>100.83</v>
      </c>
      <c r="O92" s="589">
        <f t="shared" si="20"/>
        <v>87.23</v>
      </c>
      <c r="P92" s="584"/>
      <c r="Q92" s="589">
        <f t="shared" si="24"/>
        <v>-0.46999999999999886</v>
      </c>
      <c r="R92" s="589">
        <f t="shared" si="25"/>
        <v>1.8599999999999994</v>
      </c>
      <c r="S92" s="589">
        <f t="shared" si="26"/>
        <v>1.1300000000000097</v>
      </c>
      <c r="T92" s="1230"/>
      <c r="U92" s="589">
        <f t="shared" si="21"/>
        <v>109.73</v>
      </c>
      <c r="V92" s="589">
        <f t="shared" si="22"/>
        <v>96.19</v>
      </c>
      <c r="W92" s="589">
        <f t="shared" si="23"/>
        <v>85.84</v>
      </c>
      <c r="X92" s="588"/>
      <c r="Y92" s="589">
        <f t="shared" si="27"/>
        <v>0.70000000000000284</v>
      </c>
      <c r="Z92" s="589">
        <f t="shared" si="28"/>
        <v>1.5799999999999983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v>
      </c>
      <c r="K93" s="584">
        <f t="shared" si="17"/>
        <v>-0.59999999999999432</v>
      </c>
      <c r="L93" s="1230"/>
      <c r="M93" s="589">
        <f t="shared" si="18"/>
        <v>111.17</v>
      </c>
      <c r="N93" s="589">
        <f t="shared" si="19"/>
        <v>100.4</v>
      </c>
      <c r="O93" s="589">
        <f t="shared" si="20"/>
        <v>88.1</v>
      </c>
      <c r="P93" s="584"/>
      <c r="Q93" s="589">
        <f t="shared" si="24"/>
        <v>-0.82999999999999829</v>
      </c>
      <c r="R93" s="589">
        <f t="shared" si="25"/>
        <v>-0.42999999999999261</v>
      </c>
      <c r="S93" s="589">
        <f t="shared" si="26"/>
        <v>0.86999999999999034</v>
      </c>
      <c r="T93" s="1230"/>
      <c r="U93" s="589">
        <f t="shared" si="21"/>
        <v>110.5</v>
      </c>
      <c r="V93" s="589">
        <f t="shared" si="22"/>
        <v>97.76</v>
      </c>
      <c r="W93" s="589">
        <f t="shared" si="23"/>
        <v>86.31</v>
      </c>
      <c r="X93" s="588"/>
      <c r="Y93" s="589">
        <f t="shared" si="27"/>
        <v>0.76999999999999602</v>
      </c>
      <c r="Z93" s="589">
        <f t="shared" si="28"/>
        <v>1.5700000000000074</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30"/>
      <c r="M94" s="589">
        <f t="shared" si="18"/>
        <v>111.7</v>
      </c>
      <c r="N94" s="589">
        <f t="shared" si="19"/>
        <v>104.63</v>
      </c>
      <c r="O94" s="589">
        <f t="shared" si="20"/>
        <v>88.9</v>
      </c>
      <c r="P94" s="584"/>
      <c r="Q94" s="589">
        <f t="shared" si="24"/>
        <v>0.53000000000000114</v>
      </c>
      <c r="R94" s="589">
        <f t="shared" si="25"/>
        <v>4.2299999999999898</v>
      </c>
      <c r="S94" s="589">
        <f t="shared" si="26"/>
        <v>0.80000000000001137</v>
      </c>
      <c r="T94" s="1230"/>
      <c r="U94" s="589">
        <f t="shared" si="21"/>
        <v>111.17</v>
      </c>
      <c r="V94" s="589">
        <f t="shared" si="22"/>
        <v>99.79</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30"/>
      <c r="M95" s="589">
        <f t="shared" si="18"/>
        <v>112.8</v>
      </c>
      <c r="N95" s="589">
        <f t="shared" si="19"/>
        <v>104.6</v>
      </c>
      <c r="O95" s="589">
        <f t="shared" si="20"/>
        <v>88.6</v>
      </c>
      <c r="P95" s="584"/>
      <c r="Q95" s="589">
        <f t="shared" si="24"/>
        <v>1.0999999999999943</v>
      </c>
      <c r="R95" s="589">
        <f t="shared" si="25"/>
        <v>-3.0000000000001137E-2</v>
      </c>
      <c r="S95" s="589">
        <f t="shared" si="26"/>
        <v>-0.30000000000001137</v>
      </c>
      <c r="T95" s="1230"/>
      <c r="U95" s="589">
        <f t="shared" si="21"/>
        <v>112.46</v>
      </c>
      <c r="V95" s="589">
        <f t="shared" si="22"/>
        <v>101.89</v>
      </c>
      <c r="W95" s="589">
        <f t="shared" si="23"/>
        <v>87.59</v>
      </c>
      <c r="X95" s="588"/>
      <c r="Y95" s="589">
        <f t="shared" si="27"/>
        <v>1.289999999999992</v>
      </c>
      <c r="Z95" s="589">
        <f t="shared" si="28"/>
        <v>2.0999999999999943</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30"/>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30"/>
      <c r="U96" s="589">
        <f t="shared" ref="U96:U127" si="33">ROUND(AVERAGE(D90:D96),2)</f>
        <v>112.21</v>
      </c>
      <c r="V96" s="589">
        <f t="shared" ref="V96:V127" si="34">ROUND(AVERAGE(E90:E96),2)</f>
        <v>103.46</v>
      </c>
      <c r="W96" s="589">
        <f t="shared" ref="W96:W127" si="35">ROUND(AVERAGE(F90:F96),2)</f>
        <v>87.93</v>
      </c>
      <c r="X96" s="588"/>
      <c r="Y96" s="589">
        <f t="shared" si="27"/>
        <v>-0.25</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30"/>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30"/>
      <c r="U97" s="589">
        <f t="shared" si="33"/>
        <v>111.73</v>
      </c>
      <c r="V97" s="589">
        <f t="shared" si="34"/>
        <v>103.86</v>
      </c>
      <c r="W97" s="589">
        <f t="shared" si="35"/>
        <v>88.2</v>
      </c>
      <c r="X97" s="588"/>
      <c r="Y97" s="589">
        <f t="shared" si="27"/>
        <v>-0.47999999999998977</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30"/>
      <c r="M98" s="589">
        <f t="shared" si="30"/>
        <v>113.17</v>
      </c>
      <c r="N98" s="589">
        <f t="shared" si="31"/>
        <v>109.3</v>
      </c>
      <c r="O98" s="589">
        <f t="shared" si="32"/>
        <v>88.43</v>
      </c>
      <c r="P98" s="584"/>
      <c r="Q98" s="589">
        <f t="shared" si="24"/>
        <v>0.57000000000000739</v>
      </c>
      <c r="R98" s="589">
        <f t="shared" si="25"/>
        <v>2.8299999999999983</v>
      </c>
      <c r="S98" s="589">
        <f t="shared" si="26"/>
        <v>0.5</v>
      </c>
      <c r="T98" s="1230"/>
      <c r="U98" s="589">
        <f t="shared" si="33"/>
        <v>112.76</v>
      </c>
      <c r="V98" s="589">
        <f t="shared" si="34"/>
        <v>106.31</v>
      </c>
      <c r="W98" s="589">
        <f t="shared" si="35"/>
        <v>88.59</v>
      </c>
      <c r="X98" s="588"/>
      <c r="Y98" s="589">
        <f t="shared" si="27"/>
        <v>1.0300000000000011</v>
      </c>
      <c r="Z98" s="589">
        <f t="shared" si="28"/>
        <v>2.4500000000000028</v>
      </c>
      <c r="AA98" s="590">
        <f t="shared" si="29"/>
        <v>0.39000000000000057</v>
      </c>
    </row>
    <row r="99" spans="1:27" s="501" customFormat="1">
      <c r="A99" s="487"/>
      <c r="B99" s="488" t="s">
        <v>141</v>
      </c>
      <c r="C99" s="489">
        <v>12</v>
      </c>
      <c r="D99" s="591">
        <v>112.2</v>
      </c>
      <c r="E99" s="591">
        <v>110.6</v>
      </c>
      <c r="F99" s="591">
        <v>89.4</v>
      </c>
      <c r="G99" s="592">
        <v>170</v>
      </c>
      <c r="H99" s="592">
        <v>100</v>
      </c>
      <c r="I99" s="593">
        <f t="shared" si="15"/>
        <v>-4.2000000000000028</v>
      </c>
      <c r="J99" s="593">
        <f t="shared" si="16"/>
        <v>-0.30000000000001137</v>
      </c>
      <c r="K99" s="593">
        <f t="shared" si="17"/>
        <v>-0.19999999999998863</v>
      </c>
      <c r="L99" s="1231"/>
      <c r="M99" s="604">
        <f t="shared" si="30"/>
        <v>113.53</v>
      </c>
      <c r="N99" s="604">
        <f t="shared" si="31"/>
        <v>110.2</v>
      </c>
      <c r="O99" s="604">
        <f t="shared" si="32"/>
        <v>88.9</v>
      </c>
      <c r="P99" s="593"/>
      <c r="Q99" s="589">
        <f t="shared" si="24"/>
        <v>0.35999999999999943</v>
      </c>
      <c r="R99" s="589">
        <f t="shared" si="25"/>
        <v>0.90000000000000568</v>
      </c>
      <c r="S99" s="589">
        <f t="shared" si="26"/>
        <v>0.46999999999999886</v>
      </c>
      <c r="T99" s="1231"/>
      <c r="U99" s="594">
        <f t="shared" si="33"/>
        <v>112.87</v>
      </c>
      <c r="V99" s="594">
        <f t="shared" si="34"/>
        <v>107.47</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-4</v>
      </c>
      <c r="K100" s="598">
        <f t="shared" si="17"/>
        <v>-0.5</v>
      </c>
      <c r="L100" s="1232"/>
      <c r="M100" s="585">
        <f t="shared" si="30"/>
        <v>110.6</v>
      </c>
      <c r="N100" s="585">
        <f t="shared" si="31"/>
        <v>109.37</v>
      </c>
      <c r="O100" s="585">
        <f t="shared" si="32"/>
        <v>89.3</v>
      </c>
      <c r="P100" s="598"/>
      <c r="Q100" s="589">
        <f t="shared" si="24"/>
        <v>-2.9300000000000068</v>
      </c>
      <c r="R100" s="589">
        <f t="shared" si="25"/>
        <v>-0.82999999999999829</v>
      </c>
      <c r="S100" s="589">
        <f t="shared" si="26"/>
        <v>0.39999999999999147</v>
      </c>
      <c r="T100" s="1232"/>
      <c r="U100" s="599">
        <f t="shared" si="33"/>
        <v>111.49</v>
      </c>
      <c r="V100" s="599">
        <f t="shared" si="34"/>
        <v>107.7</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30"/>
      <c r="M101" s="589">
        <f t="shared" si="30"/>
        <v>105.8</v>
      </c>
      <c r="N101" s="589">
        <f t="shared" si="31"/>
        <v>108.1</v>
      </c>
      <c r="O101" s="589">
        <f t="shared" si="32"/>
        <v>89.13</v>
      </c>
      <c r="P101" s="584"/>
      <c r="Q101" s="589">
        <f t="shared" si="24"/>
        <v>-4.7999999999999972</v>
      </c>
      <c r="R101" s="589">
        <f t="shared" si="25"/>
        <v>-1.2700000000000102</v>
      </c>
      <c r="S101" s="589">
        <f t="shared" si="26"/>
        <v>-0.17000000000000171</v>
      </c>
      <c r="T101" s="1230"/>
      <c r="U101" s="589">
        <f t="shared" si="33"/>
        <v>110.23</v>
      </c>
      <c r="V101" s="589">
        <f t="shared" si="34"/>
        <v>107.8</v>
      </c>
      <c r="W101" s="589">
        <f t="shared" si="35"/>
        <v>88.69</v>
      </c>
      <c r="X101" s="588"/>
      <c r="Y101" s="589">
        <f t="shared" si="27"/>
        <v>-1.2599999999999909</v>
      </c>
      <c r="Z101" s="589">
        <f t="shared" si="28"/>
        <v>9.9999999999994316E-2</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30"/>
      <c r="M102" s="589">
        <f t="shared" si="30"/>
        <v>101.77</v>
      </c>
      <c r="N102" s="589">
        <f t="shared" si="31"/>
        <v>106.97</v>
      </c>
      <c r="O102" s="589">
        <f t="shared" si="32"/>
        <v>88.47</v>
      </c>
      <c r="P102" s="584"/>
      <c r="Q102" s="589">
        <f t="shared" si="24"/>
        <v>-4.0300000000000011</v>
      </c>
      <c r="R102" s="589">
        <f t="shared" si="25"/>
        <v>-1.1299999999999955</v>
      </c>
      <c r="S102" s="589">
        <f t="shared" si="26"/>
        <v>-0.65999999999999659</v>
      </c>
      <c r="T102" s="1230"/>
      <c r="U102" s="589">
        <f t="shared" si="33"/>
        <v>108.14</v>
      </c>
      <c r="V102" s="589">
        <f t="shared" si="34"/>
        <v>108.49</v>
      </c>
      <c r="W102" s="589">
        <f t="shared" si="35"/>
        <v>88.59</v>
      </c>
      <c r="X102" s="588"/>
      <c r="Y102" s="589">
        <f t="shared" si="27"/>
        <v>-2.0900000000000034</v>
      </c>
      <c r="Z102" s="589">
        <f t="shared" si="28"/>
        <v>0.68999999999999773</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30"/>
      <c r="M103" s="589">
        <f t="shared" si="30"/>
        <v>101.5</v>
      </c>
      <c r="N103" s="589">
        <f t="shared" si="31"/>
        <v>104.73</v>
      </c>
      <c r="O103" s="589">
        <f t="shared" si="32"/>
        <v>87.47</v>
      </c>
      <c r="P103" s="584"/>
      <c r="Q103" s="589">
        <f t="shared" si="24"/>
        <v>-0.26999999999999602</v>
      </c>
      <c r="R103" s="589">
        <f t="shared" si="25"/>
        <v>-2.2399999999999949</v>
      </c>
      <c r="S103" s="589">
        <f t="shared" si="26"/>
        <v>-1</v>
      </c>
      <c r="T103" s="1230"/>
      <c r="U103" s="589">
        <f t="shared" si="33"/>
        <v>106.9</v>
      </c>
      <c r="V103" s="589">
        <f t="shared" si="34"/>
        <v>107.34</v>
      </c>
      <c r="W103" s="589">
        <f t="shared" si="35"/>
        <v>88.29</v>
      </c>
      <c r="X103" s="588"/>
      <c r="Y103" s="589">
        <f t="shared" si="27"/>
        <v>-1.2399999999999949</v>
      </c>
      <c r="Z103" s="589">
        <f t="shared" si="28"/>
        <v>-1.1499999999999915</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30"/>
      <c r="M104" s="589">
        <f t="shared" si="30"/>
        <v>101</v>
      </c>
      <c r="N104" s="589">
        <f t="shared" si="31"/>
        <v>101.07</v>
      </c>
      <c r="O104" s="589">
        <f t="shared" si="32"/>
        <v>86.9</v>
      </c>
      <c r="P104" s="584"/>
      <c r="Q104" s="589">
        <f t="shared" si="24"/>
        <v>-0.5</v>
      </c>
      <c r="R104" s="589">
        <f t="shared" si="25"/>
        <v>-3.6600000000000108</v>
      </c>
      <c r="S104" s="589">
        <f t="shared" si="26"/>
        <v>-0.56999999999999318</v>
      </c>
      <c r="T104" s="1230"/>
      <c r="U104" s="589">
        <f t="shared" si="33"/>
        <v>105.26</v>
      </c>
      <c r="V104" s="589">
        <f t="shared" si="34"/>
        <v>105.49</v>
      </c>
      <c r="W104" s="589">
        <f t="shared" si="35"/>
        <v>88.24</v>
      </c>
      <c r="X104" s="588"/>
      <c r="Y104" s="589">
        <f t="shared" si="27"/>
        <v>-1.6400000000000006</v>
      </c>
      <c r="Z104" s="589">
        <f t="shared" si="28"/>
        <v>-1.8500000000000085</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30"/>
      <c r="M105" s="589">
        <f t="shared" si="30"/>
        <v>101</v>
      </c>
      <c r="N105" s="589">
        <f t="shared" si="31"/>
        <v>96.03</v>
      </c>
      <c r="O105" s="589">
        <f t="shared" si="32"/>
        <v>86.17</v>
      </c>
      <c r="P105" s="584"/>
      <c r="Q105" s="589">
        <f t="shared" si="24"/>
        <v>0</v>
      </c>
      <c r="R105" s="589">
        <f t="shared" si="25"/>
        <v>-5.039999999999992</v>
      </c>
      <c r="S105" s="589">
        <f t="shared" si="26"/>
        <v>-0.73000000000000398</v>
      </c>
      <c r="T105" s="1230"/>
      <c r="U105" s="589">
        <f t="shared" si="33"/>
        <v>102.93</v>
      </c>
      <c r="V105" s="589">
        <f t="shared" si="34"/>
        <v>102.8</v>
      </c>
      <c r="W105" s="589">
        <f t="shared" si="35"/>
        <v>87.61</v>
      </c>
      <c r="X105" s="588"/>
      <c r="Y105" s="589">
        <f t="shared" si="27"/>
        <v>-2.3299999999999983</v>
      </c>
      <c r="Z105" s="589">
        <f t="shared" si="28"/>
        <v>-2.6899999999999977</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30"/>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30"/>
      <c r="U106" s="589">
        <f t="shared" si="33"/>
        <v>100.2</v>
      </c>
      <c r="V106" s="589">
        <f t="shared" si="34"/>
        <v>98.69</v>
      </c>
      <c r="W106" s="589">
        <f t="shared" si="35"/>
        <v>86.2</v>
      </c>
      <c r="X106" s="588"/>
      <c r="Y106" s="589">
        <f t="shared" si="27"/>
        <v>-2.730000000000004</v>
      </c>
      <c r="Z106" s="589">
        <f t="shared" si="28"/>
        <v>-4.1099999999999994</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30"/>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30"/>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30"/>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30"/>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30"/>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30"/>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30"/>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30"/>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33"/>
      <c r="M111" s="594">
        <f t="shared" si="30"/>
        <v>87.03</v>
      </c>
      <c r="N111" s="594">
        <f t="shared" si="31"/>
        <v>72.53</v>
      </c>
      <c r="O111" s="594">
        <f t="shared" si="32"/>
        <v>75.83</v>
      </c>
      <c r="P111" s="603"/>
      <c r="Q111" s="589">
        <f t="shared" si="24"/>
        <v>-0.40000000000000568</v>
      </c>
      <c r="R111" s="589">
        <f t="shared" si="25"/>
        <v>-4.9000000000000057</v>
      </c>
      <c r="S111" s="589">
        <f t="shared" si="26"/>
        <v>-1</v>
      </c>
      <c r="T111" s="1233"/>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29"/>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29"/>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30"/>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30"/>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30"/>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30"/>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30"/>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30"/>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30"/>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30"/>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97.2</v>
      </c>
      <c r="E117" s="587">
        <v>83.3</v>
      </c>
      <c r="F117" s="587">
        <v>76.2</v>
      </c>
      <c r="G117" s="588"/>
      <c r="H117" s="588">
        <v>100</v>
      </c>
      <c r="I117" s="584">
        <f t="shared" si="15"/>
        <v>4.2000000000000028</v>
      </c>
      <c r="J117" s="584">
        <f t="shared" si="16"/>
        <v>1</v>
      </c>
      <c r="K117" s="584">
        <f t="shared" si="17"/>
        <v>-0.89999999999999147</v>
      </c>
      <c r="L117" s="1230"/>
      <c r="M117" s="589">
        <f t="shared" si="30"/>
        <v>92.4</v>
      </c>
      <c r="N117" s="589">
        <f t="shared" si="31"/>
        <v>80.53</v>
      </c>
      <c r="O117" s="589">
        <f t="shared" si="32"/>
        <v>76.17</v>
      </c>
      <c r="P117" s="584"/>
      <c r="Q117" s="589">
        <f t="shared" si="24"/>
        <v>3</v>
      </c>
      <c r="R117" s="589">
        <f t="shared" si="25"/>
        <v>0.29999999999999716</v>
      </c>
      <c r="S117" s="589">
        <f t="shared" si="26"/>
        <v>-6.0000000000002274E-2</v>
      </c>
      <c r="T117" s="1230"/>
      <c r="U117" s="589">
        <f t="shared" si="33"/>
        <v>87.86</v>
      </c>
      <c r="V117" s="589">
        <f t="shared" si="34"/>
        <v>76.53</v>
      </c>
      <c r="W117" s="589">
        <f t="shared" si="35"/>
        <v>75.97</v>
      </c>
      <c r="X117" s="588"/>
      <c r="Y117" s="589">
        <f t="shared" si="27"/>
        <v>1.8199999999999932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-0.79999999999999716</v>
      </c>
      <c r="J118" s="584">
        <f t="shared" si="16"/>
        <v>1.9000000000000057</v>
      </c>
      <c r="K118" s="584">
        <f t="shared" si="17"/>
        <v>-1.2999999999999972</v>
      </c>
      <c r="L118" s="1230"/>
      <c r="M118" s="589">
        <f t="shared" si="30"/>
        <v>95.53</v>
      </c>
      <c r="N118" s="589">
        <f t="shared" si="31"/>
        <v>83.6</v>
      </c>
      <c r="O118" s="589">
        <f t="shared" si="32"/>
        <v>76.069999999999993</v>
      </c>
      <c r="P118" s="584"/>
      <c r="Q118" s="589">
        <f t="shared" si="24"/>
        <v>3.1299999999999955</v>
      </c>
      <c r="R118" s="589">
        <f t="shared" si="25"/>
        <v>3.0699999999999932</v>
      </c>
      <c r="S118" s="589">
        <f t="shared" si="26"/>
        <v>-0.10000000000000853</v>
      </c>
      <c r="T118" s="1230"/>
      <c r="U118" s="589">
        <f t="shared" si="33"/>
        <v>89.11</v>
      </c>
      <c r="V118" s="589">
        <f t="shared" si="34"/>
        <v>78.87</v>
      </c>
      <c r="W118" s="589">
        <f t="shared" si="35"/>
        <v>75.83</v>
      </c>
      <c r="X118" s="588"/>
      <c r="Y118" s="589">
        <f t="shared" si="27"/>
        <v>1.25</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30"/>
      <c r="M119" s="589">
        <f t="shared" si="30"/>
        <v>96.1</v>
      </c>
      <c r="N119" s="589">
        <f t="shared" si="31"/>
        <v>83.03</v>
      </c>
      <c r="O119" s="589">
        <f t="shared" si="32"/>
        <v>75.63</v>
      </c>
      <c r="P119" s="584"/>
      <c r="Q119" s="589">
        <f t="shared" si="24"/>
        <v>0.56999999999999318</v>
      </c>
      <c r="R119" s="589">
        <f t="shared" si="25"/>
        <v>-0.56999999999999318</v>
      </c>
      <c r="S119" s="589">
        <f t="shared" si="26"/>
        <v>-0.43999999999999773</v>
      </c>
      <c r="T119" s="1230"/>
      <c r="U119" s="589">
        <f t="shared" si="33"/>
        <v>91.4</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30"/>
      <c r="M120" s="589">
        <f t="shared" si="30"/>
        <v>99.03</v>
      </c>
      <c r="N120" s="589">
        <f t="shared" si="31"/>
        <v>85.8</v>
      </c>
      <c r="O120" s="589">
        <f t="shared" si="32"/>
        <v>75.73</v>
      </c>
      <c r="P120" s="584"/>
      <c r="Q120" s="589">
        <f t="shared" si="24"/>
        <v>2.9300000000000068</v>
      </c>
      <c r="R120" s="589">
        <f t="shared" si="25"/>
        <v>2.769999999999996</v>
      </c>
      <c r="S120" s="589">
        <f t="shared" si="26"/>
        <v>0.10000000000000853</v>
      </c>
      <c r="T120" s="1230"/>
      <c r="U120" s="589">
        <f t="shared" si="33"/>
        <v>94.64</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30"/>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30"/>
      <c r="U121" s="589">
        <f t="shared" si="33"/>
        <v>97.01</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30"/>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30"/>
      <c r="U122" s="589">
        <f t="shared" si="33"/>
        <v>100.1</v>
      </c>
      <c r="V122" s="589">
        <f t="shared" si="34"/>
        <v>86.57</v>
      </c>
      <c r="W122" s="589">
        <f t="shared" si="35"/>
        <v>76.39</v>
      </c>
      <c r="X122" s="588"/>
      <c r="Y122" s="589">
        <f t="shared" si="27"/>
        <v>3.0899999999999892</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31"/>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31"/>
      <c r="U123" s="594">
        <f t="shared" si="33"/>
        <v>101.43</v>
      </c>
      <c r="V123" s="594">
        <f t="shared" si="34"/>
        <v>88.1</v>
      </c>
      <c r="W123" s="594">
        <f t="shared" si="35"/>
        <v>76.510000000000005</v>
      </c>
      <c r="X123" s="592"/>
      <c r="Y123" s="594">
        <f t="shared" si="27"/>
        <v>1.3300000000000125</v>
      </c>
      <c r="Z123" s="594">
        <f t="shared" si="28"/>
        <v>1.5300000000000011</v>
      </c>
      <c r="AA123" s="595">
        <f t="shared" si="29"/>
        <v>0.12000000000000455</v>
      </c>
    </row>
    <row r="124" spans="1:27" s="501" customFormat="1">
      <c r="A124" s="479">
        <v>15</v>
      </c>
      <c r="B124" s="992" t="s">
        <v>663</v>
      </c>
      <c r="C124" s="481">
        <v>1</v>
      </c>
      <c r="D124" s="596">
        <v>94.8</v>
      </c>
      <c r="E124" s="596">
        <v>92.2</v>
      </c>
      <c r="F124" s="596">
        <v>80.099999999999994</v>
      </c>
      <c r="G124" s="597"/>
      <c r="H124" s="597">
        <v>100</v>
      </c>
      <c r="I124" s="598">
        <f t="shared" si="15"/>
        <v>-7.5</v>
      </c>
      <c r="J124" s="598">
        <f t="shared" si="16"/>
        <v>-0.79999999999999716</v>
      </c>
      <c r="K124" s="598">
        <f t="shared" si="17"/>
        <v>2.0999999999999943</v>
      </c>
      <c r="L124" s="1232"/>
      <c r="M124" s="585">
        <f t="shared" si="30"/>
        <v>101.9</v>
      </c>
      <c r="N124" s="585">
        <f t="shared" si="31"/>
        <v>92.87</v>
      </c>
      <c r="O124" s="585">
        <f t="shared" si="32"/>
        <v>79.069999999999993</v>
      </c>
      <c r="P124" s="598"/>
      <c r="Q124" s="589">
        <f t="shared" si="24"/>
        <v>-3.3299999999999983</v>
      </c>
      <c r="R124" s="589">
        <f t="shared" si="25"/>
        <v>0.87000000000000455</v>
      </c>
      <c r="S124" s="589">
        <f t="shared" si="26"/>
        <v>1.6699999999999875</v>
      </c>
      <c r="T124" s="1232"/>
      <c r="U124" s="599">
        <f t="shared" si="33"/>
        <v>101.09</v>
      </c>
      <c r="V124" s="599">
        <f t="shared" si="34"/>
        <v>89.37</v>
      </c>
      <c r="W124" s="599">
        <f t="shared" si="35"/>
        <v>77.069999999999993</v>
      </c>
      <c r="X124" s="597"/>
      <c r="Y124" s="599">
        <f t="shared" si="27"/>
        <v>-0.34000000000000341</v>
      </c>
      <c r="Z124" s="599">
        <f t="shared" si="28"/>
        <v>1.2700000000000102</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0.39999999999999147</v>
      </c>
      <c r="K125" s="584">
        <f t="shared" si="17"/>
        <v>0.70000000000000284</v>
      </c>
      <c r="L125" s="1230"/>
      <c r="M125" s="589">
        <f t="shared" si="30"/>
        <v>96.8</v>
      </c>
      <c r="N125" s="589">
        <f t="shared" si="31"/>
        <v>92.6</v>
      </c>
      <c r="O125" s="589">
        <f t="shared" si="32"/>
        <v>79.63</v>
      </c>
      <c r="P125" s="584"/>
      <c r="Q125" s="589">
        <f t="shared" si="24"/>
        <v>-5.1000000000000085</v>
      </c>
      <c r="R125" s="589">
        <f t="shared" si="25"/>
        <v>-0.27000000000001023</v>
      </c>
      <c r="S125" s="589">
        <f t="shared" si="26"/>
        <v>0.56000000000000227</v>
      </c>
      <c r="T125" s="1230"/>
      <c r="U125" s="589">
        <f t="shared" si="33"/>
        <v>100.64</v>
      </c>
      <c r="V125" s="589">
        <f t="shared" si="34"/>
        <v>90.43</v>
      </c>
      <c r="W125" s="589">
        <f t="shared" si="35"/>
        <v>77.91</v>
      </c>
      <c r="X125" s="588"/>
      <c r="Y125" s="589">
        <f t="shared" si="27"/>
        <v>-0.45000000000000284</v>
      </c>
      <c r="Z125" s="589">
        <f t="shared" si="28"/>
        <v>1.0600000000000023</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30"/>
      <c r="M126" s="589">
        <f t="shared" si="30"/>
        <v>93.3</v>
      </c>
      <c r="N126" s="589">
        <f t="shared" si="31"/>
        <v>94.43</v>
      </c>
      <c r="O126" s="589">
        <f t="shared" si="32"/>
        <v>80.400000000000006</v>
      </c>
      <c r="P126" s="584"/>
      <c r="Q126" s="589">
        <f t="shared" si="24"/>
        <v>-3.5</v>
      </c>
      <c r="R126" s="589">
        <f t="shared" si="25"/>
        <v>1.8300000000000125</v>
      </c>
      <c r="S126" s="589">
        <f t="shared" si="26"/>
        <v>0.77000000000001023</v>
      </c>
      <c r="T126" s="1230"/>
      <c r="U126" s="589">
        <f t="shared" si="33"/>
        <v>100.23</v>
      </c>
      <c r="V126" s="589">
        <f t="shared" si="34"/>
        <v>92.99</v>
      </c>
      <c r="W126" s="589">
        <f t="shared" si="35"/>
        <v>78.56</v>
      </c>
      <c r="X126" s="588"/>
      <c r="Y126" s="589">
        <f t="shared" si="27"/>
        <v>-0.40999999999999659</v>
      </c>
      <c r="Z126" s="589">
        <f t="shared" si="28"/>
        <v>2.5599999999999881</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30"/>
      <c r="M127" s="589">
        <f t="shared" si="30"/>
        <v>92.5</v>
      </c>
      <c r="N127" s="589">
        <f t="shared" si="31"/>
        <v>94.67</v>
      </c>
      <c r="O127" s="589">
        <f t="shared" si="32"/>
        <v>80.13</v>
      </c>
      <c r="P127" s="584"/>
      <c r="Q127" s="589">
        <f t="shared" si="24"/>
        <v>-0.79999999999999716</v>
      </c>
      <c r="R127" s="589">
        <f t="shared" si="25"/>
        <v>0.23999999999999488</v>
      </c>
      <c r="S127" s="589">
        <f t="shared" si="26"/>
        <v>-0.27000000000001023</v>
      </c>
      <c r="T127" s="1230"/>
      <c r="U127" s="589">
        <f t="shared" si="33"/>
        <v>98.29</v>
      </c>
      <c r="V127" s="589">
        <f t="shared" si="34"/>
        <v>93.17</v>
      </c>
      <c r="W127" s="589">
        <f t="shared" si="35"/>
        <v>78.959999999999994</v>
      </c>
      <c r="X127" s="588"/>
      <c r="Y127" s="589">
        <f t="shared" si="27"/>
        <v>-1.9399999999999977</v>
      </c>
      <c r="Z127" s="589">
        <f t="shared" si="28"/>
        <v>0.18000000000000682</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30"/>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30"/>
      <c r="U128" s="589">
        <f t="shared" ref="U128:U159" si="42">ROUND(AVERAGE(D122:D128),2)</f>
        <v>96.69</v>
      </c>
      <c r="V128" s="589">
        <f t="shared" ref="V128:V159" si="43">ROUND(AVERAGE(E122:E128),2)</f>
        <v>94.36</v>
      </c>
      <c r="W128" s="589">
        <f t="shared" ref="W128:W159" si="44">ROUND(AVERAGE(F122:F128),2)</f>
        <v>79.31</v>
      </c>
      <c r="X128" s="588"/>
      <c r="Y128" s="589">
        <f t="shared" si="27"/>
        <v>-1.6000000000000085</v>
      </c>
      <c r="Z128" s="589">
        <f t="shared" si="28"/>
        <v>1.1899999999999977</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30"/>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30"/>
      <c r="U129" s="589">
        <f t="shared" si="42"/>
        <v>94.69</v>
      </c>
      <c r="V129" s="589">
        <f t="shared" si="43"/>
        <v>95.46</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30"/>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30"/>
      <c r="U130" s="589">
        <f t="shared" si="42"/>
        <v>93.76</v>
      </c>
      <c r="V130" s="589">
        <f t="shared" si="43"/>
        <v>96.81</v>
      </c>
      <c r="W130" s="589">
        <f t="shared" si="44"/>
        <v>80.67</v>
      </c>
      <c r="X130" s="588"/>
      <c r="Y130" s="589">
        <f t="shared" si="27"/>
        <v>-0.92999999999999261</v>
      </c>
      <c r="Z130" s="589">
        <f t="shared" si="28"/>
        <v>1.3500000000000085</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30"/>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30"/>
      <c r="U131" s="589">
        <f t="shared" si="42"/>
        <v>94.17</v>
      </c>
      <c r="V131" s="589">
        <f t="shared" si="43"/>
        <v>98.44</v>
      </c>
      <c r="W131" s="589">
        <f t="shared" si="44"/>
        <v>81.099999999999994</v>
      </c>
      <c r="X131" s="588"/>
      <c r="Y131" s="589">
        <f t="shared" si="27"/>
        <v>0.40999999999999659</v>
      </c>
      <c r="Z131" s="589">
        <f t="shared" si="28"/>
        <v>1.6299999999999955</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30"/>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30"/>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30"/>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30"/>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30"/>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30"/>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114.3</v>
      </c>
      <c r="F135" s="601">
        <v>85.7</v>
      </c>
      <c r="G135" s="602"/>
      <c r="H135" s="602">
        <v>100</v>
      </c>
      <c r="I135" s="603">
        <f t="shared" si="36"/>
        <v>4.1000000000000085</v>
      </c>
      <c r="J135" s="603">
        <f t="shared" si="37"/>
        <v>1.2000000000000028</v>
      </c>
      <c r="K135" s="603">
        <f t="shared" si="38"/>
        <v>1</v>
      </c>
      <c r="L135" s="1233"/>
      <c r="M135" s="594">
        <f t="shared" si="39"/>
        <v>106.87</v>
      </c>
      <c r="N135" s="594">
        <f t="shared" si="40"/>
        <v>112.9</v>
      </c>
      <c r="O135" s="594">
        <f t="shared" si="41"/>
        <v>84.93</v>
      </c>
      <c r="P135" s="603"/>
      <c r="Q135" s="589">
        <f t="shared" si="45"/>
        <v>2.8000000000000114</v>
      </c>
      <c r="R135" s="589">
        <f t="shared" si="46"/>
        <v>1.9000000000000057</v>
      </c>
      <c r="S135" s="589">
        <f t="shared" si="47"/>
        <v>0.5</v>
      </c>
      <c r="T135" s="1233"/>
      <c r="U135" s="604">
        <f t="shared" si="42"/>
        <v>101.43</v>
      </c>
      <c r="V135" s="604">
        <f t="shared" si="43"/>
        <v>107.79</v>
      </c>
      <c r="W135" s="604">
        <f t="shared" si="44"/>
        <v>84.1</v>
      </c>
      <c r="X135" s="602"/>
      <c r="Y135" s="604">
        <f t="shared" si="27"/>
        <v>2.3000000000000114</v>
      </c>
      <c r="Z135" s="604">
        <f t="shared" si="28"/>
        <v>2.3500000000000085</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-3.7000000000000028</v>
      </c>
      <c r="K136" s="583">
        <f t="shared" si="38"/>
        <v>1.0999999999999943</v>
      </c>
      <c r="L136" s="1229"/>
      <c r="M136" s="599">
        <f t="shared" si="39"/>
        <v>108.37</v>
      </c>
      <c r="N136" s="599">
        <f t="shared" si="40"/>
        <v>112.67</v>
      </c>
      <c r="O136" s="599">
        <f t="shared" si="41"/>
        <v>85.73</v>
      </c>
      <c r="P136" s="583"/>
      <c r="Q136" s="589">
        <f t="shared" si="45"/>
        <v>1.5</v>
      </c>
      <c r="R136" s="589">
        <f t="shared" si="46"/>
        <v>-0.23000000000000398</v>
      </c>
      <c r="S136" s="589">
        <f t="shared" si="47"/>
        <v>0.79999999999999716</v>
      </c>
      <c r="T136" s="1229"/>
      <c r="U136" s="585">
        <f t="shared" si="42"/>
        <v>103.6</v>
      </c>
      <c r="V136" s="585">
        <f t="shared" si="43"/>
        <v>109.14</v>
      </c>
      <c r="W136" s="585">
        <f t="shared" si="44"/>
        <v>84.86</v>
      </c>
      <c r="X136" s="582"/>
      <c r="Y136" s="585">
        <f t="shared" si="27"/>
        <v>2.1699999999999875</v>
      </c>
      <c r="Z136" s="585">
        <f t="shared" si="28"/>
        <v>1.3499999999999943</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30"/>
      <c r="M137" s="589">
        <f t="shared" si="39"/>
        <v>109.4</v>
      </c>
      <c r="N137" s="589">
        <f t="shared" si="40"/>
        <v>112.1</v>
      </c>
      <c r="O137" s="589">
        <f t="shared" si="41"/>
        <v>86.57</v>
      </c>
      <c r="P137" s="584"/>
      <c r="Q137" s="589">
        <f t="shared" si="45"/>
        <v>1.0300000000000011</v>
      </c>
      <c r="R137" s="589">
        <f t="shared" si="46"/>
        <v>-0.57000000000000739</v>
      </c>
      <c r="S137" s="589">
        <f t="shared" si="47"/>
        <v>0.8399999999999892</v>
      </c>
      <c r="T137" s="1230"/>
      <c r="U137" s="589">
        <f t="shared" si="42"/>
        <v>105.44</v>
      </c>
      <c r="V137" s="589">
        <f t="shared" si="43"/>
        <v>110.41</v>
      </c>
      <c r="W137" s="589">
        <f t="shared" si="44"/>
        <v>85.16</v>
      </c>
      <c r="X137" s="588"/>
      <c r="Y137" s="589">
        <f t="shared" si="27"/>
        <v>1.8400000000000034</v>
      </c>
      <c r="Z137" s="589">
        <f t="shared" si="28"/>
        <v>1.269999999999996</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30"/>
      <c r="M138" s="589">
        <f t="shared" si="39"/>
        <v>108.67</v>
      </c>
      <c r="N138" s="589">
        <f t="shared" si="40"/>
        <v>111.57</v>
      </c>
      <c r="O138" s="589">
        <f t="shared" si="41"/>
        <v>87.57</v>
      </c>
      <c r="P138" s="584"/>
      <c r="Q138" s="589">
        <f t="shared" si="45"/>
        <v>-0.73000000000000398</v>
      </c>
      <c r="R138" s="589">
        <f t="shared" si="46"/>
        <v>-0.53000000000000114</v>
      </c>
      <c r="S138" s="589">
        <f t="shared" si="47"/>
        <v>1</v>
      </c>
      <c r="T138" s="1230"/>
      <c r="U138" s="589">
        <f t="shared" si="42"/>
        <v>106.84</v>
      </c>
      <c r="V138" s="589">
        <f t="shared" si="43"/>
        <v>111.71</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30"/>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30"/>
      <c r="U139" s="589">
        <f t="shared" si="42"/>
        <v>108.04</v>
      </c>
      <c r="V139" s="589">
        <f t="shared" si="43"/>
        <v>112.37</v>
      </c>
      <c r="W139" s="589">
        <f t="shared" si="44"/>
        <v>86.6</v>
      </c>
      <c r="X139" s="588"/>
      <c r="Y139" s="589">
        <f t="shared" si="27"/>
        <v>1.2000000000000028</v>
      </c>
      <c r="Z139" s="589">
        <f t="shared" si="28"/>
        <v>0.6600000000000108</v>
      </c>
      <c r="AA139" s="590">
        <f t="shared" si="29"/>
        <v>0.64000000000000057</v>
      </c>
    </row>
    <row r="140" spans="1:27" s="501" customFormat="1">
      <c r="A140" s="483"/>
      <c r="B140" s="484" t="s">
        <v>141</v>
      </c>
      <c r="C140" s="485">
        <v>5</v>
      </c>
      <c r="D140" s="587">
        <v>107.7</v>
      </c>
      <c r="E140" s="587">
        <v>113.2</v>
      </c>
      <c r="F140" s="587">
        <v>90.2</v>
      </c>
      <c r="G140" s="588"/>
      <c r="H140" s="588">
        <v>100</v>
      </c>
      <c r="I140" s="584">
        <f t="shared" si="36"/>
        <v>-2</v>
      </c>
      <c r="J140" s="584">
        <f t="shared" si="37"/>
        <v>0</v>
      </c>
      <c r="K140" s="584">
        <f t="shared" si="38"/>
        <v>1.5</v>
      </c>
      <c r="L140" s="1230"/>
      <c r="M140" s="589">
        <f t="shared" si="39"/>
        <v>108.3</v>
      </c>
      <c r="N140" s="589">
        <f t="shared" si="40"/>
        <v>113.03</v>
      </c>
      <c r="O140" s="589">
        <f t="shared" si="41"/>
        <v>89.2</v>
      </c>
      <c r="P140" s="584"/>
      <c r="Q140" s="589">
        <f t="shared" si="45"/>
        <v>-0.32999999999999829</v>
      </c>
      <c r="R140" s="589">
        <f t="shared" si="46"/>
        <v>0.59999999999999432</v>
      </c>
      <c r="S140" s="589">
        <f t="shared" si="47"/>
        <v>1</v>
      </c>
      <c r="T140" s="1230"/>
      <c r="U140" s="589">
        <f t="shared" si="42"/>
        <v>108.39</v>
      </c>
      <c r="V140" s="589">
        <f t="shared" si="43"/>
        <v>112.64</v>
      </c>
      <c r="W140" s="589">
        <f t="shared" si="44"/>
        <v>87.43</v>
      </c>
      <c r="X140" s="588"/>
      <c r="Y140" s="589">
        <f t="shared" ref="Y140:Y195" si="48">U140-U139</f>
        <v>0.34999999999999432</v>
      </c>
      <c r="Z140" s="589">
        <f t="shared" ref="Z140:Z195" si="49">V140-V139</f>
        <v>0.26999999999999602</v>
      </c>
      <c r="AA140" s="590">
        <f t="shared" ref="AA140:AA195" si="50">W140-W139</f>
        <v>0.83000000000001251</v>
      </c>
    </row>
    <row r="141" spans="1:27" s="501" customFormat="1">
      <c r="A141" s="483"/>
      <c r="B141" s="484" t="s">
        <v>141</v>
      </c>
      <c r="C141" s="485">
        <v>6</v>
      </c>
      <c r="D141" s="587">
        <v>109.1</v>
      </c>
      <c r="E141" s="587">
        <v>113.4</v>
      </c>
      <c r="F141" s="587">
        <v>89.7</v>
      </c>
      <c r="G141" s="588"/>
      <c r="H141" s="588">
        <v>100</v>
      </c>
      <c r="I141" s="584">
        <f t="shared" si="36"/>
        <v>1.3999999999999915</v>
      </c>
      <c r="J141" s="584">
        <f t="shared" si="37"/>
        <v>0.20000000000000284</v>
      </c>
      <c r="K141" s="584">
        <f t="shared" si="38"/>
        <v>-0.5</v>
      </c>
      <c r="L141" s="1230"/>
      <c r="M141" s="589">
        <f t="shared" si="39"/>
        <v>108.83</v>
      </c>
      <c r="N141" s="589">
        <f t="shared" si="40"/>
        <v>113.27</v>
      </c>
      <c r="O141" s="589">
        <f t="shared" si="41"/>
        <v>89.53</v>
      </c>
      <c r="P141" s="584"/>
      <c r="Q141" s="589">
        <f t="shared" si="45"/>
        <v>0.53000000000000114</v>
      </c>
      <c r="R141" s="589">
        <f t="shared" si="46"/>
        <v>0.23999999999999488</v>
      </c>
      <c r="S141" s="589">
        <f t="shared" si="47"/>
        <v>0.32999999999999829</v>
      </c>
      <c r="T141" s="1230"/>
      <c r="U141" s="589">
        <f t="shared" si="42"/>
        <v>108.89</v>
      </c>
      <c r="V141" s="589">
        <f t="shared" si="43"/>
        <v>112.69</v>
      </c>
      <c r="W141" s="589">
        <f t="shared" si="44"/>
        <v>88.14</v>
      </c>
      <c r="X141" s="588"/>
      <c r="Y141" s="589">
        <f t="shared" si="48"/>
        <v>0.5</v>
      </c>
      <c r="Z141" s="589">
        <f t="shared" si="49"/>
        <v>4.9999999999997158E-2</v>
      </c>
      <c r="AA141" s="590">
        <f t="shared" si="50"/>
        <v>0.70999999999999375</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1.5</v>
      </c>
      <c r="L142" s="1230"/>
      <c r="M142" s="589">
        <f t="shared" si="39"/>
        <v>109.43</v>
      </c>
      <c r="N142" s="589">
        <f t="shared" si="40"/>
        <v>114.3</v>
      </c>
      <c r="O142" s="589">
        <f t="shared" si="41"/>
        <v>90.37</v>
      </c>
      <c r="P142" s="584"/>
      <c r="Q142" s="589">
        <f t="shared" si="45"/>
        <v>0.60000000000000853</v>
      </c>
      <c r="R142" s="589">
        <f t="shared" si="46"/>
        <v>1.0300000000000011</v>
      </c>
      <c r="S142" s="589">
        <f t="shared" si="47"/>
        <v>0.84000000000000341</v>
      </c>
      <c r="T142" s="1230"/>
      <c r="U142" s="589">
        <f t="shared" si="42"/>
        <v>109.14</v>
      </c>
      <c r="V142" s="589">
        <f t="shared" si="43"/>
        <v>112.97</v>
      </c>
      <c r="W142" s="589">
        <f t="shared" si="44"/>
        <v>88.93</v>
      </c>
      <c r="X142" s="588"/>
      <c r="Y142" s="589">
        <f t="shared" si="48"/>
        <v>0.25</v>
      </c>
      <c r="Z142" s="589">
        <f t="shared" si="49"/>
        <v>0.28000000000000114</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30"/>
      <c r="M143" s="589">
        <f t="shared" si="39"/>
        <v>111.5</v>
      </c>
      <c r="N143" s="589">
        <f t="shared" si="40"/>
        <v>115.47</v>
      </c>
      <c r="O143" s="589">
        <f t="shared" si="41"/>
        <v>90.87</v>
      </c>
      <c r="P143" s="584"/>
      <c r="Q143" s="589">
        <f t="shared" si="45"/>
        <v>2.0699999999999932</v>
      </c>
      <c r="R143" s="589">
        <f t="shared" si="46"/>
        <v>1.1700000000000017</v>
      </c>
      <c r="S143" s="589">
        <f t="shared" si="47"/>
        <v>0.5</v>
      </c>
      <c r="T143" s="1230"/>
      <c r="U143" s="589">
        <f t="shared" si="42"/>
        <v>109.73</v>
      </c>
      <c r="V143" s="589">
        <f t="shared" si="43"/>
        <v>113.84</v>
      </c>
      <c r="W143" s="589">
        <f t="shared" si="44"/>
        <v>89.63</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30"/>
      <c r="M144" s="589">
        <f t="shared" si="39"/>
        <v>113.1</v>
      </c>
      <c r="N144" s="589">
        <f t="shared" si="40"/>
        <v>116.27</v>
      </c>
      <c r="O144" s="589">
        <f t="shared" si="41"/>
        <v>91.7</v>
      </c>
      <c r="P144" s="584"/>
      <c r="Q144" s="589">
        <f t="shared" si="45"/>
        <v>1.5999999999999943</v>
      </c>
      <c r="R144" s="589">
        <f t="shared" si="46"/>
        <v>0.79999999999999716</v>
      </c>
      <c r="S144" s="589">
        <f t="shared" si="47"/>
        <v>0.82999999999999829</v>
      </c>
      <c r="T144" s="1230"/>
      <c r="U144" s="589">
        <f t="shared" si="42"/>
        <v>110.47</v>
      </c>
      <c r="V144" s="589">
        <f t="shared" si="43"/>
        <v>114.47</v>
      </c>
      <c r="W144" s="589">
        <f t="shared" si="44"/>
        <v>90.34</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30"/>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30"/>
      <c r="U145" s="589">
        <f t="shared" si="42"/>
        <v>110.64</v>
      </c>
      <c r="V145" s="589">
        <f t="shared" si="43"/>
        <v>114.16</v>
      </c>
      <c r="W145" s="589">
        <f t="shared" si="44"/>
        <v>90.77</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30"/>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30"/>
      <c r="U146" s="589">
        <f t="shared" si="42"/>
        <v>110.53</v>
      </c>
      <c r="V146" s="589">
        <f t="shared" si="43"/>
        <v>113.91</v>
      </c>
      <c r="W146" s="589">
        <f t="shared" si="44"/>
        <v>90.89</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31"/>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31"/>
      <c r="U147" s="594">
        <f t="shared" si="42"/>
        <v>110.67</v>
      </c>
      <c r="V147" s="594">
        <f t="shared" si="43"/>
        <v>113.9</v>
      </c>
      <c r="W147" s="594">
        <f t="shared" si="44"/>
        <v>91.06</v>
      </c>
      <c r="X147" s="592"/>
      <c r="Y147" s="594">
        <f t="shared" si="48"/>
        <v>0.14000000000000057</v>
      </c>
      <c r="Z147" s="594">
        <f t="shared" si="49"/>
        <v>-9.9999999999909051E-3</v>
      </c>
      <c r="AA147" s="595">
        <f t="shared" si="50"/>
        <v>0.17000000000000171</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32"/>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32"/>
      <c r="U148" s="599">
        <f t="shared" si="42"/>
        <v>110.63</v>
      </c>
      <c r="V148" s="599">
        <f t="shared" si="43"/>
        <v>113.77</v>
      </c>
      <c r="W148" s="599">
        <f t="shared" si="44"/>
        <v>91.51</v>
      </c>
      <c r="X148" s="597"/>
      <c r="Y148" s="599">
        <f t="shared" si="48"/>
        <v>-4.0000000000006253E-2</v>
      </c>
      <c r="Z148" s="599">
        <f t="shared" si="49"/>
        <v>-0.13000000000000966</v>
      </c>
      <c r="AA148" s="600">
        <f t="shared" si="50"/>
        <v>0.45000000000000284</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30"/>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30"/>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104</v>
      </c>
      <c r="E150" s="587">
        <v>109.1</v>
      </c>
      <c r="F150" s="587">
        <v>90.2</v>
      </c>
      <c r="G150" s="588"/>
      <c r="H150" s="588">
        <v>100</v>
      </c>
      <c r="I150" s="584">
        <f t="shared" si="36"/>
        <v>-0.90000000000000568</v>
      </c>
      <c r="J150" s="584">
        <f t="shared" si="37"/>
        <v>-2.9000000000000057</v>
      </c>
      <c r="K150" s="584">
        <f t="shared" si="38"/>
        <v>0.79999999999999716</v>
      </c>
      <c r="L150" s="1230"/>
      <c r="M150" s="589">
        <f t="shared" si="39"/>
        <v>105.9</v>
      </c>
      <c r="N150" s="589">
        <f t="shared" si="40"/>
        <v>111.2</v>
      </c>
      <c r="O150" s="589">
        <f t="shared" si="41"/>
        <v>90.83</v>
      </c>
      <c r="P150" s="584"/>
      <c r="Q150" s="589">
        <f t="shared" si="45"/>
        <v>-1.5699999999999932</v>
      </c>
      <c r="R150" s="589">
        <f t="shared" si="46"/>
        <v>-1.3299999999999983</v>
      </c>
      <c r="S150" s="589">
        <f t="shared" si="47"/>
        <v>-0.40000000000000568</v>
      </c>
      <c r="T150" s="1230"/>
      <c r="U150" s="589">
        <f t="shared" si="42"/>
        <v>108.27</v>
      </c>
      <c r="V150" s="589">
        <f t="shared" si="43"/>
        <v>112.07</v>
      </c>
      <c r="W150" s="589">
        <f t="shared" si="44"/>
        <v>91.04</v>
      </c>
      <c r="X150" s="588"/>
      <c r="Y150" s="589">
        <f t="shared" si="48"/>
        <v>-1.4200000000000017</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-1.7999999999999972</v>
      </c>
      <c r="J151" s="584">
        <f t="shared" si="37"/>
        <v>-1.8999999999999915</v>
      </c>
      <c r="K151" s="584">
        <f t="shared" si="38"/>
        <v>0.59999999999999432</v>
      </c>
      <c r="L151" s="1230"/>
      <c r="M151" s="589">
        <f t="shared" si="39"/>
        <v>103.7</v>
      </c>
      <c r="N151" s="589">
        <f t="shared" si="40"/>
        <v>109.43</v>
      </c>
      <c r="O151" s="589">
        <f t="shared" si="41"/>
        <v>90.13</v>
      </c>
      <c r="P151" s="584"/>
      <c r="Q151" s="589">
        <f t="shared" si="45"/>
        <v>-2.2000000000000028</v>
      </c>
      <c r="R151" s="589">
        <f t="shared" si="46"/>
        <v>-1.769999999999996</v>
      </c>
      <c r="S151" s="589">
        <f t="shared" si="47"/>
        <v>-0.70000000000000284</v>
      </c>
      <c r="T151" s="1230"/>
      <c r="U151" s="589">
        <f t="shared" si="42"/>
        <v>106.6</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30"/>
      <c r="M152" s="589">
        <f t="shared" si="39"/>
        <v>103.87</v>
      </c>
      <c r="N152" s="589">
        <f t="shared" si="40"/>
        <v>109.33</v>
      </c>
      <c r="O152" s="589">
        <f t="shared" si="41"/>
        <v>90.6</v>
      </c>
      <c r="P152" s="584"/>
      <c r="Q152" s="589">
        <f t="shared" si="45"/>
        <v>0.17000000000000171</v>
      </c>
      <c r="R152" s="589">
        <f t="shared" si="46"/>
        <v>-0.10000000000000853</v>
      </c>
      <c r="S152" s="589">
        <f t="shared" si="47"/>
        <v>0.46999999999999886</v>
      </c>
      <c r="T152" s="1230"/>
      <c r="U152" s="589">
        <f t="shared" si="42"/>
        <v>106.13</v>
      </c>
      <c r="V152" s="589">
        <f t="shared" si="43"/>
        <v>111.01</v>
      </c>
      <c r="W152" s="589">
        <f t="shared" si="44"/>
        <v>90.71</v>
      </c>
      <c r="X152" s="588"/>
      <c r="Y152" s="589">
        <f t="shared" si="48"/>
        <v>-0.46999999999999886</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30"/>
      <c r="M153" s="589">
        <f t="shared" si="39"/>
        <v>103.87</v>
      </c>
      <c r="N153" s="589">
        <f t="shared" si="40"/>
        <v>109.63</v>
      </c>
      <c r="O153" s="589">
        <f t="shared" si="41"/>
        <v>90.73</v>
      </c>
      <c r="P153" s="584"/>
      <c r="Q153" s="589">
        <f t="shared" si="45"/>
        <v>0</v>
      </c>
      <c r="R153" s="589">
        <f t="shared" si="46"/>
        <v>0.29999999999999716</v>
      </c>
      <c r="S153" s="589">
        <f t="shared" si="47"/>
        <v>0.13000000000000966</v>
      </c>
      <c r="T153" s="1230"/>
      <c r="U153" s="589">
        <f t="shared" si="42"/>
        <v>105.43</v>
      </c>
      <c r="V153" s="589">
        <f t="shared" si="43"/>
        <v>110.8</v>
      </c>
      <c r="W153" s="589">
        <f t="shared" si="44"/>
        <v>90.87</v>
      </c>
      <c r="X153" s="588"/>
      <c r="Y153" s="589">
        <f t="shared" si="48"/>
        <v>-0.69999999999998863</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30"/>
      <c r="M154" s="589">
        <f t="shared" si="39"/>
        <v>104.37</v>
      </c>
      <c r="N154" s="589">
        <f t="shared" si="40"/>
        <v>110.13</v>
      </c>
      <c r="O154" s="589">
        <f t="shared" si="41"/>
        <v>90.53</v>
      </c>
      <c r="P154" s="584"/>
      <c r="Q154" s="589">
        <f t="shared" si="45"/>
        <v>0.5</v>
      </c>
      <c r="R154" s="589">
        <f t="shared" si="46"/>
        <v>0.5</v>
      </c>
      <c r="S154" s="589">
        <f t="shared" si="47"/>
        <v>-0.20000000000000284</v>
      </c>
      <c r="T154" s="1230"/>
      <c r="U154" s="589">
        <f t="shared" si="42"/>
        <v>104.71</v>
      </c>
      <c r="V154" s="589">
        <f t="shared" si="43"/>
        <v>110.17</v>
      </c>
      <c r="W154" s="589">
        <f t="shared" si="44"/>
        <v>90.7</v>
      </c>
      <c r="X154" s="588"/>
      <c r="Y154" s="589">
        <f t="shared" si="48"/>
        <v>-0.72000000000001307</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30"/>
      <c r="M155" s="589">
        <f t="shared" si="39"/>
        <v>104.93</v>
      </c>
      <c r="N155" s="589">
        <f t="shared" si="40"/>
        <v>110.93</v>
      </c>
      <c r="O155" s="589">
        <f t="shared" si="41"/>
        <v>90.53</v>
      </c>
      <c r="P155" s="584"/>
      <c r="Q155" s="589">
        <f t="shared" si="45"/>
        <v>0.56000000000000227</v>
      </c>
      <c r="R155" s="589">
        <f t="shared" si="46"/>
        <v>0.80000000000001137</v>
      </c>
      <c r="S155" s="589">
        <f t="shared" si="47"/>
        <v>0</v>
      </c>
      <c r="T155" s="1230"/>
      <c r="U155" s="589">
        <f t="shared" si="42"/>
        <v>104.47</v>
      </c>
      <c r="V155" s="589">
        <f t="shared" si="43"/>
        <v>110.4</v>
      </c>
      <c r="W155" s="589">
        <f t="shared" si="44"/>
        <v>90.4</v>
      </c>
      <c r="X155" s="588"/>
      <c r="Y155" s="589">
        <f t="shared" si="48"/>
        <v>-0.23999999999999488</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30"/>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30"/>
      <c r="U156" s="589">
        <f t="shared" si="42"/>
        <v>105.26</v>
      </c>
      <c r="V156" s="589">
        <f t="shared" si="43"/>
        <v>110.44</v>
      </c>
      <c r="W156" s="589">
        <f t="shared" si="44"/>
        <v>90.56</v>
      </c>
      <c r="X156" s="588"/>
      <c r="Y156" s="589">
        <f t="shared" si="48"/>
        <v>0.79000000000000625</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30"/>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30"/>
      <c r="U157" s="589">
        <f t="shared" si="42"/>
        <v>106.24</v>
      </c>
      <c r="V157" s="589">
        <f t="shared" si="43"/>
        <v>111.71</v>
      </c>
      <c r="W157" s="589">
        <f t="shared" si="44"/>
        <v>90.7</v>
      </c>
      <c r="X157" s="588"/>
      <c r="Y157" s="589">
        <f t="shared" si="48"/>
        <v>0.97999999999998977</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30"/>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30"/>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33"/>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33"/>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29"/>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29"/>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30"/>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30"/>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30"/>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30"/>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30"/>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30"/>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30"/>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30"/>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30"/>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30"/>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30"/>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30"/>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30"/>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30"/>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30"/>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30"/>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30"/>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30"/>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30"/>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30"/>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31"/>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31"/>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95.2</v>
      </c>
      <c r="G172" s="597"/>
      <c r="H172" s="597">
        <v>100</v>
      </c>
      <c r="I172" s="598">
        <f t="shared" si="36"/>
        <v>-10.199999999999989</v>
      </c>
      <c r="J172" s="598">
        <f t="shared" si="37"/>
        <v>3.6999999999999886</v>
      </c>
      <c r="K172" s="598">
        <f t="shared" si="38"/>
        <v>-7.2999999999999972</v>
      </c>
      <c r="L172" s="1232"/>
      <c r="M172" s="585">
        <f t="shared" si="51"/>
        <v>125.97</v>
      </c>
      <c r="N172" s="585">
        <f t="shared" si="52"/>
        <v>144.07</v>
      </c>
      <c r="O172" s="585">
        <f t="shared" si="53"/>
        <v>99</v>
      </c>
      <c r="P172" s="598"/>
      <c r="Q172" s="589">
        <f t="shared" si="45"/>
        <v>-2.3600000000000136</v>
      </c>
      <c r="R172" s="589">
        <f t="shared" si="46"/>
        <v>2.2999999999999829</v>
      </c>
      <c r="S172" s="589">
        <f t="shared" si="47"/>
        <v>-0.5</v>
      </c>
      <c r="T172" s="1232"/>
      <c r="U172" s="599">
        <f t="shared" si="54"/>
        <v>124.39</v>
      </c>
      <c r="V172" s="599">
        <f t="shared" si="55"/>
        <v>139.31</v>
      </c>
      <c r="W172" s="599">
        <f t="shared" si="56"/>
        <v>98.01</v>
      </c>
      <c r="X172" s="597"/>
      <c r="Y172" s="599">
        <f t="shared" si="48"/>
        <v>-0.54000000000000625</v>
      </c>
      <c r="Z172" s="599">
        <f t="shared" si="49"/>
        <v>1.7400000000000091</v>
      </c>
      <c r="AA172" s="600">
        <f t="shared" si="50"/>
        <v>-3.0000000000001137E-2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-0.20000000000000284</v>
      </c>
      <c r="L173" s="1230"/>
      <c r="M173" s="589">
        <f t="shared" si="51"/>
        <v>123.6</v>
      </c>
      <c r="N173" s="589">
        <f t="shared" si="52"/>
        <v>145.13</v>
      </c>
      <c r="O173" s="589">
        <f t="shared" si="53"/>
        <v>97.57</v>
      </c>
      <c r="P173" s="584"/>
      <c r="Q173" s="589">
        <f t="shared" si="45"/>
        <v>-2.3700000000000045</v>
      </c>
      <c r="R173" s="589">
        <f t="shared" si="46"/>
        <v>1.0600000000000023</v>
      </c>
      <c r="S173" s="589">
        <f t="shared" si="47"/>
        <v>-1.4300000000000068</v>
      </c>
      <c r="T173" s="1230"/>
      <c r="U173" s="589">
        <f t="shared" si="54"/>
        <v>124.51</v>
      </c>
      <c r="V173" s="589">
        <f t="shared" si="55"/>
        <v>140.83000000000001</v>
      </c>
      <c r="W173" s="589">
        <f t="shared" si="56"/>
        <v>97.9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30"/>
      <c r="M174" s="589">
        <f t="shared" si="51"/>
        <v>120</v>
      </c>
      <c r="N174" s="589">
        <f t="shared" si="52"/>
        <v>145.30000000000001</v>
      </c>
      <c r="O174" s="589">
        <f t="shared" si="53"/>
        <v>96.2</v>
      </c>
      <c r="P174" s="584"/>
      <c r="Q174" s="589">
        <f t="shared" si="45"/>
        <v>-3.5999999999999943</v>
      </c>
      <c r="R174" s="589">
        <f t="shared" si="46"/>
        <v>0.17000000000001592</v>
      </c>
      <c r="S174" s="589">
        <f t="shared" si="47"/>
        <v>-1.3699999999999903</v>
      </c>
      <c r="T174" s="1230"/>
      <c r="U174" s="589">
        <f t="shared" si="54"/>
        <v>123.84</v>
      </c>
      <c r="V174" s="589">
        <f t="shared" si="55"/>
        <v>142.13</v>
      </c>
      <c r="W174" s="589">
        <f t="shared" si="56"/>
        <v>98.07</v>
      </c>
      <c r="X174" s="588"/>
      <c r="Y174" s="589">
        <f t="shared" si="48"/>
        <v>-0.67000000000000171</v>
      </c>
      <c r="Z174" s="589">
        <f t="shared" si="49"/>
        <v>1.2999999999999829</v>
      </c>
      <c r="AA174" s="590">
        <f t="shared" si="50"/>
        <v>0.16999999999998749</v>
      </c>
    </row>
    <row r="175" spans="1:27" s="501" customFormat="1">
      <c r="A175" s="483"/>
      <c r="B175" s="484" t="s">
        <v>141</v>
      </c>
      <c r="C175" s="485">
        <v>4</v>
      </c>
      <c r="D175" s="587">
        <v>118.5</v>
      </c>
      <c r="E175" s="587">
        <v>143.6</v>
      </c>
      <c r="F175" s="587">
        <v>95.2</v>
      </c>
      <c r="G175" s="588"/>
      <c r="H175" s="588">
        <v>100</v>
      </c>
      <c r="I175" s="584">
        <f t="shared" si="36"/>
        <v>0.70000000000000284</v>
      </c>
      <c r="J175" s="584">
        <f t="shared" si="37"/>
        <v>0.59999999999999432</v>
      </c>
      <c r="K175" s="584">
        <f t="shared" si="38"/>
        <v>-3.2000000000000028</v>
      </c>
      <c r="L175" s="1230"/>
      <c r="M175" s="589">
        <f t="shared" si="51"/>
        <v>120.03</v>
      </c>
      <c r="N175" s="589">
        <f t="shared" si="52"/>
        <v>144.43</v>
      </c>
      <c r="O175" s="589">
        <f t="shared" si="53"/>
        <v>96.2</v>
      </c>
      <c r="P175" s="584"/>
      <c r="Q175" s="589">
        <f t="shared" si="45"/>
        <v>3.0000000000001137E-2</v>
      </c>
      <c r="R175" s="589">
        <f t="shared" si="46"/>
        <v>-0.87000000000000455</v>
      </c>
      <c r="S175" s="589">
        <f t="shared" si="47"/>
        <v>0</v>
      </c>
      <c r="T175" s="1230"/>
      <c r="U175" s="589">
        <f t="shared" si="54"/>
        <v>123.36</v>
      </c>
      <c r="V175" s="589">
        <f t="shared" si="55"/>
        <v>143.54</v>
      </c>
      <c r="W175" s="589">
        <f t="shared" si="56"/>
        <v>97.47</v>
      </c>
      <c r="X175" s="588"/>
      <c r="Y175" s="589">
        <f t="shared" si="48"/>
        <v>-0.48000000000000398</v>
      </c>
      <c r="Z175" s="589">
        <f t="shared" si="49"/>
        <v>1.4099999999999966</v>
      </c>
      <c r="AA175" s="590">
        <f t="shared" si="50"/>
        <v>-0.59999999999999432</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-0.40000000000000568</v>
      </c>
      <c r="K176" s="584">
        <f t="shared" si="38"/>
        <v>3.2000000000000028</v>
      </c>
      <c r="L176" s="1230"/>
      <c r="M176" s="589">
        <f t="shared" si="51"/>
        <v>117.7</v>
      </c>
      <c r="N176" s="589">
        <f t="shared" si="52"/>
        <v>143.27000000000001</v>
      </c>
      <c r="O176" s="589">
        <f t="shared" si="53"/>
        <v>97.33</v>
      </c>
      <c r="P176" s="584"/>
      <c r="Q176" s="589">
        <f t="shared" si="45"/>
        <v>-2.3299999999999983</v>
      </c>
      <c r="R176" s="589">
        <f t="shared" si="46"/>
        <v>-1.1599999999999966</v>
      </c>
      <c r="S176" s="589">
        <f t="shared" si="47"/>
        <v>1.1299999999999955</v>
      </c>
      <c r="T176" s="1230"/>
      <c r="U176" s="589">
        <f t="shared" si="54"/>
        <v>122.11</v>
      </c>
      <c r="V176" s="589">
        <f t="shared" si="55"/>
        <v>144.1</v>
      </c>
      <c r="W176" s="589">
        <f t="shared" si="56"/>
        <v>97.71</v>
      </c>
      <c r="X176" s="588"/>
      <c r="Y176" s="589">
        <f t="shared" si="48"/>
        <v>-1.25</v>
      </c>
      <c r="Z176" s="589">
        <f t="shared" si="49"/>
        <v>0.56000000000000227</v>
      </c>
      <c r="AA176" s="590">
        <f t="shared" si="50"/>
        <v>0.23999999999999488</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30"/>
      <c r="M177" s="589">
        <f t="shared" si="51"/>
        <v>119.13</v>
      </c>
      <c r="N177" s="589">
        <f t="shared" si="52"/>
        <v>143.72999999999999</v>
      </c>
      <c r="O177" s="589">
        <f t="shared" si="53"/>
        <v>97.77</v>
      </c>
      <c r="P177" s="584"/>
      <c r="Q177" s="589">
        <f t="shared" si="45"/>
        <v>1.4299999999999926</v>
      </c>
      <c r="R177" s="589">
        <f t="shared" si="46"/>
        <v>0.45999999999997954</v>
      </c>
      <c r="S177" s="589">
        <f t="shared" si="47"/>
        <v>0.43999999999999773</v>
      </c>
      <c r="T177" s="1230"/>
      <c r="U177" s="589">
        <f t="shared" si="54"/>
        <v>120.86</v>
      </c>
      <c r="V177" s="589">
        <f t="shared" si="55"/>
        <v>144.22999999999999</v>
      </c>
      <c r="W177" s="589">
        <f t="shared" si="56"/>
        <v>97.77</v>
      </c>
      <c r="X177" s="588"/>
      <c r="Y177" s="589">
        <f t="shared" si="48"/>
        <v>-1.25</v>
      </c>
      <c r="Z177" s="589">
        <f t="shared" si="49"/>
        <v>0.12999999999999545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30"/>
      <c r="M178" s="589">
        <f t="shared" si="51"/>
        <v>116.83</v>
      </c>
      <c r="N178" s="589">
        <f t="shared" si="52"/>
        <v>144.57</v>
      </c>
      <c r="O178" s="589">
        <f t="shared" si="53"/>
        <v>99.17</v>
      </c>
      <c r="P178" s="584"/>
      <c r="Q178" s="589">
        <f t="shared" si="45"/>
        <v>-2.2999999999999972</v>
      </c>
      <c r="R178" s="589">
        <f t="shared" si="46"/>
        <v>0.84000000000000341</v>
      </c>
      <c r="S178" s="589">
        <f t="shared" si="47"/>
        <v>1.4000000000000057</v>
      </c>
      <c r="T178" s="1230"/>
      <c r="U178" s="589">
        <f t="shared" si="54"/>
        <v>118.43</v>
      </c>
      <c r="V178" s="589">
        <f t="shared" si="55"/>
        <v>144.74</v>
      </c>
      <c r="W178" s="589">
        <f t="shared" si="56"/>
        <v>97.33</v>
      </c>
      <c r="X178" s="588"/>
      <c r="Y178" s="589">
        <f t="shared" si="48"/>
        <v>-2.4299999999999926</v>
      </c>
      <c r="Z178" s="589">
        <f t="shared" si="49"/>
        <v>0.51000000000001933</v>
      </c>
      <c r="AA178" s="590">
        <f t="shared" si="50"/>
        <v>-0.43999999999999773</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30"/>
      <c r="M179" s="589">
        <f t="shared" si="51"/>
        <v>116.5</v>
      </c>
      <c r="N179" s="589">
        <f t="shared" si="52"/>
        <v>145.37</v>
      </c>
      <c r="O179" s="589">
        <f t="shared" si="53"/>
        <v>99.67</v>
      </c>
      <c r="P179" s="584"/>
      <c r="Q179" s="589">
        <f t="shared" si="45"/>
        <v>-0.32999999999999829</v>
      </c>
      <c r="R179" s="589">
        <f t="shared" si="46"/>
        <v>0.80000000000001137</v>
      </c>
      <c r="S179" s="589">
        <f t="shared" si="47"/>
        <v>0.5</v>
      </c>
      <c r="T179" s="1230"/>
      <c r="U179" s="589">
        <f t="shared" si="54"/>
        <v>118.06</v>
      </c>
      <c r="V179" s="589">
        <f t="shared" si="55"/>
        <v>144.66</v>
      </c>
      <c r="W179" s="589">
        <f t="shared" si="56"/>
        <v>98</v>
      </c>
      <c r="X179" s="588"/>
      <c r="Y179" s="589">
        <f t="shared" si="48"/>
        <v>-0.37000000000000455</v>
      </c>
      <c r="Z179" s="589">
        <f t="shared" si="49"/>
        <v>-8.0000000000012506E-2</v>
      </c>
      <c r="AA179" s="590">
        <f t="shared" si="50"/>
        <v>0.67000000000000171</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30"/>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30"/>
      <c r="U180" s="589">
        <f t="shared" si="54"/>
        <v>117</v>
      </c>
      <c r="V180" s="589">
        <f t="shared" si="55"/>
        <v>144.16999999999999</v>
      </c>
      <c r="W180" s="589">
        <f t="shared" si="56"/>
        <v>98.54</v>
      </c>
      <c r="X180" s="588"/>
      <c r="Y180" s="589">
        <f t="shared" si="48"/>
        <v>-1.0600000000000023</v>
      </c>
      <c r="Z180" s="589">
        <f t="shared" si="49"/>
        <v>-0.49000000000000909</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30"/>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30"/>
      <c r="U181" s="589">
        <f t="shared" si="54"/>
        <v>116.79</v>
      </c>
      <c r="V181" s="589">
        <f t="shared" si="55"/>
        <v>143.87</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30"/>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30"/>
      <c r="U182" s="589">
        <f t="shared" si="54"/>
        <v>116.49</v>
      </c>
      <c r="V182" s="589">
        <f t="shared" si="55"/>
        <v>142.84</v>
      </c>
      <c r="W182" s="589">
        <f t="shared" si="56"/>
        <v>99.74</v>
      </c>
      <c r="X182" s="588"/>
      <c r="Y182" s="589">
        <f t="shared" si="48"/>
        <v>-0.30000000000001137</v>
      </c>
      <c r="Z182" s="589">
        <f t="shared" si="49"/>
        <v>-1.0300000000000011</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33"/>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33"/>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29"/>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29"/>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30"/>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30"/>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30"/>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30"/>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104.3</v>
      </c>
      <c r="G187" s="588">
        <v>170</v>
      </c>
      <c r="H187" s="588">
        <v>100</v>
      </c>
      <c r="I187" s="584">
        <f t="shared" si="36"/>
        <v>-2.7999999999999972</v>
      </c>
      <c r="J187" s="584">
        <f t="shared" si="37"/>
        <v>-4</v>
      </c>
      <c r="K187" s="584">
        <f t="shared" si="38"/>
        <v>-2.2999999999999972</v>
      </c>
      <c r="L187" s="1230"/>
      <c r="M187" s="589">
        <f t="shared" si="51"/>
        <v>111.03</v>
      </c>
      <c r="N187" s="589">
        <f t="shared" si="52"/>
        <v>135.47</v>
      </c>
      <c r="O187" s="589">
        <f t="shared" si="53"/>
        <v>104.6</v>
      </c>
      <c r="P187" s="584"/>
      <c r="Q187" s="589">
        <f t="shared" si="45"/>
        <v>0</v>
      </c>
      <c r="R187" s="589">
        <f t="shared" si="46"/>
        <v>-1.0600000000000023</v>
      </c>
      <c r="S187" s="589">
        <f t="shared" si="47"/>
        <v>1.4699999999999989</v>
      </c>
      <c r="T187" s="1230"/>
      <c r="U187" s="589">
        <f t="shared" si="54"/>
        <v>112.81</v>
      </c>
      <c r="V187" s="589">
        <f t="shared" si="55"/>
        <v>136.93</v>
      </c>
      <c r="W187" s="589">
        <f t="shared" si="56"/>
        <v>102.63</v>
      </c>
      <c r="X187" s="588"/>
      <c r="Y187" s="589">
        <f t="shared" si="48"/>
        <v>-1.019999999999996</v>
      </c>
      <c r="Z187" s="589">
        <f t="shared" si="49"/>
        <v>-1.5999999999999943</v>
      </c>
      <c r="AA187" s="590">
        <f t="shared" si="50"/>
        <v>0.78999999999999204</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-9.9999999999994316E-2</v>
      </c>
      <c r="L188" s="1230"/>
      <c r="M188" s="589">
        <f t="shared" si="51"/>
        <v>109.5</v>
      </c>
      <c r="N188" s="589">
        <f t="shared" si="52"/>
        <v>132.19999999999999</v>
      </c>
      <c r="O188" s="589">
        <f t="shared" si="53"/>
        <v>105.03</v>
      </c>
      <c r="P188" s="584"/>
      <c r="Q188" s="589">
        <f t="shared" si="45"/>
        <v>-1.5300000000000011</v>
      </c>
      <c r="R188" s="589">
        <f t="shared" si="46"/>
        <v>-3.2700000000000102</v>
      </c>
      <c r="S188" s="589">
        <f t="shared" si="47"/>
        <v>0.43000000000000682</v>
      </c>
      <c r="T188" s="1230"/>
      <c r="U188" s="589">
        <f t="shared" si="54"/>
        <v>111.5</v>
      </c>
      <c r="V188" s="589">
        <f t="shared" si="55"/>
        <v>135.13999999999999</v>
      </c>
      <c r="W188" s="589">
        <f t="shared" si="56"/>
        <v>103.27</v>
      </c>
      <c r="X188" s="588"/>
      <c r="Y188" s="589">
        <f t="shared" si="48"/>
        <v>-1.3100000000000023</v>
      </c>
      <c r="Z188" s="589">
        <f t="shared" si="49"/>
        <v>-1.7900000000000205</v>
      </c>
      <c r="AA188" s="590">
        <f t="shared" si="50"/>
        <v>0.64000000000000057</v>
      </c>
    </row>
    <row r="189" spans="1:27" s="501" customFormat="1">
      <c r="A189" s="483"/>
      <c r="B189" s="484" t="s">
        <v>141</v>
      </c>
      <c r="C189" s="485">
        <v>6</v>
      </c>
      <c r="D189" s="587">
        <v>103</v>
      </c>
      <c r="E189" s="587">
        <v>123.9</v>
      </c>
      <c r="F189" s="587">
        <v>106.3</v>
      </c>
      <c r="G189" s="588">
        <v>170</v>
      </c>
      <c r="H189" s="588">
        <v>100</v>
      </c>
      <c r="I189" s="584">
        <f t="shared" si="36"/>
        <v>-4.0999999999999943</v>
      </c>
      <c r="J189" s="584">
        <f t="shared" si="37"/>
        <v>-4.5</v>
      </c>
      <c r="K189" s="584">
        <f t="shared" si="38"/>
        <v>2.0999999999999943</v>
      </c>
      <c r="L189" s="1230"/>
      <c r="M189" s="589">
        <f t="shared" si="51"/>
        <v>106.47</v>
      </c>
      <c r="N189" s="589">
        <f t="shared" si="52"/>
        <v>128.13</v>
      </c>
      <c r="O189" s="589">
        <f t="shared" si="53"/>
        <v>104.93</v>
      </c>
      <c r="P189" s="584"/>
      <c r="Q189" s="589">
        <f t="shared" si="45"/>
        <v>-3.0300000000000011</v>
      </c>
      <c r="R189" s="589">
        <f t="shared" si="46"/>
        <v>-4.0699999999999932</v>
      </c>
      <c r="S189" s="589">
        <f t="shared" si="47"/>
        <v>-9.9999999999994316E-2</v>
      </c>
      <c r="T189" s="1230"/>
      <c r="U189" s="589">
        <f t="shared" si="54"/>
        <v>109.59</v>
      </c>
      <c r="V189" s="589">
        <f t="shared" si="55"/>
        <v>133.36000000000001</v>
      </c>
      <c r="W189" s="589">
        <f t="shared" si="56"/>
        <v>103.84</v>
      </c>
      <c r="X189" s="588"/>
      <c r="Y189" s="589">
        <f t="shared" si="48"/>
        <v>-1.9099999999999966</v>
      </c>
      <c r="Z189" s="589">
        <f t="shared" si="49"/>
        <v>-1.7799999999999727</v>
      </c>
      <c r="AA189" s="590">
        <f t="shared" si="50"/>
        <v>0.57000000000000739</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0.40000000000000568</v>
      </c>
      <c r="L190" s="1230"/>
      <c r="M190" s="589">
        <f t="shared" si="51"/>
        <v>104.1</v>
      </c>
      <c r="N190" s="589">
        <f t="shared" si="52"/>
        <v>125.2</v>
      </c>
      <c r="O190" s="589">
        <f t="shared" si="53"/>
        <v>105.73</v>
      </c>
      <c r="P190" s="584"/>
      <c r="Q190" s="589">
        <f t="shared" si="45"/>
        <v>-2.3700000000000045</v>
      </c>
      <c r="R190" s="589">
        <f t="shared" si="46"/>
        <v>-2.9299999999999926</v>
      </c>
      <c r="S190" s="589">
        <f t="shared" si="47"/>
        <v>0.79999999999999716</v>
      </c>
      <c r="T190" s="1230"/>
      <c r="U190" s="589">
        <f t="shared" si="54"/>
        <v>107.81</v>
      </c>
      <c r="V190" s="589">
        <f t="shared" si="55"/>
        <v>131.04</v>
      </c>
      <c r="W190" s="589">
        <f t="shared" si="56"/>
        <v>104.41</v>
      </c>
      <c r="X190" s="588"/>
      <c r="Y190" s="589">
        <f t="shared" si="48"/>
        <v>-1.7800000000000011</v>
      </c>
      <c r="Z190" s="589">
        <f t="shared" si="49"/>
        <v>-2.3200000000000216</v>
      </c>
      <c r="AA190" s="590">
        <f t="shared" si="50"/>
        <v>0.56999999999999318</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30"/>
      <c r="M191" s="589">
        <f t="shared" si="51"/>
        <v>101.57</v>
      </c>
      <c r="N191" s="589">
        <f t="shared" si="52"/>
        <v>120.53</v>
      </c>
      <c r="O191" s="589">
        <f t="shared" si="53"/>
        <v>105.63</v>
      </c>
      <c r="P191" s="584"/>
      <c r="Q191" s="589">
        <f t="shared" si="45"/>
        <v>-2.5300000000000011</v>
      </c>
      <c r="R191" s="589">
        <f t="shared" si="46"/>
        <v>-4.6700000000000017</v>
      </c>
      <c r="S191" s="589">
        <f t="shared" si="47"/>
        <v>-0.10000000000000853</v>
      </c>
      <c r="T191" s="1230"/>
      <c r="U191" s="589">
        <f t="shared" si="54"/>
        <v>106.41</v>
      </c>
      <c r="V191" s="589">
        <f t="shared" si="55"/>
        <v>128.06</v>
      </c>
      <c r="W191" s="589">
        <f t="shared" si="56"/>
        <v>104.99</v>
      </c>
      <c r="X191" s="588"/>
      <c r="Y191" s="589">
        <f t="shared" si="48"/>
        <v>-1.4000000000000057</v>
      </c>
      <c r="Z191" s="589">
        <f t="shared" si="49"/>
        <v>-2.9799999999999898</v>
      </c>
      <c r="AA191" s="590">
        <f t="shared" si="50"/>
        <v>0.57999999999999829</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30"/>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-0.69999999999998863</v>
      </c>
      <c r="T192" s="1230"/>
      <c r="U192" s="589">
        <f t="shared" ref="U192:U207" si="63">ROUND(AVERAGE(D186:D192),2)</f>
        <v>104.86</v>
      </c>
      <c r="V192" s="589">
        <f t="shared" ref="V192:V207" si="64">ROUND(AVERAGE(E186:E192),2)</f>
        <v>124.97</v>
      </c>
      <c r="W192" s="589">
        <f t="shared" ref="W192:W207" si="65">ROUND(AVERAGE(F186:F192),2)</f>
        <v>105.17</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30"/>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30"/>
      <c r="U193" s="589">
        <f t="shared" si="63"/>
        <v>103.51</v>
      </c>
      <c r="V193" s="589">
        <f t="shared" si="64"/>
        <v>121.71</v>
      </c>
      <c r="W193" s="589">
        <f t="shared" si="65"/>
        <v>104.56</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30"/>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30"/>
      <c r="U194" s="589">
        <f t="shared" si="63"/>
        <v>102.56</v>
      </c>
      <c r="V194" s="589">
        <f t="shared" si="64"/>
        <v>118.03</v>
      </c>
      <c r="W194" s="589">
        <f t="shared" si="65"/>
        <v>103.74</v>
      </c>
      <c r="X194" s="588"/>
      <c r="Y194" s="589">
        <f t="shared" si="48"/>
        <v>-0.95000000000000284</v>
      </c>
      <c r="Z194" s="589">
        <f t="shared" si="49"/>
        <v>-3.6799999999999926</v>
      </c>
      <c r="AA194" s="590">
        <f t="shared" si="50"/>
        <v>-0.82000000000000739</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31"/>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31"/>
      <c r="U195" s="594">
        <f t="shared" si="63"/>
        <v>100.93</v>
      </c>
      <c r="V195" s="594">
        <f t="shared" si="64"/>
        <v>113.16</v>
      </c>
      <c r="W195" s="594">
        <f t="shared" si="65"/>
        <v>102.39</v>
      </c>
      <c r="X195" s="592"/>
      <c r="Y195" s="594">
        <f t="shared" si="48"/>
        <v>-1.6299999999999955</v>
      </c>
      <c r="Z195" s="594">
        <f t="shared" si="49"/>
        <v>-4.8700000000000045</v>
      </c>
      <c r="AA195" s="595">
        <f t="shared" si="50"/>
        <v>-1.3499999999999943</v>
      </c>
    </row>
    <row r="196" spans="1:27" s="501" customFormat="1">
      <c r="A196" s="491">
        <v>21</v>
      </c>
      <c r="B196" s="993" t="s">
        <v>669</v>
      </c>
      <c r="C196" s="481">
        <v>1</v>
      </c>
      <c r="D196" s="581">
        <v>92.8</v>
      </c>
      <c r="E196" s="581">
        <v>79.900000000000006</v>
      </c>
      <c r="F196" s="581">
        <v>91.2</v>
      </c>
      <c r="G196" s="582">
        <v>170</v>
      </c>
      <c r="H196" s="582">
        <v>100</v>
      </c>
      <c r="I196" s="583">
        <f t="shared" si="57"/>
        <v>-2.9000000000000057</v>
      </c>
      <c r="J196" s="583">
        <f t="shared" si="58"/>
        <v>-14.399999999999991</v>
      </c>
      <c r="K196" s="583">
        <f t="shared" si="59"/>
        <v>-3.5</v>
      </c>
      <c r="L196" s="1229"/>
      <c r="M196" s="585">
        <f t="shared" si="60"/>
        <v>97.03</v>
      </c>
      <c r="N196" s="585">
        <f t="shared" si="61"/>
        <v>93.5</v>
      </c>
      <c r="O196" s="585">
        <f t="shared" si="62"/>
        <v>94.83</v>
      </c>
      <c r="P196" s="583"/>
      <c r="Q196" s="589">
        <f t="shared" ref="Q196:Q259" si="66">M196-M195</f>
        <v>-3.2999999999999972</v>
      </c>
      <c r="R196" s="589">
        <f t="shared" ref="R196:R259" si="67">N196-N195</f>
        <v>-11.129999999999995</v>
      </c>
      <c r="S196" s="589">
        <f t="shared" ref="S196:S259" si="68">O196-O195</f>
        <v>-3.7000000000000028</v>
      </c>
      <c r="T196" s="1229"/>
      <c r="U196" s="599">
        <f t="shared" si="63"/>
        <v>99.47</v>
      </c>
      <c r="V196" s="599">
        <f t="shared" si="64"/>
        <v>106.87</v>
      </c>
      <c r="W196" s="599">
        <f t="shared" si="65"/>
        <v>100.23</v>
      </c>
      <c r="X196" s="582"/>
      <c r="Y196" s="585">
        <f t="shared" ref="Y196:AA198" si="69">U196-U195</f>
        <v>-1.460000000000008</v>
      </c>
      <c r="Z196" s="585">
        <f t="shared" si="69"/>
        <v>-6.289999999999992</v>
      </c>
      <c r="AA196" s="586">
        <f t="shared" si="69"/>
        <v>-2.1599999999999966</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-6.1000000000000085</v>
      </c>
      <c r="L197" s="1230"/>
      <c r="M197" s="589">
        <f t="shared" si="60"/>
        <v>91.5</v>
      </c>
      <c r="N197" s="589">
        <f t="shared" si="61"/>
        <v>81.47</v>
      </c>
      <c r="O197" s="589">
        <f t="shared" si="62"/>
        <v>90.33</v>
      </c>
      <c r="P197" s="588"/>
      <c r="Q197" s="589">
        <f t="shared" si="66"/>
        <v>-5.5300000000000011</v>
      </c>
      <c r="R197" s="589">
        <f t="shared" si="67"/>
        <v>-12.030000000000001</v>
      </c>
      <c r="S197" s="589">
        <f t="shared" si="68"/>
        <v>-4.5</v>
      </c>
      <c r="T197" s="1230"/>
      <c r="U197" s="589">
        <f t="shared" si="63"/>
        <v>97.16</v>
      </c>
      <c r="V197" s="589">
        <f t="shared" si="64"/>
        <v>99.29</v>
      </c>
      <c r="W197" s="589">
        <f t="shared" si="65"/>
        <v>97.14</v>
      </c>
      <c r="X197" s="588"/>
      <c r="Y197" s="589">
        <f t="shared" si="69"/>
        <v>-2.3100000000000023</v>
      </c>
      <c r="Z197" s="589">
        <f t="shared" si="69"/>
        <v>-7.5799999999999983</v>
      </c>
      <c r="AA197" s="590">
        <f t="shared" si="69"/>
        <v>-3.0900000000000034</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30"/>
      <c r="M198" s="589">
        <f t="shared" si="60"/>
        <v>87.47</v>
      </c>
      <c r="N198" s="589">
        <f t="shared" si="61"/>
        <v>71.599999999999994</v>
      </c>
      <c r="O198" s="589">
        <f t="shared" si="62"/>
        <v>86.2</v>
      </c>
      <c r="P198" s="588"/>
      <c r="Q198" s="589">
        <f t="shared" si="66"/>
        <v>-4.0300000000000011</v>
      </c>
      <c r="R198" s="589">
        <f t="shared" si="67"/>
        <v>-9.8700000000000045</v>
      </c>
      <c r="S198" s="589">
        <f t="shared" si="68"/>
        <v>-4.1299999999999955</v>
      </c>
      <c r="T198" s="1230"/>
      <c r="U198" s="589">
        <f t="shared" si="63"/>
        <v>94.89</v>
      </c>
      <c r="V198" s="589">
        <f t="shared" si="64"/>
        <v>92.19</v>
      </c>
      <c r="W198" s="589">
        <f t="shared" si="65"/>
        <v>94.06</v>
      </c>
      <c r="X198" s="588"/>
      <c r="Y198" s="589">
        <f t="shared" si="69"/>
        <v>-2.269999999999996</v>
      </c>
      <c r="Z198" s="589">
        <f t="shared" si="69"/>
        <v>-7.1000000000000085</v>
      </c>
      <c r="AA198" s="590">
        <f t="shared" si="69"/>
        <v>-3.0799999999999983</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-3.4300000000000068</v>
      </c>
      <c r="T199" s="589"/>
      <c r="U199" s="589">
        <f t="shared" si="63"/>
        <v>92.24</v>
      </c>
      <c r="V199" s="589">
        <f t="shared" si="64"/>
        <v>85.16</v>
      </c>
      <c r="W199" s="589">
        <f t="shared" si="65"/>
        <v>90.73</v>
      </c>
      <c r="X199" s="584"/>
      <c r="Y199" s="589">
        <f t="shared" ref="Y199:Y207" si="70">U199-U198</f>
        <v>-2.6500000000000057</v>
      </c>
      <c r="Z199" s="589">
        <f t="shared" ref="Z199:Z207" si="71">V199-V198</f>
        <v>-7.0300000000000011</v>
      </c>
      <c r="AA199" s="590">
        <f t="shared" ref="AA199:AA207" si="72">W199-W198</f>
        <v>-3.3299999999999983</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87.03</v>
      </c>
      <c r="X200" s="584"/>
      <c r="Y200" s="589">
        <f t="shared" si="70"/>
        <v>-2.8699999999999903</v>
      </c>
      <c r="Z200" s="589">
        <f t="shared" si="71"/>
        <v>-6.1499999999999915</v>
      </c>
      <c r="AA200" s="590">
        <f t="shared" si="72"/>
        <v>-3.7000000000000028</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83.73</v>
      </c>
      <c r="X201" s="584"/>
      <c r="Y201" s="589">
        <f t="shared" si="70"/>
        <v>-2.7700000000000102</v>
      </c>
      <c r="Z201" s="589">
        <f t="shared" si="71"/>
        <v>-4.8200000000000074</v>
      </c>
      <c r="AA201" s="590">
        <f t="shared" si="72"/>
        <v>-3.2999999999999972</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80.5</v>
      </c>
      <c r="X202" s="584"/>
      <c r="Y202" s="589">
        <f t="shared" si="70"/>
        <v>-1.0699999999999932</v>
      </c>
      <c r="Z202" s="589">
        <f t="shared" si="71"/>
        <v>-2.6599999999999966</v>
      </c>
      <c r="AA202" s="590">
        <f t="shared" si="72"/>
        <v>-3.230000000000004</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-2.5</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4">
        <v>105.4</v>
      </c>
      <c r="E208" s="1204">
        <v>95.8</v>
      </c>
      <c r="F208" s="1204">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5">
        <v>105.1</v>
      </c>
      <c r="E209" s="1205">
        <v>95.5</v>
      </c>
      <c r="F209" s="1205">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5">
        <v>106.7</v>
      </c>
      <c r="E210" s="1205">
        <v>99.6</v>
      </c>
      <c r="F210" s="1205">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5">
        <v>106.5</v>
      </c>
      <c r="E211" s="1205">
        <v>99.2</v>
      </c>
      <c r="F211" s="1205">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5">
        <v>110.4</v>
      </c>
      <c r="E212" s="1206">
        <v>103</v>
      </c>
      <c r="F212" s="1206">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6">
        <v>116.2</v>
      </c>
      <c r="E213" s="1206">
        <v>101.7</v>
      </c>
      <c r="F213" s="1206">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6">
        <v>112.3</v>
      </c>
      <c r="E214" s="1206">
        <v>103.6</v>
      </c>
      <c r="F214" s="1206">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6">
        <v>115.6</v>
      </c>
      <c r="E215" s="1206">
        <v>107.3</v>
      </c>
      <c r="F215" s="1206">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6">
        <v>119.1</v>
      </c>
      <c r="E216" s="1206">
        <v>108</v>
      </c>
      <c r="F216" s="1206">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6">
        <v>112</v>
      </c>
      <c r="E217" s="1206">
        <v>108.8</v>
      </c>
      <c r="F217" s="1205">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6">
        <v>112.8</v>
      </c>
      <c r="E218" s="1206">
        <v>113.2</v>
      </c>
      <c r="F218" s="1206">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7">
        <v>115.9</v>
      </c>
      <c r="E219" s="1207">
        <v>117.3</v>
      </c>
      <c r="F219" s="1207">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4">
        <v>113.5</v>
      </c>
      <c r="E220" s="1204">
        <v>113.3</v>
      </c>
      <c r="F220" s="1204">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5">
        <v>113.6</v>
      </c>
      <c r="E221" s="1205">
        <v>117.3</v>
      </c>
      <c r="F221" s="1205">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5">
        <v>83.1</v>
      </c>
      <c r="E222" s="1205">
        <v>71.400000000000006</v>
      </c>
      <c r="F222" s="1205">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5">
        <v>88</v>
      </c>
      <c r="E223" s="1205">
        <v>83.1</v>
      </c>
      <c r="F223" s="1205">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5">
        <v>95.8</v>
      </c>
      <c r="E224" s="1206">
        <v>96.4</v>
      </c>
      <c r="F224" s="1206">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6">
        <v>101.4</v>
      </c>
      <c r="E225" s="1205">
        <v>99.9</v>
      </c>
      <c r="F225" s="1206">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6">
        <v>109.6</v>
      </c>
      <c r="E226" s="1208">
        <v>104.7</v>
      </c>
      <c r="F226" s="1206">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6">
        <v>119.2</v>
      </c>
      <c r="E227" s="1206">
        <v>112.4</v>
      </c>
      <c r="F227" s="1206">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6">
        <v>119.8</v>
      </c>
      <c r="E228" s="1206">
        <v>119.7</v>
      </c>
      <c r="F228" s="1206">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6">
        <v>125.1</v>
      </c>
      <c r="E229" s="1206">
        <v>120.6</v>
      </c>
      <c r="F229" s="1205">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6">
        <v>129.6</v>
      </c>
      <c r="E230" s="1206">
        <v>119.8</v>
      </c>
      <c r="F230" s="1206">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9">
        <v>133.4</v>
      </c>
      <c r="E231" s="1207">
        <v>128</v>
      </c>
      <c r="F231" s="1207">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10">
        <v>148</v>
      </c>
      <c r="E232" s="1210">
        <v>138.6</v>
      </c>
      <c r="F232" s="1210">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6">
        <v>150.5</v>
      </c>
      <c r="E233" s="1206">
        <v>145</v>
      </c>
      <c r="F233" s="1206">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8">
        <v>143.1</v>
      </c>
      <c r="E234" s="1208">
        <v>154.19999999999999</v>
      </c>
      <c r="F234" s="1208">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8">
        <v>159</v>
      </c>
      <c r="E235" s="1208">
        <v>151.80000000000001</v>
      </c>
      <c r="F235" s="1208">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8">
        <v>157.1</v>
      </c>
      <c r="E236" s="1208">
        <v>156.5</v>
      </c>
      <c r="F236" s="1208">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8">
        <v>157</v>
      </c>
      <c r="E237" s="1208">
        <v>157.1</v>
      </c>
      <c r="F237" s="1208">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8">
        <v>155.6</v>
      </c>
      <c r="E238" s="1208">
        <v>160</v>
      </c>
      <c r="F238" s="1208">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5">
        <v>154.19999999999999</v>
      </c>
      <c r="E239" s="1205">
        <v>152.19999999999999</v>
      </c>
      <c r="F239" s="1205">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5">
        <v>147.1</v>
      </c>
      <c r="E240" s="1205">
        <v>150.80000000000001</v>
      </c>
      <c r="F240" s="1205">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5">
        <v>145.69999999999999</v>
      </c>
      <c r="E241" s="1205">
        <v>146.1</v>
      </c>
      <c r="F241" s="1205">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5">
        <v>144.9</v>
      </c>
      <c r="E242" s="1205">
        <v>145</v>
      </c>
      <c r="F242" s="1205">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9">
        <v>138.6</v>
      </c>
      <c r="E243" s="1209">
        <v>146.30000000000001</v>
      </c>
      <c r="F243" s="1209">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4">
        <v>140.5</v>
      </c>
      <c r="E244" s="1204">
        <v>150.80000000000001</v>
      </c>
      <c r="F244" s="1204">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11">
        <v>145.69999999999999</v>
      </c>
      <c r="E245" s="1211">
        <v>149.4</v>
      </c>
      <c r="F245" s="1211">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5">
        <v>140</v>
      </c>
      <c r="E246" s="1205">
        <v>153.1</v>
      </c>
      <c r="F246" s="1205">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5">
        <v>138.19999999999999</v>
      </c>
      <c r="E247" s="1205">
        <v>145.69999999999999</v>
      </c>
      <c r="F247" s="1205">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5">
        <v>138.4</v>
      </c>
      <c r="E248" s="1205">
        <v>148</v>
      </c>
      <c r="F248" s="1205">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5">
        <v>136.80000000000001</v>
      </c>
      <c r="E249" s="1205">
        <v>152.5</v>
      </c>
      <c r="F249" s="1205">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5">
        <v>136.69999999999999</v>
      </c>
      <c r="E250" s="1205">
        <v>152.9</v>
      </c>
      <c r="F250" s="1205">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5">
        <v>141.5</v>
      </c>
      <c r="E251" s="1205">
        <v>158</v>
      </c>
      <c r="F251" s="1205">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5">
        <v>141.9</v>
      </c>
      <c r="E252" s="1205">
        <v>156.1</v>
      </c>
      <c r="F252" s="1205">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5">
        <v>140.5</v>
      </c>
      <c r="E253" s="1205">
        <v>153.1</v>
      </c>
      <c r="F253" s="1205">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5">
        <v>139.1</v>
      </c>
      <c r="E254" s="1205">
        <v>157.5</v>
      </c>
      <c r="F254" s="1205">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9">
        <v>139.5</v>
      </c>
      <c r="E255" s="1209">
        <v>154</v>
      </c>
      <c r="F255" s="1209">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11">
        <v>139.80000000000001</v>
      </c>
      <c r="E256" s="1211">
        <v>156.69999999999999</v>
      </c>
      <c r="F256" s="1211">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11">
        <v>139.1</v>
      </c>
      <c r="E257" s="1211">
        <v>156</v>
      </c>
      <c r="F257" s="1211">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5">
        <v>135.9</v>
      </c>
      <c r="E258" s="1205">
        <v>145.6</v>
      </c>
      <c r="F258" s="1205">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5">
        <v>130</v>
      </c>
      <c r="E259" s="1205">
        <v>142.30000000000001</v>
      </c>
      <c r="F259" s="1205">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5">
        <v>129.9</v>
      </c>
      <c r="E260" s="1205">
        <v>145.30000000000001</v>
      </c>
      <c r="F260" s="1205">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5">
        <v>128.4</v>
      </c>
      <c r="E261" s="1205">
        <v>146.6</v>
      </c>
      <c r="F261" s="1205">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5">
        <v>125.3</v>
      </c>
      <c r="E262" s="1205">
        <v>143.6</v>
      </c>
      <c r="F262" s="1205">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5">
        <v>124.2</v>
      </c>
      <c r="E263" s="1205">
        <v>135.69999999999999</v>
      </c>
      <c r="F263" s="1205">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5">
        <v>128.6</v>
      </c>
      <c r="E264" s="1205">
        <v>141.30000000000001</v>
      </c>
      <c r="F264" s="1205">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5">
        <v>129.1</v>
      </c>
      <c r="E265" s="1205">
        <v>143.19999999999999</v>
      </c>
      <c r="F265" s="1205">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5">
        <v>127.9</v>
      </c>
      <c r="E266" s="1205">
        <v>149.80000000000001</v>
      </c>
      <c r="F266" s="1205">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9">
        <v>135.30000000000001</v>
      </c>
      <c r="E267" s="1209">
        <v>141.69999999999999</v>
      </c>
      <c r="F267" s="1209">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11">
        <v>128.69999999999999</v>
      </c>
      <c r="E268" s="1211">
        <v>150.30000000000001</v>
      </c>
      <c r="F268" s="1211">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11">
        <v>124.1</v>
      </c>
      <c r="E269" s="1211">
        <v>144.9</v>
      </c>
      <c r="F269" s="1211">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5">
        <v>122.9</v>
      </c>
      <c r="E270" s="1205">
        <v>146</v>
      </c>
      <c r="F270" s="1205">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5">
        <v>119.1</v>
      </c>
      <c r="E271" s="1205">
        <v>149.4</v>
      </c>
      <c r="F271" s="1205">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5">
        <v>122.2</v>
      </c>
      <c r="E272" s="1205">
        <v>144</v>
      </c>
      <c r="F272" s="1205">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5">
        <v>121</v>
      </c>
      <c r="E273" s="1205">
        <v>140.30000000000001</v>
      </c>
      <c r="F273" s="1205">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5">
        <v>120.9</v>
      </c>
      <c r="E274" s="1205">
        <v>142.4</v>
      </c>
      <c r="F274" s="1205">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5">
        <v>121.5</v>
      </c>
      <c r="E275" s="1205">
        <v>142.30000000000001</v>
      </c>
      <c r="F275" s="1205">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5">
        <v>118.7</v>
      </c>
      <c r="E276" s="1205">
        <v>137.5</v>
      </c>
      <c r="F276" s="1205">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5">
        <v>116.2</v>
      </c>
      <c r="E277" s="1205">
        <v>136.9</v>
      </c>
      <c r="F277" s="1205">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5">
        <v>113.6</v>
      </c>
      <c r="E278" s="1205">
        <v>130.1</v>
      </c>
      <c r="F278" s="1205">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9">
        <v>114.7</v>
      </c>
      <c r="E279" s="1209">
        <v>132.6</v>
      </c>
      <c r="F279" s="1209">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11">
        <v>114.2</v>
      </c>
      <c r="E280" s="1211">
        <v>130.5</v>
      </c>
      <c r="F280" s="1211">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11">
        <v>112</v>
      </c>
      <c r="E281" s="1211">
        <v>130.4</v>
      </c>
      <c r="F281" s="1211">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5">
        <v>109.5</v>
      </c>
      <c r="E282" s="1205">
        <v>129.4</v>
      </c>
      <c r="F282" s="1205">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5">
        <v>110.9</v>
      </c>
      <c r="E283" s="1205">
        <v>130.69999999999999</v>
      </c>
      <c r="F283" s="1205">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12">
        <v>110.3</v>
      </c>
      <c r="E284" s="1212">
        <v>128.4</v>
      </c>
      <c r="F284" s="1212">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11">
        <v>106.1</v>
      </c>
      <c r="E285" s="1211">
        <v>126.2</v>
      </c>
      <c r="F285" s="1211">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5">
        <v>107.8</v>
      </c>
      <c r="E286" s="1205">
        <v>125.4</v>
      </c>
      <c r="F286" s="1205">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5">
        <v>105.6</v>
      </c>
      <c r="E287" s="1205">
        <v>125</v>
      </c>
      <c r="F287" s="1205">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5">
        <v>108.4</v>
      </c>
      <c r="E288" s="1205">
        <v>131.9</v>
      </c>
      <c r="F288" s="1205">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5">
        <v>109.8</v>
      </c>
      <c r="E289" s="1205">
        <v>128.9</v>
      </c>
      <c r="F289" s="1205">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5">
        <v>111.1</v>
      </c>
      <c r="E290" s="1205">
        <v>131.19999999999999</v>
      </c>
      <c r="F290" s="1205">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9">
        <v>115.8</v>
      </c>
      <c r="E291" s="1209">
        <v>134.19999999999999</v>
      </c>
      <c r="F291" s="1209">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11">
        <v>110.8</v>
      </c>
      <c r="E292" s="1211">
        <v>136.4</v>
      </c>
      <c r="F292" s="1211">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11">
        <v>112.5</v>
      </c>
      <c r="E293" s="1211">
        <v>137.69999999999999</v>
      </c>
      <c r="F293" s="1211">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5">
        <v>110.1</v>
      </c>
      <c r="E294" s="1205">
        <v>135.6</v>
      </c>
      <c r="F294" s="1205">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5">
        <v>113.4</v>
      </c>
      <c r="E295" s="1205">
        <v>141.9</v>
      </c>
      <c r="F295" s="1205">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5">
        <v>112</v>
      </c>
      <c r="E296" s="1205">
        <v>141.69999999999999</v>
      </c>
      <c r="F296" s="1205">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5">
        <v>114</v>
      </c>
      <c r="E297" s="1205">
        <v>142.6</v>
      </c>
      <c r="F297" s="1205">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5">
        <v>114.3</v>
      </c>
      <c r="E298" s="1205">
        <v>144</v>
      </c>
      <c r="F298" s="1205">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5">
        <v>108.7</v>
      </c>
      <c r="E299" s="1205">
        <v>140.9</v>
      </c>
      <c r="F299" s="1205">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5">
        <v>110.2</v>
      </c>
      <c r="E300" s="1205">
        <v>137.1</v>
      </c>
      <c r="F300" s="1205">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5">
        <v>108.5</v>
      </c>
      <c r="E301" s="1205">
        <v>140.80000000000001</v>
      </c>
      <c r="F301" s="1205">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5">
        <v>111.9</v>
      </c>
      <c r="E302" s="1205">
        <v>144.5</v>
      </c>
      <c r="F302" s="1205">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9">
        <v>113.9</v>
      </c>
      <c r="E303" s="1209">
        <v>144.9</v>
      </c>
      <c r="F303" s="1209">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11">
        <v>114.4</v>
      </c>
      <c r="E304" s="1211">
        <v>144.80000000000001</v>
      </c>
      <c r="F304" s="1211">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11">
        <v>114.7</v>
      </c>
      <c r="E305" s="1211">
        <v>141.4</v>
      </c>
      <c r="F305" s="1211">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5">
        <v>117.6</v>
      </c>
      <c r="E306" s="1205">
        <v>144.5</v>
      </c>
      <c r="F306" s="1205">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5">
        <v>120.4</v>
      </c>
      <c r="E307" s="1205">
        <v>146.6</v>
      </c>
      <c r="F307" s="1205">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5">
        <v>119</v>
      </c>
      <c r="E308" s="1205">
        <v>145.4</v>
      </c>
      <c r="F308" s="1205">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5">
        <v>119.1</v>
      </c>
      <c r="E309" s="1205">
        <v>148.19999999999999</v>
      </c>
      <c r="F309" s="1205">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5">
        <v>122.5</v>
      </c>
      <c r="E310" s="1205">
        <v>147.69999999999999</v>
      </c>
      <c r="F310" s="1205">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5">
        <v>121.7</v>
      </c>
      <c r="E311" s="1205">
        <v>145.4</v>
      </c>
      <c r="F311" s="1205">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5">
        <v>122.4</v>
      </c>
      <c r="E312" s="1205">
        <v>144.30000000000001</v>
      </c>
      <c r="F312" s="1205">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5">
        <v>124.3</v>
      </c>
      <c r="E313" s="1205">
        <v>144.1</v>
      </c>
      <c r="F313" s="1205">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5">
        <v>128.4</v>
      </c>
      <c r="E314" s="1205">
        <v>140.30000000000001</v>
      </c>
      <c r="F314" s="1205">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9">
        <v>125.1</v>
      </c>
      <c r="E315" s="1209">
        <v>141.5</v>
      </c>
      <c r="F315" s="1209">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736</v>
      </c>
      <c r="B316" s="760">
        <v>19</v>
      </c>
      <c r="C316" s="957">
        <v>1</v>
      </c>
      <c r="D316" s="1211">
        <v>125</v>
      </c>
      <c r="E316" s="1211">
        <v>133</v>
      </c>
      <c r="F316" s="1211">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11">
        <v>123.8</v>
      </c>
      <c r="E317" s="1211">
        <v>136.30000000000001</v>
      </c>
      <c r="F317" s="1211">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5">
        <v>120.1</v>
      </c>
      <c r="E318" s="1205">
        <v>135.69999999999999</v>
      </c>
      <c r="F318" s="1205">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5">
        <v>121.5</v>
      </c>
      <c r="E319" s="1205">
        <v>132.1</v>
      </c>
      <c r="F319" s="1205">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5">
        <v>125.8</v>
      </c>
      <c r="E320" s="1205">
        <v>134.5</v>
      </c>
      <c r="F320" s="1205">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5">
        <v>124.6</v>
      </c>
      <c r="E321" s="1205">
        <v>129.5</v>
      </c>
      <c r="F321" s="1205">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5">
        <v>122.4</v>
      </c>
      <c r="E322" s="1205">
        <v>127.4</v>
      </c>
      <c r="F322" s="1205">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5">
        <v>117.8</v>
      </c>
      <c r="E323" s="1205">
        <v>124.6</v>
      </c>
      <c r="F323" s="1205">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5">
        <v>116.6</v>
      </c>
      <c r="E324" s="1205">
        <v>126.8</v>
      </c>
      <c r="F324" s="1205">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5">
        <v>113.5</v>
      </c>
      <c r="E325" s="1205">
        <v>126.5</v>
      </c>
      <c r="F325" s="1205">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5">
        <v>119.2</v>
      </c>
      <c r="E326" s="1205">
        <v>120.2</v>
      </c>
      <c r="F326" s="1205">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9">
        <v>112.6</v>
      </c>
      <c r="E327" s="1209">
        <v>113</v>
      </c>
      <c r="F327" s="1209">
        <v>102.5</v>
      </c>
      <c r="G327" s="592">
        <v>170</v>
      </c>
      <c r="H327" s="1118">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11">
        <v>111.6</v>
      </c>
      <c r="E328" s="1211">
        <v>109</v>
      </c>
      <c r="F328" s="1211">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11">
        <v>112.5</v>
      </c>
      <c r="E329" s="1211">
        <v>117.2</v>
      </c>
      <c r="F329" s="1211">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5">
        <v>106.9</v>
      </c>
      <c r="E330" s="1205">
        <v>111.2</v>
      </c>
      <c r="F330" s="1205">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5">
        <v>97.3</v>
      </c>
      <c r="E331" s="1205">
        <v>106.4</v>
      </c>
      <c r="F331" s="1205">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5">
        <v>88.8</v>
      </c>
      <c r="E332" s="1205">
        <v>90.4</v>
      </c>
      <c r="F332" s="1205">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5">
        <v>86.5</v>
      </c>
      <c r="E333" s="1205">
        <v>88.4</v>
      </c>
      <c r="F333" s="1205">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5">
        <v>91.7</v>
      </c>
      <c r="E334" s="1205">
        <v>90.1</v>
      </c>
      <c r="F334" s="1205">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5">
        <v>96.3</v>
      </c>
      <c r="E335" s="1205">
        <v>92.1</v>
      </c>
      <c r="F335" s="1205">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5">
        <v>98.4</v>
      </c>
      <c r="E336" s="1205">
        <v>93.1</v>
      </c>
      <c r="F336" s="1205">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5">
        <v>101.8</v>
      </c>
      <c r="E337" s="1205">
        <v>97.8</v>
      </c>
      <c r="F337" s="1205">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5">
        <v>102</v>
      </c>
      <c r="E338" s="1205">
        <v>100.9</v>
      </c>
      <c r="F338" s="1205">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9">
        <v>106.2</v>
      </c>
      <c r="E339" s="1209">
        <v>103.5</v>
      </c>
      <c r="F339" s="1209">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11">
        <v>109.2</v>
      </c>
      <c r="E340" s="1211">
        <v>114.6</v>
      </c>
      <c r="F340" s="1211">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11">
        <v>109</v>
      </c>
      <c r="E341" s="1211">
        <v>113.1</v>
      </c>
      <c r="F341" s="1211">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5">
        <v>109.7</v>
      </c>
      <c r="E342" s="1205">
        <v>114.7</v>
      </c>
      <c r="F342" s="1205">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5">
        <v>113.9</v>
      </c>
      <c r="E343" s="1205">
        <v>120.7</v>
      </c>
      <c r="F343" s="1205">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5">
        <v>113.3</v>
      </c>
      <c r="E344" s="1205">
        <v>122.1</v>
      </c>
      <c r="F344" s="1205">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5">
        <v>109.3</v>
      </c>
      <c r="E345" s="1205">
        <v>130.80000000000001</v>
      </c>
      <c r="F345" s="1205">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5">
        <v>114.3</v>
      </c>
      <c r="E346" s="1205">
        <v>132.30000000000001</v>
      </c>
      <c r="F346" s="1205">
        <v>101.4</v>
      </c>
      <c r="G346" s="588"/>
      <c r="H346" s="588">
        <v>100</v>
      </c>
      <c r="I346" s="584">
        <f t="shared" si="127"/>
        <v>5</v>
      </c>
      <c r="J346" s="584">
        <f t="shared" si="128"/>
        <v>1.5</v>
      </c>
      <c r="K346" s="584">
        <f t="shared" si="129"/>
        <v>-2.2999999999999972</v>
      </c>
      <c r="L346" s="589"/>
      <c r="M346" s="589">
        <f t="shared" si="130"/>
        <v>112.3</v>
      </c>
      <c r="N346" s="589">
        <f t="shared" si="131"/>
        <v>128.4</v>
      </c>
      <c r="O346" s="589">
        <f t="shared" si="132"/>
        <v>102.53333333333335</v>
      </c>
      <c r="P346" s="584"/>
      <c r="Q346" s="589">
        <f t="shared" si="115"/>
        <v>0.13333333333332575</v>
      </c>
      <c r="R346" s="589">
        <f t="shared" si="116"/>
        <v>3.86666666666666</v>
      </c>
      <c r="S346" s="589">
        <f t="shared" si="117"/>
        <v>-1.2999999999999829</v>
      </c>
      <c r="T346" s="589"/>
      <c r="U346" s="589">
        <f t="shared" si="133"/>
        <v>111.24285714285712</v>
      </c>
      <c r="V346" s="589">
        <f t="shared" si="134"/>
        <v>121.18571428571428</v>
      </c>
      <c r="W346" s="589">
        <f t="shared" si="135"/>
        <v>101.62857142857142</v>
      </c>
      <c r="X346" s="589"/>
      <c r="Y346" s="589">
        <f t="shared" si="118"/>
        <v>1.1571428571428442</v>
      </c>
      <c r="Z346" s="589">
        <f t="shared" si="119"/>
        <v>4.1142857142857139</v>
      </c>
      <c r="AA346" s="590">
        <f t="shared" si="120"/>
        <v>1.0428571428571303</v>
      </c>
    </row>
    <row r="347" spans="1:27" ht="17.25" customHeight="1">
      <c r="A347" s="778"/>
      <c r="B347" s="778"/>
      <c r="C347" s="779">
        <v>8</v>
      </c>
      <c r="D347" s="1205">
        <v>113.7</v>
      </c>
      <c r="E347" s="1205">
        <v>139.30000000000001</v>
      </c>
      <c r="F347" s="1205">
        <v>101.7</v>
      </c>
      <c r="G347" s="588"/>
      <c r="H347" s="588">
        <v>100</v>
      </c>
      <c r="I347" s="584">
        <f t="shared" si="127"/>
        <v>-0.59999999999999432</v>
      </c>
      <c r="J347" s="584">
        <f t="shared" si="128"/>
        <v>7</v>
      </c>
      <c r="K347" s="584">
        <f t="shared" si="129"/>
        <v>0.29999999999999716</v>
      </c>
      <c r="L347" s="589"/>
      <c r="M347" s="589">
        <f t="shared" si="130"/>
        <v>112.43333333333334</v>
      </c>
      <c r="N347" s="589">
        <f t="shared" si="131"/>
        <v>134.13333333333335</v>
      </c>
      <c r="O347" s="589">
        <f t="shared" si="132"/>
        <v>102.26666666666667</v>
      </c>
      <c r="P347" s="584"/>
      <c r="Q347" s="589">
        <f t="shared" si="115"/>
        <v>0.13333333333333997</v>
      </c>
      <c r="R347" s="589">
        <f t="shared" si="116"/>
        <v>5.7333333333333485</v>
      </c>
      <c r="S347" s="589">
        <f t="shared" si="117"/>
        <v>-0.26666666666667993</v>
      </c>
      <c r="T347" s="589"/>
      <c r="U347" s="589">
        <f t="shared" si="133"/>
        <v>111.88571428571429</v>
      </c>
      <c r="V347" s="589">
        <f t="shared" si="134"/>
        <v>124.71428571428571</v>
      </c>
      <c r="W347" s="589">
        <f t="shared" si="135"/>
        <v>102.11428571428573</v>
      </c>
      <c r="X347" s="589"/>
      <c r="Y347" s="589">
        <f t="shared" si="118"/>
        <v>0.64285714285716722</v>
      </c>
      <c r="Z347" s="589">
        <f t="shared" si="119"/>
        <v>3.5285714285714249</v>
      </c>
      <c r="AA347" s="590">
        <f t="shared" si="120"/>
        <v>0.48571428571430886</v>
      </c>
    </row>
    <row r="348" spans="1:27" ht="17.25" customHeight="1">
      <c r="A348" s="778"/>
      <c r="B348" s="778"/>
      <c r="C348" s="779">
        <v>9</v>
      </c>
      <c r="D348" s="1205">
        <v>107.7</v>
      </c>
      <c r="E348" s="1205">
        <v>135.6</v>
      </c>
      <c r="F348" s="1205">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135.73333333333335</v>
      </c>
      <c r="O348" s="589">
        <f t="shared" si="132"/>
        <v>101.63333333333334</v>
      </c>
      <c r="P348" s="584"/>
      <c r="Q348" s="589">
        <f t="shared" si="115"/>
        <v>-0.53333333333334565</v>
      </c>
      <c r="R348" s="589">
        <f t="shared" si="116"/>
        <v>1.5999999999999943</v>
      </c>
      <c r="S348" s="589">
        <f t="shared" si="117"/>
        <v>-0.63333333333332575</v>
      </c>
      <c r="T348" s="589"/>
      <c r="U348" s="589">
        <f t="shared" si="133"/>
        <v>111.70000000000002</v>
      </c>
      <c r="V348" s="589">
        <f t="shared" si="134"/>
        <v>127.92857142857144</v>
      </c>
      <c r="W348" s="589">
        <f t="shared" si="135"/>
        <v>102.8</v>
      </c>
      <c r="X348" s="589"/>
      <c r="Y348" s="589">
        <f t="shared" si="118"/>
        <v>-0.18571428571426907</v>
      </c>
      <c r="Z348" s="589">
        <f t="shared" si="119"/>
        <v>3.2142857142857366</v>
      </c>
      <c r="AA348" s="590">
        <f t="shared" si="120"/>
        <v>0.68571428571426907</v>
      </c>
    </row>
    <row r="349" spans="1:27" ht="17.25" customHeight="1">
      <c r="A349" s="778"/>
      <c r="B349" s="778"/>
      <c r="C349" s="779">
        <v>10</v>
      </c>
      <c r="D349" s="1205">
        <v>109.2</v>
      </c>
      <c r="E349" s="1205">
        <v>134.1</v>
      </c>
      <c r="F349" s="1205">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0.59999999999999432</v>
      </c>
      <c r="S349" s="589">
        <f t="shared" si="117"/>
        <v>0.86666666666666003</v>
      </c>
      <c r="T349" s="589"/>
      <c r="U349" s="589">
        <f t="shared" si="133"/>
        <v>111.62857142857145</v>
      </c>
      <c r="V349" s="589">
        <f t="shared" si="134"/>
        <v>130.70000000000002</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5">
        <v>114.2</v>
      </c>
      <c r="E350" s="1205">
        <v>136.30000000000001</v>
      </c>
      <c r="F350" s="1205">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132.92857142857142</v>
      </c>
      <c r="W350" s="589">
        <f t="shared" si="135"/>
        <v>102.8</v>
      </c>
      <c r="X350" s="589"/>
      <c r="Y350" s="589">
        <f t="shared" si="118"/>
        <v>4.285714285713027E-2</v>
      </c>
      <c r="Z350" s="589">
        <f t="shared" si="119"/>
        <v>2.2285714285713993</v>
      </c>
      <c r="AA350" s="590">
        <f t="shared" si="120"/>
        <v>-0.11428571428571388</v>
      </c>
    </row>
    <row r="351" spans="1:27" ht="17.25" customHeight="1">
      <c r="A351" s="778"/>
      <c r="B351" s="778"/>
      <c r="C351" s="779">
        <v>12</v>
      </c>
      <c r="D351" s="1209">
        <v>118.3</v>
      </c>
      <c r="E351" s="1209">
        <v>143.1</v>
      </c>
      <c r="F351" s="1209">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135.92857142857144</v>
      </c>
      <c r="W351" s="594">
        <f t="shared" si="135"/>
        <v>103.1857142857143</v>
      </c>
      <c r="X351" s="594"/>
      <c r="Y351" s="594">
        <f t="shared" si="118"/>
        <v>0.7142857142857082</v>
      </c>
      <c r="Z351" s="594">
        <f t="shared" si="119"/>
        <v>3.0000000000000284</v>
      </c>
      <c r="AA351" s="595">
        <f t="shared" si="120"/>
        <v>0.38571428571430033</v>
      </c>
    </row>
    <row r="352" spans="1:27" ht="17.25" customHeight="1">
      <c r="A352" s="479">
        <v>4</v>
      </c>
      <c r="B352" s="760">
        <v>22</v>
      </c>
      <c r="C352" s="957">
        <v>1</v>
      </c>
      <c r="D352" s="1211">
        <v>112.8</v>
      </c>
      <c r="E352" s="1211">
        <v>149</v>
      </c>
      <c r="F352" s="1211">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138.52857142857144</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11">
        <v>108.2</v>
      </c>
      <c r="E353" s="1211">
        <v>148.4</v>
      </c>
      <c r="F353" s="1211">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2.2999999999999829</v>
      </c>
      <c r="AA353" s="590">
        <f t="shared" si="137"/>
        <v>0.14285714285712459</v>
      </c>
    </row>
    <row r="354" spans="1:27" ht="17.25" customHeight="1">
      <c r="A354" s="778"/>
      <c r="B354" s="778"/>
      <c r="C354" s="779">
        <v>3</v>
      </c>
      <c r="D354" s="1205">
        <v>110.1</v>
      </c>
      <c r="E354" s="1205">
        <v>149.4</v>
      </c>
      <c r="F354" s="1205">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5">
        <v>115.6</v>
      </c>
      <c r="E355" s="1205">
        <v>147.30000000000001</v>
      </c>
      <c r="F355" s="1205">
        <v>107.1</v>
      </c>
      <c r="G355" s="588"/>
      <c r="H355" s="588">
        <v>100</v>
      </c>
      <c r="I355" s="584">
        <f t="shared" si="127"/>
        <v>5.5</v>
      </c>
      <c r="J355" s="584">
        <f t="shared" si="128"/>
        <v>-2.0999999999999943</v>
      </c>
      <c r="K355" s="584">
        <f t="shared" si="129"/>
        <v>-3.3000000000000114</v>
      </c>
      <c r="L355" s="589"/>
      <c r="M355" s="589">
        <f t="shared" si="130"/>
        <v>111.3</v>
      </c>
      <c r="N355" s="589">
        <f t="shared" si="131"/>
        <v>148.36666666666667</v>
      </c>
      <c r="O355" s="589">
        <f t="shared" si="132"/>
        <v>106.63333333333333</v>
      </c>
      <c r="P355" s="584"/>
      <c r="Q355" s="589">
        <f t="shared" ref="Q355:S356" si="138">M355-M354</f>
        <v>0.93333333333332291</v>
      </c>
      <c r="R355" s="589">
        <f t="shared" si="138"/>
        <v>-0.56666666666663446</v>
      </c>
      <c r="S355" s="589">
        <f t="shared" si="138"/>
        <v>0.43333333333332291</v>
      </c>
      <c r="T355" s="589"/>
      <c r="U355" s="589">
        <f t="shared" si="133"/>
        <v>112.62857142857145</v>
      </c>
      <c r="V355" s="589">
        <f t="shared" si="134"/>
        <v>143.94285714285712</v>
      </c>
      <c r="W355" s="589">
        <f t="shared" si="135"/>
        <v>105.62857142857142</v>
      </c>
      <c r="X355" s="589"/>
      <c r="Y355" s="589">
        <f t="shared" ref="Y355:AA356" si="139">U355-U354</f>
        <v>1.1285714285714334</v>
      </c>
      <c r="Z355" s="589">
        <f t="shared" si="139"/>
        <v>1.6714285714285495</v>
      </c>
      <c r="AA355" s="590">
        <f t="shared" si="139"/>
        <v>0.75714285714286689</v>
      </c>
    </row>
    <row r="356" spans="1:27" ht="17.25" customHeight="1">
      <c r="A356" s="778"/>
      <c r="B356" s="778"/>
      <c r="C356" s="779">
        <v>5</v>
      </c>
      <c r="D356" s="1205">
        <v>119.4</v>
      </c>
      <c r="E356" s="1205">
        <v>151.5</v>
      </c>
      <c r="F356" s="1205">
        <v>117.2</v>
      </c>
      <c r="G356" s="588"/>
      <c r="H356" s="588">
        <v>100</v>
      </c>
      <c r="I356" s="584">
        <f t="shared" si="127"/>
        <v>3.8000000000000114</v>
      </c>
      <c r="J356" s="584">
        <f t="shared" si="128"/>
        <v>4.1999999999999886</v>
      </c>
      <c r="K356" s="584">
        <f t="shared" si="129"/>
        <v>10.100000000000009</v>
      </c>
      <c r="L356" s="589"/>
      <c r="M356" s="589">
        <f t="shared" si="130"/>
        <v>115.03333333333335</v>
      </c>
      <c r="N356" s="589">
        <f t="shared" si="131"/>
        <v>149.4</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146.42857142857142</v>
      </c>
      <c r="W356" s="589">
        <f t="shared" si="135"/>
        <v>107.51428571428572</v>
      </c>
      <c r="X356" s="589"/>
      <c r="Y356" s="589">
        <f t="shared" si="139"/>
        <v>1.4571428571428413</v>
      </c>
      <c r="Z356" s="589">
        <f t="shared" si="139"/>
        <v>2.4857142857142946</v>
      </c>
      <c r="AA356" s="590">
        <f t="shared" si="139"/>
        <v>1.8857142857143003</v>
      </c>
    </row>
    <row r="357" spans="1:27" ht="17.25" customHeight="1">
      <c r="A357" s="778"/>
      <c r="B357" s="778"/>
      <c r="C357" s="779">
        <v>6</v>
      </c>
      <c r="D357" s="1205">
        <v>121.4</v>
      </c>
      <c r="E357" s="1205">
        <v>151</v>
      </c>
      <c r="F357" s="1205">
        <v>113.5</v>
      </c>
      <c r="G357" s="588"/>
      <c r="H357" s="588">
        <v>100</v>
      </c>
      <c r="I357" s="584">
        <f t="shared" si="127"/>
        <v>2</v>
      </c>
      <c r="J357" s="584">
        <f t="shared" si="128"/>
        <v>-0.5</v>
      </c>
      <c r="K357" s="584">
        <f t="shared" si="129"/>
        <v>-3.7000000000000028</v>
      </c>
      <c r="L357" s="589"/>
      <c r="M357" s="589">
        <f t="shared" si="130"/>
        <v>118.8</v>
      </c>
      <c r="N357" s="589">
        <f t="shared" si="131"/>
        <v>149.93333333333334</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148.52857142857144</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5">
        <v>122.9</v>
      </c>
      <c r="E358" s="1205">
        <v>157.6</v>
      </c>
      <c r="F358" s="1205">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3.4333333333333371</v>
      </c>
      <c r="S358" s="589">
        <f t="shared" si="140"/>
        <v>4.4999999999999716</v>
      </c>
      <c r="T358" s="589"/>
      <c r="U358" s="589">
        <f t="shared" si="133"/>
        <v>115.77142857142857</v>
      </c>
      <c r="V358" s="589">
        <f t="shared" si="134"/>
        <v>150.59999999999997</v>
      </c>
      <c r="W358" s="589">
        <f t="shared" si="135"/>
        <v>111.00000000000001</v>
      </c>
      <c r="X358" s="589"/>
      <c r="Y358" s="589">
        <f t="shared" si="141"/>
        <v>0.65714285714285836</v>
      </c>
      <c r="Z358" s="589">
        <f t="shared" si="141"/>
        <v>2.0714285714285268</v>
      </c>
      <c r="AA358" s="590">
        <f t="shared" si="141"/>
        <v>2.2000000000000171</v>
      </c>
    </row>
    <row r="359" spans="1:27" ht="17.25" customHeight="1">
      <c r="A359" s="778"/>
      <c r="B359" s="778"/>
      <c r="C359" s="779">
        <v>8</v>
      </c>
      <c r="D359" s="1205">
        <v>120.7</v>
      </c>
      <c r="E359" s="1205">
        <v>154.80000000000001</v>
      </c>
      <c r="F359" s="1205">
        <v>116.8</v>
      </c>
      <c r="G359" s="588"/>
      <c r="H359" s="588">
        <v>100</v>
      </c>
      <c r="I359" s="584">
        <f t="shared" si="127"/>
        <v>-2.2000000000000028</v>
      </c>
      <c r="J359" s="584">
        <f t="shared" si="128"/>
        <v>-2.7999999999999829</v>
      </c>
      <c r="K359" s="584">
        <f t="shared" si="129"/>
        <v>-3.7999999999999972</v>
      </c>
      <c r="L359" s="589"/>
      <c r="M359" s="589">
        <f t="shared" si="130"/>
        <v>121.66666666666667</v>
      </c>
      <c r="N359" s="589">
        <f t="shared" si="131"/>
        <v>154.46666666666667</v>
      </c>
      <c r="O359" s="589">
        <f t="shared" si="132"/>
        <v>116.96666666666665</v>
      </c>
      <c r="P359" s="584"/>
      <c r="Q359" s="589">
        <f t="shared" ref="Q359:S360" si="142">M359-M358</f>
        <v>0.43333333333332291</v>
      </c>
      <c r="R359" s="589">
        <f t="shared" si="142"/>
        <v>1.0999999999999943</v>
      </c>
      <c r="S359" s="589">
        <f t="shared" si="142"/>
        <v>-0.13333333333332575</v>
      </c>
      <c r="T359" s="589"/>
      <c r="U359" s="589">
        <f t="shared" si="133"/>
        <v>116.89999999999999</v>
      </c>
      <c r="V359" s="589">
        <f t="shared" si="134"/>
        <v>151.42857142857142</v>
      </c>
      <c r="W359" s="589">
        <f t="shared" si="135"/>
        <v>112.57142857142856</v>
      </c>
      <c r="X359" s="589"/>
      <c r="Y359" s="589">
        <f t="shared" ref="Y359:AA360" si="143">U359-U358</f>
        <v>1.1285714285714192</v>
      </c>
      <c r="Z359" s="589">
        <f t="shared" si="143"/>
        <v>0.8285714285714505</v>
      </c>
      <c r="AA359" s="590">
        <f t="shared" si="143"/>
        <v>1.571428571428541</v>
      </c>
    </row>
    <row r="360" spans="1:27" ht="17.25" customHeight="1">
      <c r="A360" s="778"/>
      <c r="B360" s="778"/>
      <c r="C360" s="779">
        <v>9</v>
      </c>
      <c r="D360" s="1205">
        <v>121.5</v>
      </c>
      <c r="E360" s="1205">
        <v>159.30000000000001</v>
      </c>
      <c r="F360" s="1205">
        <v>118.6</v>
      </c>
      <c r="G360" s="588"/>
      <c r="H360" s="588">
        <v>100</v>
      </c>
      <c r="I360" s="584">
        <f t="shared" si="127"/>
        <v>0.79999999999999716</v>
      </c>
      <c r="J360" s="584">
        <f t="shared" si="128"/>
        <v>4.5</v>
      </c>
      <c r="K360" s="584">
        <f t="shared" si="129"/>
        <v>1.7999999999999972</v>
      </c>
      <c r="L360" s="589"/>
      <c r="M360" s="589">
        <f t="shared" si="130"/>
        <v>121.7</v>
      </c>
      <c r="N360" s="589">
        <f t="shared" si="131"/>
        <v>157.23333333333332</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152.98571428571429</v>
      </c>
      <c r="W360" s="589">
        <f t="shared" si="135"/>
        <v>114.88571428571427</v>
      </c>
      <c r="X360" s="589"/>
      <c r="Y360" s="589">
        <f t="shared" si="143"/>
        <v>1.9000000000000057</v>
      </c>
      <c r="Z360" s="589">
        <f t="shared" si="143"/>
        <v>1.5571428571428783</v>
      </c>
      <c r="AA360" s="590">
        <f t="shared" si="143"/>
        <v>2.3142857142857167</v>
      </c>
    </row>
    <row r="361" spans="1:27" ht="17.25" customHeight="1">
      <c r="A361" s="778"/>
      <c r="B361" s="778"/>
      <c r="C361" s="779">
        <v>10</v>
      </c>
      <c r="D361" s="1205">
        <v>126.9</v>
      </c>
      <c r="E361" s="1205">
        <v>147.80000000000001</v>
      </c>
      <c r="F361" s="1205">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153.96666666666667</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152.75714285714284</v>
      </c>
      <c r="W361" s="589">
        <f t="shared" si="135"/>
        <v>115.97142857142856</v>
      </c>
      <c r="X361" s="589"/>
      <c r="Y361" s="589">
        <f t="shared" ref="Y361:AA362" si="145">U361-U360</f>
        <v>2.4000000000000057</v>
      </c>
      <c r="Z361" s="589">
        <f t="shared" si="145"/>
        <v>-0.22857142857145618</v>
      </c>
      <c r="AA361" s="590">
        <f t="shared" si="145"/>
        <v>1.085714285714289</v>
      </c>
    </row>
    <row r="362" spans="1:27" ht="17.25" customHeight="1">
      <c r="A362" s="778"/>
      <c r="B362" s="778"/>
      <c r="C362" s="779">
        <v>11</v>
      </c>
      <c r="D362" s="1205">
        <v>125.2</v>
      </c>
      <c r="E362" s="1205">
        <v>153.9</v>
      </c>
      <c r="F362" s="1205">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-0.30000000000001137</v>
      </c>
      <c r="S362" s="589">
        <f t="shared" si="144"/>
        <v>1.3000000000000114</v>
      </c>
      <c r="T362" s="589"/>
      <c r="U362" s="589">
        <f t="shared" si="133"/>
        <v>122.57142857142858</v>
      </c>
      <c r="V362" s="589">
        <f t="shared" si="134"/>
        <v>153.70000000000002</v>
      </c>
      <c r="W362" s="589">
        <f t="shared" si="135"/>
        <v>117.91428571428571</v>
      </c>
      <c r="X362" s="589"/>
      <c r="Y362" s="589">
        <f t="shared" si="145"/>
        <v>1.3714285714285808</v>
      </c>
      <c r="Z362" s="589">
        <f t="shared" si="145"/>
        <v>0.94285714285717859</v>
      </c>
      <c r="AA362" s="590">
        <f t="shared" si="145"/>
        <v>1.9428571428571502</v>
      </c>
    </row>
    <row r="363" spans="1:27" ht="17.25" customHeight="1">
      <c r="A363" s="778"/>
      <c r="B363" s="778"/>
      <c r="C363" s="779">
        <v>12</v>
      </c>
      <c r="D363" s="1209">
        <v>127.4</v>
      </c>
      <c r="E363" s="1209">
        <v>147.5</v>
      </c>
      <c r="F363" s="1209">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153.12857142857143</v>
      </c>
      <c r="W363" s="594">
        <f t="shared" si="135"/>
        <v>119.04285714285716</v>
      </c>
      <c r="X363" s="594"/>
      <c r="Y363" s="594">
        <f t="shared" ref="Y363:AA364" si="147">U363-U362</f>
        <v>1.1428571428571246</v>
      </c>
      <c r="Z363" s="594">
        <f t="shared" si="147"/>
        <v>-0.57142857142858361</v>
      </c>
      <c r="AA363" s="595">
        <f t="shared" si="147"/>
        <v>1.1285714285714477</v>
      </c>
    </row>
    <row r="364" spans="1:27" ht="17.25" customHeight="1">
      <c r="A364" s="479">
        <v>5</v>
      </c>
      <c r="B364" s="760">
        <v>23</v>
      </c>
      <c r="C364" s="957">
        <v>1</v>
      </c>
      <c r="D364" s="1211">
        <v>128.1</v>
      </c>
      <c r="E364" s="1211">
        <v>149.5</v>
      </c>
      <c r="F364" s="1211">
        <v>126</v>
      </c>
      <c r="G364" s="597"/>
      <c r="H364" s="582">
        <v>100</v>
      </c>
      <c r="I364" s="583">
        <f t="shared" si="127"/>
        <v>0.69999999999998863</v>
      </c>
      <c r="J364" s="583">
        <f t="shared" si="128"/>
        <v>2</v>
      </c>
      <c r="K364" s="583">
        <f t="shared" si="129"/>
        <v>0.90000000000000568</v>
      </c>
      <c r="L364" s="585"/>
      <c r="M364" s="585">
        <f t="shared" si="130"/>
        <v>126.90000000000002</v>
      </c>
      <c r="N364" s="585">
        <f t="shared" si="131"/>
        <v>150.29999999999998</v>
      </c>
      <c r="O364" s="585">
        <f t="shared" si="132"/>
        <v>123.93333333333334</v>
      </c>
      <c r="P364" s="583"/>
      <c r="Q364" s="585">
        <f t="shared" si="146"/>
        <v>0.4000000000000199</v>
      </c>
      <c r="R364" s="585">
        <f t="shared" si="146"/>
        <v>0.56666666666663446</v>
      </c>
      <c r="S364" s="585">
        <f t="shared" si="146"/>
        <v>2.6666666666666856</v>
      </c>
      <c r="T364" s="585"/>
      <c r="U364" s="585">
        <f t="shared" si="133"/>
        <v>124.67142857142858</v>
      </c>
      <c r="V364" s="585">
        <f t="shared" si="134"/>
        <v>152.91428571428574</v>
      </c>
      <c r="W364" s="585">
        <f t="shared" si="135"/>
        <v>120.82857142857144</v>
      </c>
      <c r="X364" s="585"/>
      <c r="Y364" s="585">
        <f t="shared" si="147"/>
        <v>0.95714285714286973</v>
      </c>
      <c r="Z364" s="585">
        <f t="shared" si="147"/>
        <v>-0.21428571428569398</v>
      </c>
      <c r="AA364" s="586">
        <f t="shared" si="147"/>
        <v>1.7857142857142776</v>
      </c>
    </row>
    <row r="365" spans="1:27" ht="17.25" customHeight="1">
      <c r="A365" s="778"/>
      <c r="B365" s="778"/>
      <c r="C365" s="779">
        <v>2</v>
      </c>
      <c r="D365" s="1211">
        <v>130.9</v>
      </c>
      <c r="E365" s="1211">
        <v>148.69999999999999</v>
      </c>
      <c r="F365" s="1211">
        <v>125.6</v>
      </c>
      <c r="G365" s="597"/>
      <c r="H365" s="588">
        <v>100</v>
      </c>
      <c r="I365" s="584">
        <f t="shared" si="127"/>
        <v>2.8000000000000114</v>
      </c>
      <c r="J365" s="584">
        <f t="shared" si="128"/>
        <v>-0.80000000000001137</v>
      </c>
      <c r="K365" s="584">
        <f t="shared" si="129"/>
        <v>-0.40000000000000568</v>
      </c>
      <c r="L365" s="589"/>
      <c r="M365" s="589">
        <f t="shared" si="130"/>
        <v>128.79999999999998</v>
      </c>
      <c r="N365" s="589">
        <f t="shared" si="131"/>
        <v>148.56666666666666</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151.64285714285714</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5">
        <v>124</v>
      </c>
      <c r="E366" s="1205">
        <v>144.80000000000001</v>
      </c>
      <c r="F366" s="1205">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147.66666666666666</v>
      </c>
      <c r="O366" s="589">
        <f t="shared" si="132"/>
        <v>125.10000000000001</v>
      </c>
      <c r="P366" s="584"/>
      <c r="Q366" s="589">
        <f t="shared" si="148"/>
        <v>-1.1333333333333115</v>
      </c>
      <c r="R366" s="589">
        <f t="shared" si="148"/>
        <v>-0.90000000000000568</v>
      </c>
      <c r="S366" s="589">
        <f t="shared" si="148"/>
        <v>-0.46666666666665435</v>
      </c>
      <c r="T366" s="589"/>
      <c r="U366" s="589">
        <f t="shared" si="133"/>
        <v>126.28571428571429</v>
      </c>
      <c r="V366" s="589">
        <f t="shared" si="134"/>
        <v>150.21428571428572</v>
      </c>
      <c r="W366" s="589">
        <f t="shared" si="135"/>
        <v>122.52857142857144</v>
      </c>
      <c r="X366" s="589"/>
      <c r="Y366" s="589">
        <f t="shared" si="149"/>
        <v>0.47142857142857508</v>
      </c>
      <c r="Z366" s="589">
        <f t="shared" si="149"/>
        <v>-1.4285714285714164</v>
      </c>
      <c r="AA366" s="590">
        <f t="shared" si="149"/>
        <v>0.98571428571430886</v>
      </c>
    </row>
    <row r="367" spans="1:27" ht="16.5" customHeight="1">
      <c r="A367" s="778"/>
      <c r="B367" s="778"/>
      <c r="C367" s="779">
        <v>4</v>
      </c>
      <c r="D367" s="1205">
        <v>130</v>
      </c>
      <c r="E367" s="1205">
        <v>141</v>
      </c>
      <c r="F367" s="1205">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-2.8333333333333144</v>
      </c>
      <c r="S367" s="589">
        <f t="shared" si="150"/>
        <v>-0.96666666666668277</v>
      </c>
      <c r="T367" s="589"/>
      <c r="U367" s="589">
        <f t="shared" si="133"/>
        <v>127.5</v>
      </c>
      <c r="V367" s="589">
        <f t="shared" si="134"/>
        <v>147.6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5">
        <v>130.1</v>
      </c>
      <c r="E368" s="1205">
        <v>139.30000000000001</v>
      </c>
      <c r="F368" s="1205">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146.38571428571427</v>
      </c>
      <c r="W368" s="589">
        <f t="shared" ref="W368:W384" si="157">AVERAGE(F362:F368)</f>
        <v>123.65714285714286</v>
      </c>
      <c r="X368" s="589"/>
      <c r="Y368" s="589">
        <f t="shared" si="151"/>
        <v>0.45714285714286973</v>
      </c>
      <c r="Z368" s="589">
        <f t="shared" si="151"/>
        <v>-1.2142857142857224</v>
      </c>
      <c r="AA368" s="590">
        <f t="shared" si="151"/>
        <v>0.48571428571428044</v>
      </c>
    </row>
    <row r="369" spans="1:28" ht="17.25" customHeight="1">
      <c r="A369" s="778"/>
      <c r="B369" s="778"/>
      <c r="C369" s="779">
        <v>6</v>
      </c>
      <c r="D369" s="1205">
        <v>139.80000000000001</v>
      </c>
      <c r="E369" s="1205">
        <v>140.6</v>
      </c>
      <c r="F369" s="1205">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144.48571428571429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13">
        <v>130.30000000000001</v>
      </c>
      <c r="E370" s="1205">
        <v>134.80000000000001</v>
      </c>
      <c r="F370" s="1205">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142.67142857142858</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13">
        <v>131.9</v>
      </c>
      <c r="E371" s="1205">
        <v>129.30000000000001</v>
      </c>
      <c r="F371" s="1205">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-2.8857142857143003</v>
      </c>
      <c r="AA371" s="590">
        <f t="shared" si="161"/>
        <v>2.8571428571424917E-2</v>
      </c>
    </row>
    <row r="372" spans="1:28" ht="17.25" customHeight="1">
      <c r="A372" s="778"/>
      <c r="B372" s="778"/>
      <c r="C372" s="779">
        <v>9</v>
      </c>
      <c r="D372" s="1213">
        <v>139</v>
      </c>
      <c r="E372" s="1205">
        <v>127.9</v>
      </c>
      <c r="F372" s="1205">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5">
        <v>135</v>
      </c>
      <c r="E373" s="1205">
        <v>127.7</v>
      </c>
      <c r="F373" s="1205">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5">
        <v>138</v>
      </c>
      <c r="E374" s="1205">
        <v>124.9</v>
      </c>
      <c r="F374" s="1205">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9">
        <v>138.30000000000001</v>
      </c>
      <c r="E375" s="1209">
        <v>127.9</v>
      </c>
      <c r="F375" s="1209">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11">
        <v>126.6</v>
      </c>
      <c r="E376" s="1211">
        <v>123.3</v>
      </c>
      <c r="F376" s="1211">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5">
        <v>124.6</v>
      </c>
      <c r="E377" s="1205">
        <v>128.19999999999999</v>
      </c>
      <c r="F377" s="1205">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5">
        <v>130.80000000000001</v>
      </c>
      <c r="E378" s="1205">
        <v>131.6</v>
      </c>
      <c r="F378" s="1205">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5">
        <v>136.80000000000001</v>
      </c>
      <c r="E379" s="1205">
        <v>135.1</v>
      </c>
      <c r="F379" s="1205">
        <v>121.5</v>
      </c>
      <c r="G379" s="588"/>
      <c r="H379" s="588">
        <v>100</v>
      </c>
      <c r="I379" s="584">
        <f t="shared" si="127"/>
        <v>6</v>
      </c>
      <c r="J379" s="584">
        <f t="shared" si="128"/>
        <v>3.5</v>
      </c>
      <c r="K379" s="584">
        <f t="shared" si="129"/>
        <v>-1.9000000000000057</v>
      </c>
      <c r="L379" s="589"/>
      <c r="M379" s="589">
        <f t="shared" si="152"/>
        <v>130.73333333333335</v>
      </c>
      <c r="N379" s="589">
        <f t="shared" si="153"/>
        <v>131.63333333333333</v>
      </c>
      <c r="O379" s="589">
        <f t="shared" si="154"/>
        <v>123.33333333333333</v>
      </c>
      <c r="P379" s="584"/>
      <c r="Q379" s="589">
        <f t="shared" si="164"/>
        <v>3.4000000000000199</v>
      </c>
      <c r="R379" s="589">
        <f t="shared" si="164"/>
        <v>3.9333333333333229</v>
      </c>
      <c r="S379" s="589">
        <f t="shared" si="164"/>
        <v>1.0999999999999801</v>
      </c>
      <c r="T379" s="589"/>
      <c r="U379" s="589">
        <f t="shared" si="155"/>
        <v>132.87142857142857</v>
      </c>
      <c r="V379" s="589">
        <f t="shared" si="156"/>
        <v>128.3857142857143</v>
      </c>
      <c r="W379" s="589">
        <f t="shared" si="157"/>
        <v>123.68571428571428</v>
      </c>
      <c r="X379" s="589"/>
      <c r="Y379" s="589">
        <f t="shared" si="165"/>
        <v>-0.31428571428571672</v>
      </c>
      <c r="Z379" s="589">
        <f t="shared" si="165"/>
        <v>1.0285714285714533</v>
      </c>
      <c r="AA379" s="590">
        <f t="shared" si="165"/>
        <v>-0.68571428571429749</v>
      </c>
    </row>
    <row r="380" spans="1:28" ht="16.5" customHeight="1">
      <c r="A380" s="778"/>
      <c r="B380" s="778"/>
      <c r="C380" s="779">
        <v>5</v>
      </c>
      <c r="D380" s="1205">
        <v>135.80000000000001</v>
      </c>
      <c r="E380" s="1205">
        <v>136.69999999999999</v>
      </c>
      <c r="F380" s="1205">
        <v>122.8</v>
      </c>
      <c r="G380" s="588"/>
      <c r="H380" s="588">
        <v>100</v>
      </c>
      <c r="I380" s="584">
        <f t="shared" si="127"/>
        <v>-1</v>
      </c>
      <c r="J380" s="584">
        <f t="shared" si="128"/>
        <v>1.5999999999999943</v>
      </c>
      <c r="K380" s="584">
        <f t="shared" si="129"/>
        <v>1.2999999999999972</v>
      </c>
      <c r="L380" s="589"/>
      <c r="M380" s="589">
        <f t="shared" si="152"/>
        <v>134.46666666666667</v>
      </c>
      <c r="N380" s="589">
        <f t="shared" si="153"/>
        <v>134.46666666666667</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129.67142857142858</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4"/>
      <c r="B381" s="778"/>
      <c r="C381" s="779">
        <v>6</v>
      </c>
      <c r="D381" s="1205">
        <v>134.80000000000001</v>
      </c>
      <c r="E381" s="1205">
        <v>135</v>
      </c>
      <c r="F381" s="1205">
        <v>126.7</v>
      </c>
      <c r="G381" s="588"/>
      <c r="H381" s="588">
        <v>100</v>
      </c>
      <c r="I381" s="584">
        <f t="shared" si="127"/>
        <v>-1</v>
      </c>
      <c r="J381" s="584">
        <f t="shared" si="128"/>
        <v>-1.6999999999999886</v>
      </c>
      <c r="K381" s="584">
        <f t="shared" si="129"/>
        <v>3.9000000000000057</v>
      </c>
      <c r="L381" s="1234"/>
      <c r="M381" s="589">
        <f t="shared" si="152"/>
        <v>135.80000000000001</v>
      </c>
      <c r="N381" s="589">
        <f t="shared" si="153"/>
        <v>135.6</v>
      </c>
      <c r="O381" s="589">
        <f t="shared" si="154"/>
        <v>123.66666666666667</v>
      </c>
      <c r="P381" s="1117"/>
      <c r="Q381" s="589">
        <f t="shared" si="166"/>
        <v>1.3333333333333428</v>
      </c>
      <c r="R381" s="589">
        <f t="shared" si="166"/>
        <v>1.1333333333333258</v>
      </c>
      <c r="S381" s="589">
        <f t="shared" si="166"/>
        <v>1.1000000000000085</v>
      </c>
      <c r="T381" s="589"/>
      <c r="U381" s="589">
        <f t="shared" si="155"/>
        <v>132.52857142857141</v>
      </c>
      <c r="V381" s="589">
        <f t="shared" si="156"/>
        <v>131.1142857142857</v>
      </c>
      <c r="W381" s="589">
        <f t="shared" si="157"/>
        <v>123.34285714285714</v>
      </c>
      <c r="X381" s="589"/>
      <c r="Y381" s="589">
        <f t="shared" si="167"/>
        <v>-0.45714285714285552</v>
      </c>
      <c r="Z381" s="589">
        <f t="shared" si="167"/>
        <v>1.4428571428571217</v>
      </c>
      <c r="AA381" s="590">
        <f t="shared" si="167"/>
        <v>0.45714285714286973</v>
      </c>
    </row>
    <row r="382" spans="1:28" s="365" customFormat="1" ht="17.25" customHeight="1">
      <c r="A382" s="1114"/>
      <c r="B382" s="778"/>
      <c r="C382" s="779">
        <v>7</v>
      </c>
      <c r="D382" s="1205">
        <v>137.4</v>
      </c>
      <c r="E382" s="1205">
        <v>130.5</v>
      </c>
      <c r="F382" s="1205">
        <v>119.5</v>
      </c>
      <c r="G382" s="588"/>
      <c r="H382" s="588">
        <v>100</v>
      </c>
      <c r="I382" s="584">
        <f t="shared" si="127"/>
        <v>2.5999999999999943</v>
      </c>
      <c r="J382" s="584">
        <f t="shared" si="128"/>
        <v>-4.5</v>
      </c>
      <c r="K382" s="584">
        <f t="shared" si="129"/>
        <v>-7.2000000000000028</v>
      </c>
      <c r="L382" s="1234"/>
      <c r="M382" s="589">
        <f t="shared" si="152"/>
        <v>136</v>
      </c>
      <c r="N382" s="589">
        <f t="shared" si="153"/>
        <v>134.06666666666666</v>
      </c>
      <c r="O382" s="589">
        <f t="shared" si="154"/>
        <v>123</v>
      </c>
      <c r="P382" s="1117"/>
      <c r="Q382" s="589">
        <f t="shared" ref="Q382:S383" si="168">M382-M381</f>
        <v>0.19999999999998863</v>
      </c>
      <c r="R382" s="589">
        <f t="shared" si="168"/>
        <v>-1.5333333333333314</v>
      </c>
      <c r="S382" s="589">
        <f t="shared" si="168"/>
        <v>-0.6666666666666714</v>
      </c>
      <c r="T382" s="589"/>
      <c r="U382" s="589">
        <f t="shared" si="155"/>
        <v>132.39999999999998</v>
      </c>
      <c r="V382" s="589">
        <f t="shared" si="156"/>
        <v>131.48571428571429</v>
      </c>
      <c r="W382" s="589">
        <f t="shared" si="157"/>
        <v>122.45714285714287</v>
      </c>
      <c r="X382" s="589"/>
      <c r="Y382" s="589">
        <f t="shared" ref="Y382:AA383" si="169">U382-U381</f>
        <v>-0.12857142857143344</v>
      </c>
      <c r="Z382" s="589">
        <f t="shared" si="169"/>
        <v>0.37142857142859498</v>
      </c>
      <c r="AA382" s="590">
        <f t="shared" si="169"/>
        <v>-0.88571428571427191</v>
      </c>
    </row>
    <row r="383" spans="1:28" ht="17.25" customHeight="1">
      <c r="A383" s="778"/>
      <c r="B383" s="1114"/>
      <c r="C383" s="779">
        <v>8</v>
      </c>
      <c r="D383" s="1205">
        <v>137.69999999999999</v>
      </c>
      <c r="E383" s="1205">
        <v>132.5</v>
      </c>
      <c r="F383" s="1205">
        <v>124.4</v>
      </c>
      <c r="G383" s="1105"/>
      <c r="H383" s="588">
        <v>100</v>
      </c>
      <c r="I383" s="584">
        <f t="shared" si="127"/>
        <v>0.29999999999998295</v>
      </c>
      <c r="J383" s="584">
        <f t="shared" si="128"/>
        <v>2</v>
      </c>
      <c r="K383" s="584">
        <f t="shared" si="129"/>
        <v>4.9000000000000057</v>
      </c>
      <c r="L383" s="589"/>
      <c r="M383" s="589">
        <f t="shared" si="152"/>
        <v>136.63333333333335</v>
      </c>
      <c r="N383" s="589">
        <f t="shared" si="153"/>
        <v>132.66666666666666</v>
      </c>
      <c r="O383" s="589">
        <f t="shared" si="154"/>
        <v>123.53333333333335</v>
      </c>
      <c r="P383" s="584"/>
      <c r="Q383" s="589">
        <f t="shared" si="168"/>
        <v>0.63333333333335418</v>
      </c>
      <c r="R383" s="589">
        <f t="shared" si="168"/>
        <v>-1.4000000000000057</v>
      </c>
      <c r="S383" s="589">
        <f t="shared" si="168"/>
        <v>0.53333333333334565</v>
      </c>
      <c r="T383" s="589"/>
      <c r="U383" s="589">
        <f t="shared" si="155"/>
        <v>133.98571428571427</v>
      </c>
      <c r="V383" s="589">
        <f t="shared" si="156"/>
        <v>132.79999999999998</v>
      </c>
      <c r="W383" s="589">
        <f t="shared" si="157"/>
        <v>123.34285714285714</v>
      </c>
      <c r="X383" s="589"/>
      <c r="Y383" s="589">
        <f t="shared" si="169"/>
        <v>1.585714285714289</v>
      </c>
      <c r="Z383" s="589">
        <f t="shared" si="169"/>
        <v>1.3142857142856883</v>
      </c>
      <c r="AA383" s="590">
        <f t="shared" si="169"/>
        <v>0.88571428571427191</v>
      </c>
    </row>
    <row r="384" spans="1:28" ht="17.25" customHeight="1">
      <c r="A384" s="778"/>
      <c r="B384" s="1114"/>
      <c r="C384" s="779">
        <v>9</v>
      </c>
      <c r="D384" s="1205">
        <v>140.4</v>
      </c>
      <c r="E384" s="1205">
        <v>137.30000000000001</v>
      </c>
      <c r="F384" s="1205">
        <v>122.8</v>
      </c>
      <c r="G384" s="1105"/>
      <c r="H384" s="588">
        <v>100</v>
      </c>
      <c r="I384" s="584">
        <f t="shared" si="127"/>
        <v>2.7000000000000171</v>
      </c>
      <c r="J384" s="584">
        <f t="shared" si="128"/>
        <v>4.8000000000000114</v>
      </c>
      <c r="K384" s="584">
        <f t="shared" si="129"/>
        <v>-1.6000000000000085</v>
      </c>
      <c r="L384" s="589"/>
      <c r="M384" s="589">
        <f t="shared" si="152"/>
        <v>138.5</v>
      </c>
      <c r="N384" s="589">
        <f t="shared" si="153"/>
        <v>133.43333333333334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134.1</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4"/>
      <c r="C385" s="779">
        <v>10</v>
      </c>
      <c r="D385" s="1205">
        <v>140.80000000000001</v>
      </c>
      <c r="E385" s="1205">
        <v>146.9</v>
      </c>
      <c r="F385" s="1205">
        <v>123.2</v>
      </c>
      <c r="G385" s="1105"/>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138.9</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136.28571428571428</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4"/>
      <c r="C386" s="779">
        <v>11</v>
      </c>
      <c r="D386" s="1205">
        <v>140.1</v>
      </c>
      <c r="E386" s="1205">
        <v>140.4</v>
      </c>
      <c r="F386" s="1205">
        <v>128.9</v>
      </c>
      <c r="G386" s="1105"/>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2.6333333333333258</v>
      </c>
      <c r="S386" s="589">
        <f t="shared" si="175"/>
        <v>1.5</v>
      </c>
      <c r="T386" s="589"/>
      <c r="U386" s="589">
        <f t="shared" si="174"/>
        <v>138.14285714285717</v>
      </c>
      <c r="V386" s="589">
        <f t="shared" si="174"/>
        <v>137.04285714285714</v>
      </c>
      <c r="W386" s="589">
        <f t="shared" si="174"/>
        <v>124.04285714285713</v>
      </c>
      <c r="X386" s="589"/>
      <c r="Y386" s="589">
        <f t="shared" ref="Y386:Z388" si="176">U386-U385</f>
        <v>0.47142857142858929</v>
      </c>
      <c r="Z386" s="589">
        <f t="shared" si="176"/>
        <v>0.75714285714286689</v>
      </c>
      <c r="AA386" s="590">
        <f t="shared" si="171"/>
        <v>1.0571428571428498</v>
      </c>
    </row>
    <row r="387" spans="1:27" ht="17.25" customHeight="1">
      <c r="A387" s="870"/>
      <c r="B387" s="870"/>
      <c r="C387" s="779">
        <v>12</v>
      </c>
      <c r="D387" s="592">
        <v>141.1</v>
      </c>
      <c r="E387" s="592">
        <v>138.69999999999999</v>
      </c>
      <c r="F387" s="592">
        <v>127.1</v>
      </c>
      <c r="G387" s="592"/>
      <c r="H387" s="592">
        <v>100</v>
      </c>
      <c r="I387" s="593">
        <f t="shared" ref="I387:K388" si="177">D387-D386</f>
        <v>1</v>
      </c>
      <c r="J387" s="593">
        <f t="shared" si="177"/>
        <v>-1.7000000000000171</v>
      </c>
      <c r="K387" s="593">
        <f t="shared" si="177"/>
        <v>-1.8000000000000114</v>
      </c>
      <c r="L387" s="593"/>
      <c r="M387" s="594">
        <f t="shared" ref="M387:O389" si="178">AVERAGE(D385:D387)</f>
        <v>140.66666666666666</v>
      </c>
      <c r="N387" s="594">
        <f t="shared" si="178"/>
        <v>142</v>
      </c>
      <c r="O387" s="594">
        <f t="shared" si="178"/>
        <v>126.40000000000002</v>
      </c>
      <c r="P387" s="593"/>
      <c r="Q387" s="594">
        <f t="shared" si="175"/>
        <v>0.23333333333329165</v>
      </c>
      <c r="R387" s="594">
        <f t="shared" si="175"/>
        <v>0.46666666666666856</v>
      </c>
      <c r="S387" s="594">
        <f t="shared" si="175"/>
        <v>1.4333333333333655</v>
      </c>
      <c r="T387" s="594"/>
      <c r="U387" s="594">
        <f t="shared" ref="U387:W388" si="179">AVERAGE(D381:D387)</f>
        <v>138.90000000000003</v>
      </c>
      <c r="V387" s="594">
        <f t="shared" si="179"/>
        <v>137.32857142857142</v>
      </c>
      <c r="W387" s="594">
        <f t="shared" si="179"/>
        <v>124.65714285714286</v>
      </c>
      <c r="X387" s="594"/>
      <c r="Y387" s="594">
        <f t="shared" si="176"/>
        <v>0.75714285714286689</v>
      </c>
      <c r="Z387" s="594">
        <f t="shared" si="176"/>
        <v>0.28571428571427759</v>
      </c>
      <c r="AA387" s="595">
        <f>W387-W386</f>
        <v>0.61428571428572809</v>
      </c>
    </row>
    <row r="388" spans="1:27" ht="17.25" customHeight="1">
      <c r="A388" s="479">
        <v>7</v>
      </c>
      <c r="B388" s="760">
        <v>25</v>
      </c>
      <c r="C388" s="957">
        <v>1</v>
      </c>
      <c r="D388" s="597">
        <v>146.30000000000001</v>
      </c>
      <c r="E388" s="597">
        <v>146.4</v>
      </c>
      <c r="F388" s="597">
        <v>128.5</v>
      </c>
      <c r="G388" s="597"/>
      <c r="H388" s="582">
        <v>100</v>
      </c>
      <c r="I388" s="583">
        <f t="shared" si="177"/>
        <v>5.2000000000000171</v>
      </c>
      <c r="J388" s="583">
        <f t="shared" si="177"/>
        <v>7.7000000000000171</v>
      </c>
      <c r="K388" s="583">
        <f t="shared" si="177"/>
        <v>1.4000000000000057</v>
      </c>
      <c r="L388" s="583"/>
      <c r="M388" s="585">
        <f t="shared" si="178"/>
        <v>142.5</v>
      </c>
      <c r="N388" s="585">
        <f t="shared" si="178"/>
        <v>141.83333333333334</v>
      </c>
      <c r="O388" s="585">
        <f t="shared" si="178"/>
        <v>128.16666666666666</v>
      </c>
      <c r="P388" s="583"/>
      <c r="Q388" s="585">
        <f t="shared" si="175"/>
        <v>1.8333333333333428</v>
      </c>
      <c r="R388" s="585">
        <f t="shared" si="175"/>
        <v>-0.16666666666665719</v>
      </c>
      <c r="S388" s="585">
        <f t="shared" si="175"/>
        <v>1.7666666666666373</v>
      </c>
      <c r="T388" s="585"/>
      <c r="U388" s="585">
        <f t="shared" si="179"/>
        <v>140.54285714285714</v>
      </c>
      <c r="V388" s="585">
        <f t="shared" si="179"/>
        <v>138.95714285714286</v>
      </c>
      <c r="W388" s="585">
        <f t="shared" si="179"/>
        <v>124.91428571428571</v>
      </c>
      <c r="X388" s="585"/>
      <c r="Y388" s="585">
        <f t="shared" si="176"/>
        <v>1.6428571428571104</v>
      </c>
      <c r="Z388" s="585">
        <f t="shared" si="176"/>
        <v>1.6285714285714334</v>
      </c>
      <c r="AA388" s="586">
        <f>W388-W387</f>
        <v>0.25714285714285268</v>
      </c>
    </row>
    <row r="389" spans="1:27" ht="17.25" customHeight="1">
      <c r="A389" s="877"/>
      <c r="B389" s="877"/>
      <c r="C389" s="779">
        <v>2</v>
      </c>
      <c r="D389" s="602">
        <v>147.5</v>
      </c>
      <c r="E389" s="602">
        <v>148.1</v>
      </c>
      <c r="F389" s="602">
        <v>127.8</v>
      </c>
      <c r="G389" s="602"/>
      <c r="H389" s="602">
        <v>100</v>
      </c>
      <c r="I389" s="603">
        <f t="shared" ref="I389:K392" si="180">D389-D388</f>
        <v>1.1999999999999886</v>
      </c>
      <c r="J389" s="603">
        <f t="shared" si="180"/>
        <v>1.6999999999999886</v>
      </c>
      <c r="K389" s="603">
        <f t="shared" si="180"/>
        <v>-0.70000000000000284</v>
      </c>
      <c r="L389" s="603"/>
      <c r="M389" s="589">
        <f t="shared" si="178"/>
        <v>144.96666666666667</v>
      </c>
      <c r="N389" s="589">
        <f t="shared" si="178"/>
        <v>144.4</v>
      </c>
      <c r="O389" s="589">
        <f t="shared" si="178"/>
        <v>127.8</v>
      </c>
      <c r="P389" s="603"/>
      <c r="Q389" s="604">
        <f t="shared" ref="Q389:Q396" si="181">M389-M388</f>
        <v>2.4666666666666686</v>
      </c>
      <c r="R389" s="604">
        <f t="shared" ref="R389:R396" si="182">N389-N388</f>
        <v>2.5666666666666629</v>
      </c>
      <c r="S389" s="604">
        <f t="shared" ref="S389:S396" si="183">O389-O388</f>
        <v>-0.36666666666666003</v>
      </c>
      <c r="T389" s="604"/>
      <c r="U389" s="604">
        <f t="shared" ref="U389:W390" si="184">AVERAGE(D383:D389)</f>
        <v>141.98571428571429</v>
      </c>
      <c r="V389" s="604">
        <f t="shared" si="184"/>
        <v>141.47142857142856</v>
      </c>
      <c r="W389" s="604">
        <f t="shared" si="184"/>
        <v>126.1</v>
      </c>
      <c r="X389" s="604"/>
      <c r="Y389" s="604">
        <f t="shared" ref="Y389:Y396" si="185">U389-U388</f>
        <v>1.4428571428571502</v>
      </c>
      <c r="Z389" s="604">
        <f t="shared" ref="Z389:Z396" si="186">V389-V388</f>
        <v>2.5142857142857054</v>
      </c>
      <c r="AA389" s="605">
        <f t="shared" ref="AA389:AA396" si="187">W389-W388</f>
        <v>1.1857142857142833</v>
      </c>
    </row>
    <row r="390" spans="1:27" s="365" customFormat="1" ht="17.25" customHeight="1">
      <c r="A390" s="1276"/>
      <c r="B390" s="1276"/>
      <c r="C390" s="1277">
        <v>3</v>
      </c>
      <c r="D390" s="1278">
        <v>145.30000000000001</v>
      </c>
      <c r="E390" s="1278">
        <v>153.5</v>
      </c>
      <c r="F390" s="1278">
        <v>127.7</v>
      </c>
      <c r="G390" s="1278"/>
      <c r="H390" s="1278">
        <v>100</v>
      </c>
      <c r="I390" s="1279">
        <f t="shared" si="180"/>
        <v>-2.1999999999999886</v>
      </c>
      <c r="J390" s="1279">
        <f t="shared" si="180"/>
        <v>5.4000000000000057</v>
      </c>
      <c r="K390" s="1279">
        <f t="shared" si="180"/>
        <v>-9.9999999999994316E-2</v>
      </c>
      <c r="L390" s="1279"/>
      <c r="M390" s="1234">
        <f t="shared" ref="M390:O391" si="188">AVERAGE(D388:D390)</f>
        <v>146.36666666666667</v>
      </c>
      <c r="N390" s="1234">
        <f t="shared" si="188"/>
        <v>149.33333333333334</v>
      </c>
      <c r="O390" s="1234">
        <f t="shared" si="188"/>
        <v>128</v>
      </c>
      <c r="P390" s="1279"/>
      <c r="Q390" s="1280">
        <f t="shared" si="181"/>
        <v>1.4000000000000057</v>
      </c>
      <c r="R390" s="1280">
        <f t="shared" si="182"/>
        <v>4.9333333333333371</v>
      </c>
      <c r="S390" s="1280">
        <f t="shared" si="183"/>
        <v>0.20000000000000284</v>
      </c>
      <c r="T390" s="1280"/>
      <c r="U390" s="604">
        <f t="shared" si="184"/>
        <v>143.07142857142858</v>
      </c>
      <c r="V390" s="604">
        <f t="shared" si="184"/>
        <v>144.47142857142856</v>
      </c>
      <c r="W390" s="604">
        <f t="shared" si="184"/>
        <v>126.57142857142857</v>
      </c>
      <c r="X390" s="1280"/>
      <c r="Y390" s="1280">
        <f t="shared" si="185"/>
        <v>1.085714285714289</v>
      </c>
      <c r="Z390" s="1280">
        <f t="shared" si="186"/>
        <v>3</v>
      </c>
      <c r="AA390" s="1281">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4">
        <f t="shared" si="188"/>
        <v>147.73333333333335</v>
      </c>
      <c r="N391" s="1234">
        <f t="shared" si="188"/>
        <v>146.80000000000001</v>
      </c>
      <c r="O391" s="1234">
        <f t="shared" si="188"/>
        <v>126.93333333333334</v>
      </c>
      <c r="P391" s="1279"/>
      <c r="Q391" s="1280">
        <f>M391-M390</f>
        <v>1.3666666666666742</v>
      </c>
      <c r="R391" s="1280">
        <f>N391-N390</f>
        <v>-2.5333333333333314</v>
      </c>
      <c r="S391" s="1280">
        <f>O391-O390</f>
        <v>-1.0666666666666629</v>
      </c>
      <c r="T391" s="1280"/>
      <c r="U391" s="604">
        <f t="shared" ref="U391:W392" si="189">AVERAGE(D385:D391)</f>
        <v>144.49999999999997</v>
      </c>
      <c r="V391" s="604">
        <f t="shared" si="189"/>
        <v>144.68571428571428</v>
      </c>
      <c r="W391" s="604">
        <f t="shared" si="189"/>
        <v>126.92857142857143</v>
      </c>
      <c r="X391" s="1280"/>
      <c r="Y391" s="1280">
        <f>U391-U390</f>
        <v>1.428571428571388</v>
      </c>
      <c r="Z391" s="1280">
        <f>V391-V390</f>
        <v>0.21428571428572241</v>
      </c>
      <c r="AA391" s="1281">
        <f>W391-W390</f>
        <v>0.3571428571428612</v>
      </c>
    </row>
    <row r="392" spans="1:27" ht="17.25" customHeight="1">
      <c r="A392" s="877"/>
      <c r="B392" s="877"/>
      <c r="C392" s="1197">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4">
        <f t="shared" ref="M392:O393" si="190">AVERAGE(D390:D392)</f>
        <v>145.63333333333335</v>
      </c>
      <c r="N392" s="1234">
        <f t="shared" si="190"/>
        <v>144.43333333333334</v>
      </c>
      <c r="O392" s="1234">
        <f t="shared" si="190"/>
        <v>125.63333333333333</v>
      </c>
      <c r="P392" s="603"/>
      <c r="Q392" s="604">
        <f t="shared" si="181"/>
        <v>-2.0999999999999943</v>
      </c>
      <c r="R392" s="604">
        <f t="shared" si="182"/>
        <v>-2.3666666666666742</v>
      </c>
      <c r="S392" s="604">
        <f t="shared" si="183"/>
        <v>-1.3000000000000114</v>
      </c>
      <c r="T392" s="604"/>
      <c r="U392" s="604">
        <f t="shared" si="189"/>
        <v>144.55714285714285</v>
      </c>
      <c r="V392" s="604">
        <f t="shared" si="189"/>
        <v>143.84285714285716</v>
      </c>
      <c r="W392" s="604">
        <f t="shared" si="189"/>
        <v>127.02857142857142</v>
      </c>
      <c r="X392" s="604"/>
      <c r="Y392" s="604">
        <f t="shared" si="185"/>
        <v>5.7142857142878256E-2</v>
      </c>
      <c r="Z392" s="604">
        <f t="shared" si="186"/>
        <v>-0.84285714285712743</v>
      </c>
      <c r="AA392" s="605">
        <f t="shared" si="187"/>
        <v>9.9999999999994316E-2</v>
      </c>
    </row>
    <row r="393" spans="1:27" ht="17.25" customHeight="1">
      <c r="A393" s="877"/>
      <c r="B393" s="877"/>
      <c r="C393" s="1197">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4">
        <f t="shared" si="190"/>
        <v>149.1</v>
      </c>
      <c r="N393" s="1234">
        <f t="shared" si="190"/>
        <v>140.36666666666667</v>
      </c>
      <c r="O393" s="1234">
        <f t="shared" si="190"/>
        <v>124.36666666666667</v>
      </c>
      <c r="P393" s="603"/>
      <c r="Q393" s="604">
        <f t="shared" si="181"/>
        <v>3.4666666666666401</v>
      </c>
      <c r="R393" s="604">
        <f t="shared" si="182"/>
        <v>-4.0666666666666629</v>
      </c>
      <c r="S393" s="604">
        <f t="shared" si="183"/>
        <v>-1.2666666666666515</v>
      </c>
      <c r="T393" s="604"/>
      <c r="U393" s="604">
        <f t="shared" ref="U393:W394" si="192">AVERAGE(D387:D393)</f>
        <v>146.78571428571428</v>
      </c>
      <c r="V393" s="604">
        <f t="shared" si="192"/>
        <v>143.97142857142856</v>
      </c>
      <c r="W393" s="604">
        <f t="shared" si="192"/>
        <v>126.3142857142857</v>
      </c>
      <c r="X393" s="604"/>
      <c r="Y393" s="604">
        <f t="shared" si="185"/>
        <v>2.2285714285714278</v>
      </c>
      <c r="Z393" s="604">
        <f t="shared" si="186"/>
        <v>0.12857142857140502</v>
      </c>
      <c r="AA393" s="605">
        <f t="shared" si="187"/>
        <v>-0.71428571428572241</v>
      </c>
    </row>
    <row r="394" spans="1:27" ht="17.25" customHeight="1">
      <c r="A394" s="877"/>
      <c r="B394" s="877"/>
      <c r="C394" s="1197">
        <v>7</v>
      </c>
      <c r="D394" s="602">
        <v>148.9</v>
      </c>
      <c r="E394" s="602">
        <v>133.5</v>
      </c>
      <c r="F394" s="602">
        <v>125.1</v>
      </c>
      <c r="G394" s="602"/>
      <c r="H394" s="602">
        <v>100</v>
      </c>
      <c r="I394" s="603">
        <f t="shared" si="191"/>
        <v>-6.7999999999999829</v>
      </c>
      <c r="J394" s="603">
        <f t="shared" si="191"/>
        <v>-7.8000000000000114</v>
      </c>
      <c r="K394" s="603">
        <f t="shared" si="191"/>
        <v>1.1999999999999886</v>
      </c>
      <c r="L394" s="603"/>
      <c r="M394" s="1234">
        <f t="shared" ref="M394" si="193">AVERAGE(D392:D394)</f>
        <v>148.6</v>
      </c>
      <c r="N394" s="1234">
        <f t="shared" ref="N394" si="194">AVERAGE(E392:E394)</f>
        <v>138.6</v>
      </c>
      <c r="O394" s="1234">
        <f t="shared" ref="O394" si="195">AVERAGE(F392:F394)</f>
        <v>124.3</v>
      </c>
      <c r="P394" s="603"/>
      <c r="Q394" s="604">
        <f t="shared" si="181"/>
        <v>-0.5</v>
      </c>
      <c r="R394" s="604">
        <f t="shared" si="182"/>
        <v>-1.7666666666666799</v>
      </c>
      <c r="S394" s="604">
        <f t="shared" si="183"/>
        <v>-6.6666666666677088E-2</v>
      </c>
      <c r="T394" s="604"/>
      <c r="U394" s="604">
        <f t="shared" si="192"/>
        <v>147.90000000000003</v>
      </c>
      <c r="V394" s="604">
        <f t="shared" si="192"/>
        <v>143.22857142857143</v>
      </c>
      <c r="W394" s="604">
        <f t="shared" si="192"/>
        <v>126.02857142857144</v>
      </c>
      <c r="X394" s="604"/>
      <c r="Y394" s="604">
        <f t="shared" si="185"/>
        <v>1.1142857142857565</v>
      </c>
      <c r="Z394" s="604">
        <f t="shared" si="186"/>
        <v>-0.74285714285713311</v>
      </c>
      <c r="AA394" s="605">
        <f t="shared" si="187"/>
        <v>-0.28571428571426338</v>
      </c>
    </row>
    <row r="395" spans="1:27" ht="17.25" customHeight="1">
      <c r="A395" s="877"/>
      <c r="B395" s="877"/>
      <c r="C395" s="1197">
        <v>8</v>
      </c>
      <c r="D395" s="602">
        <v>146.6</v>
      </c>
      <c r="E395" s="602">
        <v>131.5</v>
      </c>
      <c r="F395" s="602">
        <v>118.6</v>
      </c>
      <c r="G395" s="602"/>
      <c r="H395" s="602">
        <v>100</v>
      </c>
      <c r="I395" s="603">
        <f t="shared" si="191"/>
        <v>-2.3000000000000114</v>
      </c>
      <c r="J395" s="603">
        <f t="shared" si="191"/>
        <v>-2</v>
      </c>
      <c r="K395" s="603">
        <f t="shared" si="191"/>
        <v>-6.5</v>
      </c>
      <c r="L395" s="603"/>
      <c r="M395" s="1234">
        <f t="shared" ref="M395:O396" si="196">AVERAGE(D393:D395)</f>
        <v>150.4</v>
      </c>
      <c r="N395" s="1234">
        <f t="shared" si="196"/>
        <v>135.43333333333334</v>
      </c>
      <c r="O395" s="1234">
        <f t="shared" si="196"/>
        <v>122.53333333333335</v>
      </c>
      <c r="P395" s="603"/>
      <c r="Q395" s="604">
        <f t="shared" si="181"/>
        <v>1.8000000000000114</v>
      </c>
      <c r="R395" s="604">
        <f t="shared" si="182"/>
        <v>-3.1666666666666572</v>
      </c>
      <c r="S395" s="604">
        <f t="shared" si="183"/>
        <v>-1.7666666666666515</v>
      </c>
      <c r="T395" s="604"/>
      <c r="U395" s="604">
        <f t="shared" ref="U395:W396" si="197">AVERAGE(D389:D395)</f>
        <v>147.94285714285715</v>
      </c>
      <c r="V395" s="604">
        <f t="shared" si="197"/>
        <v>141.1</v>
      </c>
      <c r="W395" s="604">
        <f t="shared" si="197"/>
        <v>124.61428571428573</v>
      </c>
      <c r="X395" s="604"/>
      <c r="Y395" s="604">
        <f t="shared" si="185"/>
        <v>4.285714285711606E-2</v>
      </c>
      <c r="Z395" s="604">
        <f t="shared" si="186"/>
        <v>-2.1285714285714334</v>
      </c>
      <c r="AA395" s="605">
        <f t="shared" si="187"/>
        <v>-1.414285714285711</v>
      </c>
    </row>
    <row r="396" spans="1:27" ht="17.25" customHeight="1">
      <c r="A396" s="877"/>
      <c r="B396" s="877"/>
      <c r="C396" s="1197">
        <v>9</v>
      </c>
      <c r="D396" s="602">
        <v>150.9</v>
      </c>
      <c r="E396" s="602">
        <v>132.1</v>
      </c>
      <c r="F396" s="602">
        <v>119.8</v>
      </c>
      <c r="G396" s="602"/>
      <c r="H396" s="602">
        <v>100</v>
      </c>
      <c r="I396" s="603">
        <f t="shared" si="191"/>
        <v>4.3000000000000114</v>
      </c>
      <c r="J396" s="603">
        <f t="shared" si="191"/>
        <v>0.59999999999999432</v>
      </c>
      <c r="K396" s="603">
        <f t="shared" si="191"/>
        <v>1.2000000000000028</v>
      </c>
      <c r="L396" s="603"/>
      <c r="M396" s="1234">
        <f t="shared" si="196"/>
        <v>148.79999999999998</v>
      </c>
      <c r="N396" s="1234">
        <f t="shared" si="196"/>
        <v>132.36666666666667</v>
      </c>
      <c r="O396" s="1234">
        <f t="shared" si="196"/>
        <v>121.16666666666667</v>
      </c>
      <c r="P396" s="603"/>
      <c r="Q396" s="604">
        <f t="shared" si="181"/>
        <v>-1.6000000000000227</v>
      </c>
      <c r="R396" s="604">
        <f t="shared" si="182"/>
        <v>-3.0666666666666629</v>
      </c>
      <c r="S396" s="604">
        <f t="shared" si="183"/>
        <v>-1.3666666666666742</v>
      </c>
      <c r="T396" s="604"/>
      <c r="U396" s="604">
        <f t="shared" si="197"/>
        <v>148.42857142857142</v>
      </c>
      <c r="V396" s="604">
        <f t="shared" si="197"/>
        <v>138.81428571428572</v>
      </c>
      <c r="W396" s="604">
        <f t="shared" si="197"/>
        <v>123.47142857142856</v>
      </c>
      <c r="X396" s="604"/>
      <c r="Y396" s="604">
        <f t="shared" si="185"/>
        <v>0.48571428571426623</v>
      </c>
      <c r="Z396" s="604">
        <f t="shared" si="186"/>
        <v>-2.2857142857142776</v>
      </c>
      <c r="AA396" s="605">
        <f t="shared" si="187"/>
        <v>-1.1428571428571672</v>
      </c>
    </row>
    <row r="397" spans="1:27" ht="17.25" customHeight="1">
      <c r="A397" s="877"/>
      <c r="B397" s="877"/>
      <c r="C397" s="1197">
        <v>10</v>
      </c>
      <c r="D397" s="602"/>
      <c r="E397" s="602"/>
      <c r="F397" s="602"/>
      <c r="G397" s="602"/>
      <c r="H397" s="602">
        <v>100</v>
      </c>
      <c r="I397" s="603"/>
      <c r="J397" s="603"/>
      <c r="K397" s="603"/>
      <c r="L397" s="603"/>
      <c r="M397" s="603"/>
      <c r="N397" s="603"/>
      <c r="O397" s="603"/>
      <c r="P397" s="603"/>
      <c r="Q397" s="604"/>
      <c r="R397" s="604"/>
      <c r="S397" s="604"/>
      <c r="T397" s="604"/>
      <c r="U397" s="604"/>
      <c r="V397" s="604"/>
      <c r="W397" s="604"/>
      <c r="X397" s="604"/>
      <c r="Y397" s="604"/>
      <c r="Z397" s="604"/>
      <c r="AA397" s="605"/>
    </row>
    <row r="398" spans="1:27" ht="17.25" customHeight="1">
      <c r="A398" s="877"/>
      <c r="B398" s="877"/>
      <c r="C398" s="1197">
        <v>11</v>
      </c>
      <c r="D398" s="602"/>
      <c r="E398" s="602"/>
      <c r="F398" s="602"/>
      <c r="G398" s="602"/>
      <c r="H398" s="602">
        <v>100</v>
      </c>
      <c r="I398" s="603"/>
      <c r="J398" s="603"/>
      <c r="K398" s="603"/>
      <c r="L398" s="603"/>
      <c r="M398" s="603"/>
      <c r="N398" s="603"/>
      <c r="O398" s="603"/>
      <c r="P398" s="603"/>
      <c r="Q398" s="604"/>
      <c r="R398" s="604"/>
      <c r="S398" s="604"/>
      <c r="T398" s="604"/>
      <c r="U398" s="604"/>
      <c r="V398" s="604"/>
      <c r="W398" s="604"/>
      <c r="X398" s="604"/>
      <c r="Y398" s="604"/>
      <c r="Z398" s="604"/>
      <c r="AA398" s="605"/>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t="e">
        <f>AVERAGE(D398:D400)</f>
        <v>#DIV/0!</v>
      </c>
      <c r="N400" s="585" t="e">
        <f>AVERAGE(E398:E400)</f>
        <v>#DIV/0!</v>
      </c>
      <c r="O400" s="585" t="e">
        <f>AVERAGE(F398:F400)</f>
        <v>#DIV/0!</v>
      </c>
      <c r="P400" s="583"/>
      <c r="Q400" s="585" t="e">
        <f>M400-M399</f>
        <v>#DIV/0!</v>
      </c>
      <c r="R400" s="585" t="e">
        <f>N400-N399</f>
        <v>#DIV/0!</v>
      </c>
      <c r="S400" s="585" t="e">
        <f>O400-O399</f>
        <v>#DIV/0!</v>
      </c>
      <c r="T400" s="585"/>
      <c r="U400" s="585">
        <f>AVERAGE(D394:D400)</f>
        <v>148.79999999999998</v>
      </c>
      <c r="V400" s="585">
        <f>AVERAGE(E394:E400)</f>
        <v>132.36666666666667</v>
      </c>
      <c r="W400" s="585">
        <f>AVERAGE(F394:F400)</f>
        <v>121.16666666666667</v>
      </c>
      <c r="X400" s="585"/>
      <c r="Y400" s="585">
        <f>U400-U399</f>
        <v>148.79999999999998</v>
      </c>
      <c r="Z400" s="585">
        <f>V400-V399</f>
        <v>132.36666666666667</v>
      </c>
      <c r="AA400" s="586">
        <f>W400-W399</f>
        <v>121.16666666666667</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92"/>
      <c r="U403" s="306"/>
      <c r="V403" s="306"/>
      <c r="W403" s="306"/>
      <c r="X403" s="306"/>
      <c r="Y403" s="306"/>
      <c r="Z403" s="306"/>
      <c r="AA403" s="307"/>
    </row>
    <row r="404" spans="1:27" s="322" customFormat="1" ht="17.100000000000001" customHeight="1" thickBot="1">
      <c r="A404" s="1745" t="s">
        <v>312</v>
      </c>
      <c r="B404" s="1744"/>
      <c r="C404" s="1746"/>
      <c r="D404" s="759">
        <f ca="1">INDIRECT("D"&amp;(初期登録!$B$10+30)*12+初期登録!$D$10+5-67)</f>
        <v>150.4</v>
      </c>
      <c r="E404" s="314">
        <f ca="1">INDIRECT("E"&amp;(初期登録!$B$10+30)*12+初期登録!$D$10+5-67)</f>
        <v>138.80000000000001</v>
      </c>
      <c r="F404" s="314">
        <f ca="1">INDIRECT("F"&amp;(初期登録!$B$10+30)*12+初期登録!$D$10+5-67)</f>
        <v>125.3</v>
      </c>
      <c r="G404" s="337"/>
      <c r="H404" s="337"/>
      <c r="I404" s="315">
        <f ca="1">INDIRECT("I"&amp;(初期登録!$B$10+30)*12+初期登録!$D$10+5-67)</f>
        <v>5.0999999999999943</v>
      </c>
      <c r="J404" s="315">
        <f ca="1">INDIRECT("J"&amp;(初期登録!$B$10+30)*12+初期登録!$D$10+5-67)</f>
        <v>-14.699999999999989</v>
      </c>
      <c r="K404" s="315">
        <f ca="1">INDIRECT("K"&amp;(初期登録!$B$10+30)*12+初期登録!$D$10+5-67)</f>
        <v>-2.4000000000000057</v>
      </c>
      <c r="M404" s="314">
        <f ca="1">INDIRECT("M"&amp;(初期登録!$B$10+30)*12+初期登録!$D$10+5-67)</f>
        <v>147.73333333333335</v>
      </c>
      <c r="N404" s="314">
        <f ca="1">INDIRECT("N"&amp;(初期登録!$B$10+30)*12+初期登録!$D$10+5-67)</f>
        <v>146.80000000000001</v>
      </c>
      <c r="O404" s="314">
        <f ca="1">INDIRECT("O"&amp;(初期登録!$B$10+30)*12+初期登録!$D$10+5-67)</f>
        <v>126.93333333333334</v>
      </c>
      <c r="P404" s="377"/>
      <c r="Q404" s="315">
        <f ca="1">INDIRECT("Q"&amp;(初期登録!$B$10+30)*12+初期登録!$D$10+5-67)</f>
        <v>1.3666666666666742</v>
      </c>
      <c r="R404" s="315">
        <f ca="1">INDIRECT("R"&amp;(初期登録!$B$10+30)*12+初期登録!$D$10+5-67)</f>
        <v>-2.5333333333333314</v>
      </c>
      <c r="S404" s="315">
        <f ca="1">INDIRECT("S"&amp;(初期登録!$B$10+30)*12+初期登録!$D$10+5-67)</f>
        <v>-1.0666666666666629</v>
      </c>
      <c r="T404" s="1227">
        <f t="shared" ref="T404:T409" si="198">AVERAGE(D371:D377)</f>
        <v>133.34285714285716</v>
      </c>
      <c r="U404" s="314">
        <f ca="1">INDIRECT("U"&amp;(初期登録!$B$10+30)*12+初期登録!$D$10+5-67)</f>
        <v>144.49999999999997</v>
      </c>
      <c r="V404" s="314">
        <f ca="1">INDIRECT("V"&amp;(初期登録!$B$10+30)*12+初期登録!$D$10+5-67)</f>
        <v>144.68571428571428</v>
      </c>
      <c r="W404" s="314">
        <f ca="1">INDIRECT("W"&amp;(初期登録!$B$10+30)*12+初期登録!$D$10+5-67)</f>
        <v>126.92857142857143</v>
      </c>
      <c r="Y404" s="315">
        <f ca="1">INDIRECT("Y"&amp;(初期登録!$B$10+30)*12+初期登録!$D$10+5-67)</f>
        <v>1.428571428571388</v>
      </c>
      <c r="Z404" s="315">
        <f ca="1">INDIRECT("Z"&amp;(初期登録!$B$10+30)*12+初期登録!$D$10+5-67)</f>
        <v>0.21428571428572241</v>
      </c>
      <c r="AA404" s="315">
        <f ca="1">INDIRECT("AA"&amp;(初期登録!$B$10+30)*12+初期登録!$D$10+5-67)</f>
        <v>0.3571428571428612</v>
      </c>
    </row>
    <row r="405" spans="1:27" s="322" customFormat="1" ht="17.100000000000001" customHeight="1" thickBot="1">
      <c r="A405" s="1745" t="s">
        <v>311</v>
      </c>
      <c r="B405" s="1744"/>
      <c r="C405" s="1746"/>
      <c r="D405" s="759">
        <f ca="1">INDIRECT("D"&amp;(初期登録!$B$10+30)*12+初期登録!$D$10+5-66)</f>
        <v>141.19999999999999</v>
      </c>
      <c r="E405" s="314">
        <f ca="1">INDIRECT("E"&amp;(初期登録!$B$10+30)*12+初期登録!$D$10+5-66)</f>
        <v>141</v>
      </c>
      <c r="F405" s="314">
        <f ca="1">INDIRECT("F"&amp;(初期登録!$B$10+30)*12+初期登録!$D$10+5-66)</f>
        <v>123.9</v>
      </c>
      <c r="G405" s="337"/>
      <c r="H405" s="337"/>
      <c r="I405" s="315">
        <f ca="1">INDIRECT("I"&amp;(初期登録!$B$10+30)*12+初期登録!$D$10+5-66)</f>
        <v>-9.2000000000000171</v>
      </c>
      <c r="J405" s="315">
        <f ca="1">INDIRECT("J"&amp;(初期登録!$B$10+30)*12+初期登録!$D$10+5-66)</f>
        <v>2.1999999999999886</v>
      </c>
      <c r="K405" s="315">
        <f ca="1">INDIRECT("K"&amp;(初期登録!$B$10+30)*12+初期登録!$D$10+5-66)</f>
        <v>-1.3999999999999915</v>
      </c>
      <c r="M405" s="314">
        <f ca="1">INDIRECT("M"&amp;(初期登録!$B$10+30)*12+初期登録!$D$10+5-66)</f>
        <v>145.63333333333335</v>
      </c>
      <c r="N405" s="314">
        <f ca="1">INDIRECT("N"&amp;(初期登録!$B$10+30)*12+初期登録!$D$10+5-66)</f>
        <v>144.43333333333334</v>
      </c>
      <c r="O405" s="314">
        <f ca="1">INDIRECT("O"&amp;(初期登録!$B$10+30)*12+初期登録!$D$10+5-66)</f>
        <v>125.63333333333333</v>
      </c>
      <c r="Q405" s="315">
        <f ca="1">INDIRECT("Q"&amp;(初期登録!$B$10+30)*12+初期登録!$D$10+5-66)</f>
        <v>-2.0999999999999943</v>
      </c>
      <c r="R405" s="315">
        <f ca="1">INDIRECT("R"&amp;(初期登録!$B$10+30)*12+初期登録!$D$10+5-66)</f>
        <v>-2.3666666666666742</v>
      </c>
      <c r="S405" s="315">
        <f ca="1">INDIRECT("S"&amp;(初期登録!$B$10+30)*12+初期登録!$D$10+5-66)</f>
        <v>-1.3000000000000114</v>
      </c>
      <c r="T405" s="1227">
        <f t="shared" si="198"/>
        <v>133.18571428571428</v>
      </c>
      <c r="U405" s="314">
        <f ca="1">INDIRECT("U"&amp;(初期登録!$B$10+30)*12+初期登録!$D$10+5-66)</f>
        <v>144.55714285714285</v>
      </c>
      <c r="V405" s="314">
        <f ca="1">INDIRECT("V"&amp;(初期登録!$B$10+30)*12+初期登録!$D$10+5-66)</f>
        <v>143.84285714285716</v>
      </c>
      <c r="W405" s="314">
        <f ca="1">INDIRECT("W"&amp;(初期登録!$B$10+30)*12+初期登録!$D$10+5-66)</f>
        <v>127.02857142857142</v>
      </c>
      <c r="Y405" s="315">
        <f ca="1">INDIRECT("Y"&amp;(初期登録!$B$10+30)*12+初期登録!$D$10+5-66)</f>
        <v>5.7142857142878256E-2</v>
      </c>
      <c r="Z405" s="315">
        <f ca="1">INDIRECT("Z"&amp;(初期登録!$B$10+30)*12+初期登録!$D$10+5-66)</f>
        <v>-0.84285714285712743</v>
      </c>
      <c r="AA405" s="315">
        <f ca="1">INDIRECT("AA"&amp;(初期登録!$B$10+30)*12+初期登録!$D$10+5-66)</f>
        <v>9.9999999999994316E-2</v>
      </c>
    </row>
    <row r="406" spans="1:27" s="322" customFormat="1" ht="17.100000000000001" customHeight="1" thickBot="1">
      <c r="A406" s="1745" t="s">
        <v>310</v>
      </c>
      <c r="B406" s="1744"/>
      <c r="C406" s="1746"/>
      <c r="D406" s="759">
        <f ca="1">INDIRECT("D"&amp;(初期登録!$B$10+30)*12+初期登録!$D$10+5-65)</f>
        <v>155.69999999999999</v>
      </c>
      <c r="E406" s="314">
        <f ca="1">INDIRECT("E"&amp;(初期登録!$B$10+30)*12+初期登録!$D$10+5-65)</f>
        <v>141.30000000000001</v>
      </c>
      <c r="F406" s="314">
        <f ca="1">INDIRECT("F"&amp;(初期登録!$B$10+30)*12+初期登録!$D$10+5-65)</f>
        <v>123.9</v>
      </c>
      <c r="G406" s="337"/>
      <c r="H406" s="337"/>
      <c r="I406" s="315">
        <f ca="1">INDIRECT("I"&amp;(初期登録!$B$10+30)*12+初期登録!$D$10+5-65)</f>
        <v>14.5</v>
      </c>
      <c r="J406" s="315">
        <f ca="1">INDIRECT("J"&amp;(初期登録!$B$10+30)*12+初期登録!$D$10+5-65)</f>
        <v>0.30000000000001137</v>
      </c>
      <c r="K406" s="315">
        <f ca="1">INDIRECT("K"&amp;(初期登録!$B$10+30)*12+初期登録!$D$10+5-65)</f>
        <v>0</v>
      </c>
      <c r="M406" s="314">
        <f ca="1">INDIRECT("M"&amp;(初期登録!$B$10+30)*12+初期登録!$D$10+5-65)</f>
        <v>149.1</v>
      </c>
      <c r="N406" s="314">
        <f ca="1">INDIRECT("N"&amp;(初期登録!$B$10+30)*12+初期登録!$D$10+5-65)</f>
        <v>140.36666666666667</v>
      </c>
      <c r="O406" s="314">
        <f ca="1">INDIRECT("O"&amp;(初期登録!$B$10+30)*12+初期登録!$D$10+5-65)</f>
        <v>124.36666666666667</v>
      </c>
      <c r="Q406" s="315">
        <f ca="1">INDIRECT("Q"&amp;(初期登録!$B$10+30)*12+初期登録!$D$10+5-65)</f>
        <v>3.4666666666666401</v>
      </c>
      <c r="R406" s="315">
        <f ca="1">INDIRECT("R"&amp;(初期登録!$B$10+30)*12+初期登録!$D$10+5-65)</f>
        <v>-4.0666666666666629</v>
      </c>
      <c r="S406" s="315">
        <f ca="1">INDIRECT("S"&amp;(初期登録!$B$10+30)*12+初期登録!$D$10+5-65)</f>
        <v>-1.2666666666666515</v>
      </c>
      <c r="T406" s="1227">
        <f t="shared" si="198"/>
        <v>132.87142857142857</v>
      </c>
      <c r="U406" s="314">
        <f ca="1">INDIRECT("U"&amp;(初期登録!$B$10+30)*12+初期登録!$D$10+5-65)</f>
        <v>146.78571428571428</v>
      </c>
      <c r="V406" s="314">
        <f ca="1">INDIRECT("V"&amp;(初期登録!$B$10+30)*12+初期登録!$D$10+5-65)</f>
        <v>143.97142857142856</v>
      </c>
      <c r="W406" s="314">
        <f ca="1">INDIRECT("W"&amp;(初期登録!$B$10+30)*12+初期登録!$D$10+5-65)</f>
        <v>126.3142857142857</v>
      </c>
      <c r="Y406" s="315">
        <f ca="1">INDIRECT("Y"&amp;(初期登録!$B$10+30)*12+初期登録!$D$10+5-65)</f>
        <v>2.2285714285714278</v>
      </c>
      <c r="Z406" s="315">
        <f ca="1">INDIRECT("Z"&amp;(初期登録!$B$10+30)*12+初期登録!$D$10+5-65)</f>
        <v>0.12857142857140502</v>
      </c>
      <c r="AA406" s="315">
        <f ca="1">INDIRECT("AA"&amp;(初期登録!$B$10+30)*12+初期登録!$D$10+5-65)</f>
        <v>-0.71428571428572241</v>
      </c>
    </row>
    <row r="407" spans="1:27" s="322" customFormat="1" ht="17.100000000000001" customHeight="1" thickBot="1">
      <c r="A407" s="1745" t="s">
        <v>309</v>
      </c>
      <c r="B407" s="1744"/>
      <c r="C407" s="1746"/>
      <c r="D407" s="759">
        <f ca="1">INDIRECT("D"&amp;(初期登録!$B$10+30)*12+初期登録!$D$10+5-64)</f>
        <v>148.9</v>
      </c>
      <c r="E407" s="314">
        <f ca="1">INDIRECT("E"&amp;(初期登録!$B$10+30)*12+初期登録!$D$10+5-64)</f>
        <v>133.5</v>
      </c>
      <c r="F407" s="314">
        <f ca="1">INDIRECT("F"&amp;(初期登録!$B$10+30)*12+初期登録!$D$10+5-64)</f>
        <v>125.1</v>
      </c>
      <c r="G407" s="337"/>
      <c r="H407" s="337"/>
      <c r="I407" s="315">
        <f ca="1">INDIRECT("I"&amp;(初期登録!$B$10+30)*12+初期登録!$D$10+5-64)</f>
        <v>-6.7999999999999829</v>
      </c>
      <c r="J407" s="315">
        <f ca="1">INDIRECT("J"&amp;(初期登録!$B$10+30)*12+初期登録!$D$10+5-64)</f>
        <v>-7.8000000000000114</v>
      </c>
      <c r="K407" s="315">
        <f ca="1">INDIRECT("K"&amp;(初期登録!$B$10+30)*12+初期登録!$D$10+5-64)</f>
        <v>1.1999999999999886</v>
      </c>
      <c r="M407" s="314">
        <f ca="1">INDIRECT("M"&amp;(初期登録!$B$10+30)*12+初期登録!$D$10+5-64)</f>
        <v>148.6</v>
      </c>
      <c r="N407" s="314">
        <f ca="1">INDIRECT("N"&amp;(初期登録!$B$10+30)*12+初期登録!$D$10+5-64)</f>
        <v>138.6</v>
      </c>
      <c r="O407" s="314">
        <f ca="1">INDIRECT("O"&amp;(初期登録!$B$10+30)*12+初期登録!$D$10+5-64)</f>
        <v>124.3</v>
      </c>
      <c r="Q407" s="315">
        <f ca="1">INDIRECT("Q"&amp;(初期登録!$B$10+30)*12+初期登録!$D$10+5-64)</f>
        <v>-0.5</v>
      </c>
      <c r="R407" s="315">
        <f ca="1">INDIRECT("R"&amp;(初期登録!$B$10+30)*12+初期登録!$D$10+5-64)</f>
        <v>-1.7666666666666799</v>
      </c>
      <c r="S407" s="315">
        <f ca="1">INDIRECT("S"&amp;(初期登録!$B$10+30)*12+初期登録!$D$10+5-64)</f>
        <v>-6.6666666666677088E-2</v>
      </c>
      <c r="T407" s="1227">
        <f t="shared" si="198"/>
        <v>132.98571428571427</v>
      </c>
      <c r="U407" s="314">
        <f ca="1">INDIRECT("U"&amp;(初期登録!$B$10+30)*12+初期登録!$D$10+5-64)</f>
        <v>147.90000000000003</v>
      </c>
      <c r="V407" s="314">
        <f ca="1">INDIRECT("V"&amp;(初期登録!$B$10+30)*12+初期登録!$D$10+5-64)</f>
        <v>143.22857142857143</v>
      </c>
      <c r="W407" s="314">
        <f ca="1">INDIRECT("W"&amp;(初期登録!$B$10+30)*12+初期登録!$D$10+5-64)</f>
        <v>126.02857142857144</v>
      </c>
      <c r="Y407" s="315">
        <f ca="1">INDIRECT("Y"&amp;(初期登録!$B$10+30)*12+初期登録!$D$10+5-64)</f>
        <v>1.1142857142857565</v>
      </c>
      <c r="Z407" s="315">
        <f ca="1">INDIRECT("Z"&amp;(初期登録!$B$10+30)*12+初期登録!$D$10+5-64)</f>
        <v>-0.74285714285713311</v>
      </c>
      <c r="AA407" s="315">
        <f ca="1">INDIRECT("AA"&amp;(初期登録!$B$10+30)*12+初期登録!$D$10+5-64)</f>
        <v>-0.28571428571426338</v>
      </c>
    </row>
    <row r="408" spans="1:27" s="322" customFormat="1" ht="17.100000000000001" customHeight="1" thickBot="1">
      <c r="A408" s="1745" t="s">
        <v>308</v>
      </c>
      <c r="B408" s="1744"/>
      <c r="C408" s="1746"/>
      <c r="D408" s="759">
        <f ca="1">INDIRECT("D"&amp;(初期登録!$B$10+30)*12+初期登録!$D$10+5-63)</f>
        <v>146.6</v>
      </c>
      <c r="E408" s="314">
        <f ca="1">INDIRECT("E"&amp;(初期登録!$B$10+30)*12+初期登録!$D$10+5-63)</f>
        <v>131.5</v>
      </c>
      <c r="F408" s="314">
        <f ca="1">INDIRECT("F"&amp;(初期登録!$B$10+30)*12+初期登録!$D$10+5-63)</f>
        <v>118.6</v>
      </c>
      <c r="G408" s="337"/>
      <c r="H408" s="337"/>
      <c r="I408" s="315">
        <f ca="1">INDIRECT("I"&amp;(初期登録!$B$10+30)*12+初期登録!$D$10+5-63)</f>
        <v>-2.3000000000000114</v>
      </c>
      <c r="J408" s="315">
        <f ca="1">INDIRECT("J"&amp;(初期登録!$B$10+30)*12+初期登録!$D$10+5-63)</f>
        <v>-2</v>
      </c>
      <c r="K408" s="315">
        <f ca="1">INDIRECT("K"&amp;(初期登録!$B$10+30)*12+初期登録!$D$10+5-63)</f>
        <v>-6.5</v>
      </c>
      <c r="M408" s="314">
        <f ca="1">INDIRECT("M"&amp;(初期登録!$B$10+30)*12+初期登録!$D$10+5-63)</f>
        <v>150.4</v>
      </c>
      <c r="N408" s="314">
        <f ca="1">INDIRECT("N"&amp;(初期登録!$B$10+30)*12+初期登録!$D$10+5-63)</f>
        <v>135.43333333333334</v>
      </c>
      <c r="O408" s="314">
        <f ca="1">INDIRECT("O"&amp;(初期登録!$B$10+30)*12+初期登録!$D$10+5-63)</f>
        <v>122.53333333333335</v>
      </c>
      <c r="Q408" s="315">
        <f ca="1">INDIRECT("Q"&amp;(初期登録!$B$10+30)*12+初期登録!$D$10+5-63)</f>
        <v>1.8000000000000114</v>
      </c>
      <c r="R408" s="315">
        <f ca="1">INDIRECT("R"&amp;(初期登録!$B$10+30)*12+初期登録!$D$10+5-63)</f>
        <v>-3.1666666666666572</v>
      </c>
      <c r="S408" s="315">
        <f ca="1">INDIRECT("S"&amp;(初期登録!$B$10+30)*12+初期登録!$D$10+5-63)</f>
        <v>-1.7666666666666515</v>
      </c>
      <c r="T408" s="1227">
        <f t="shared" si="198"/>
        <v>132.52857142857141</v>
      </c>
      <c r="U408" s="314">
        <f ca="1">INDIRECT("U"&amp;(初期登録!$B$10+30)*12+初期登録!$D$10+5-63)</f>
        <v>147.94285714285715</v>
      </c>
      <c r="V408" s="314">
        <f ca="1">INDIRECT("V"&amp;(初期登録!$B$10+30)*12+初期登録!$D$10+5-63)</f>
        <v>141.1</v>
      </c>
      <c r="W408" s="314">
        <f ca="1">INDIRECT("W"&amp;(初期登録!$B$10+30)*12+初期登録!$D$10+5-63)</f>
        <v>124.61428571428573</v>
      </c>
      <c r="Y408" s="315">
        <f ca="1">INDIRECT("Y"&amp;(初期登録!$B$10+30)*12+初期登録!$D$10+5-63)</f>
        <v>4.285714285711606E-2</v>
      </c>
      <c r="Z408" s="315">
        <f ca="1">INDIRECT("Z"&amp;(初期登録!$B$10+30)*12+初期登録!$D$10+5-63)</f>
        <v>-2.1285714285714334</v>
      </c>
      <c r="AA408" s="315">
        <f ca="1">INDIRECT("AA"&amp;(初期登録!$B$10+30)*12+初期登録!$D$10+5-63)</f>
        <v>-1.414285714285711</v>
      </c>
    </row>
    <row r="409" spans="1:27" s="322" customFormat="1" ht="16.5" customHeight="1" thickBot="1">
      <c r="A409" s="1743" t="s">
        <v>307</v>
      </c>
      <c r="B409" s="1747"/>
      <c r="C409" s="1765"/>
      <c r="D409" s="759">
        <f ca="1">INDIRECT("D"&amp;(初期登録!$B$10+30)*12+初期登録!$D$10+5-62)</f>
        <v>150.9</v>
      </c>
      <c r="E409" s="759">
        <f ca="1">INDIRECT("E"&amp;(初期登録!$B$10+30)*12+初期登録!$D$10+5-62)</f>
        <v>132.1</v>
      </c>
      <c r="F409" s="759">
        <f ca="1">INDIRECT("F"&amp;(初期登録!$B$10+30)*12+初期登録!$D$10+5-62)</f>
        <v>119.8</v>
      </c>
      <c r="G409" s="337"/>
      <c r="H409" s="337"/>
      <c r="I409" s="315">
        <f ca="1">INDIRECT("I"&amp;(初期登録!$B$10+30)*12+初期登録!$D$10+5-62)</f>
        <v>4.3000000000000114</v>
      </c>
      <c r="J409" s="315">
        <f ca="1">INDIRECT("J"&amp;(初期登録!$B$10+30)*12+初期登録!$D$10+5-62)</f>
        <v>0.59999999999999432</v>
      </c>
      <c r="K409" s="315">
        <f ca="1">INDIRECT("K"&amp;(初期登録!$B$10+30)*12+初期登録!$D$10+5-62)</f>
        <v>1.2000000000000028</v>
      </c>
      <c r="M409" s="314">
        <f ca="1">INDIRECT("M"&amp;(初期登録!$B$10+30)*12+初期登録!$D$10+5-62)</f>
        <v>148.79999999999998</v>
      </c>
      <c r="N409" s="314">
        <f ca="1">INDIRECT("N"&amp;(初期登録!$B$10+30)*12+初期登録!$D$10+5-62)</f>
        <v>132.36666666666667</v>
      </c>
      <c r="O409" s="314">
        <f ca="1">INDIRECT("O"&amp;(初期登録!$B$10+30)*12+初期登録!$D$10+5-62)</f>
        <v>121.16666666666667</v>
      </c>
      <c r="Q409" s="1196">
        <f ca="1">INDIRECT("Q"&amp;(初期登録!$B$10+30)*12+初期登録!$D$10+5-62)</f>
        <v>-1.6000000000000227</v>
      </c>
      <c r="R409" s="1196">
        <f ca="1">INDIRECT("R"&amp;(初期登録!$B$10+30)*12+初期登録!$D$10+5-62)</f>
        <v>-3.0666666666666629</v>
      </c>
      <c r="S409" s="1196">
        <f ca="1">INDIRECT("S"&amp;(初期登録!$B$10+30)*12+初期登録!$D$10+5-62)</f>
        <v>-1.3666666666666742</v>
      </c>
      <c r="T409" s="1227">
        <f t="shared" si="198"/>
        <v>132.39999999999998</v>
      </c>
      <c r="U409" s="1195">
        <f ca="1">INDIRECT("U"&amp;(初期登録!$B$10+30)*12+初期登録!$D$10+5-62)</f>
        <v>148.42857142857142</v>
      </c>
      <c r="V409" s="1195">
        <f ca="1">INDIRECT("V"&amp;(初期登録!$B$10+30)*12+初期登録!$D$10+5-62)</f>
        <v>138.81428571428572</v>
      </c>
      <c r="W409" s="1195">
        <f ca="1">INDIRECT("W"&amp;(初期登録!$B$10+30)*12+初期登録!$D$10+5-62)</f>
        <v>123.47142857142856</v>
      </c>
      <c r="Y409" s="1196">
        <f ca="1">INDIRECT("Y"&amp;(初期登録!$B$10+30)*12+初期登録!$D$10+5-62)</f>
        <v>0.48571428571426623</v>
      </c>
      <c r="Z409" s="1196">
        <f ca="1">INDIRECT("Z"&amp;(初期登録!$B$10+30)*12+初期登録!$D$10+5-62)</f>
        <v>-2.2857142857142776</v>
      </c>
      <c r="AA409" s="1196">
        <f ca="1">INDIRECT("AA"&amp;(初期登録!$B$10+30)*12+初期登録!$D$10+5-62)</f>
        <v>-1.1428571428571672</v>
      </c>
    </row>
    <row r="410" spans="1:27">
      <c r="Q410" s="312"/>
      <c r="R410" s="312"/>
      <c r="S410" s="312"/>
    </row>
    <row r="411" spans="1:27" ht="12.9" customHeight="1"/>
    <row r="413" spans="1:27">
      <c r="A413" s="214" t="s">
        <v>606</v>
      </c>
      <c r="B413" s="214" t="s">
        <v>607</v>
      </c>
      <c r="C413" s="214" t="s">
        <v>608</v>
      </c>
      <c r="I413" s="214" t="str">
        <f ca="1">IF(I409*I408&gt;0,$A413,IF(I408*I409&lt;0,$B413,$C413))</f>
        <v>ぶり</v>
      </c>
      <c r="J413" s="214" t="str">
        <f ca="1">IF(J409*J408&gt;0,$A413,IF(J408*J409&lt;0,$B413,$C413))</f>
        <v>ぶり</v>
      </c>
      <c r="K413" s="214" t="str">
        <f ca="1">IF(K409*K408&gt;0,$A413,IF(K408*K409&lt;0,$B413,$C413))</f>
        <v>ぶり</v>
      </c>
      <c r="Q413" s="214" t="str">
        <f ca="1">IF(Q409*Q408&gt;0,$A413,IF(Q408*Q409&lt;0,$B413,$C413))</f>
        <v>ぶり</v>
      </c>
      <c r="R413" s="214" t="str">
        <f ca="1">IF(R409*R408&gt;0,$A413,IF(R408*R409&lt;0,$B413,$C413))</f>
        <v>連続</v>
      </c>
      <c r="S413" s="214" t="str">
        <f ca="1">IF(S409*S408&gt;0,$A413,IF(S408*S409&lt;0,$B413,$C413))</f>
        <v>連続</v>
      </c>
      <c r="T413" s="1191"/>
      <c r="Y413" s="214" t="str">
        <f ca="1">IF(Y409*Y408&gt;0,$A413,IF(Y408*Y409&lt;0,$B413,$C413))</f>
        <v>連続</v>
      </c>
      <c r="Z413" s="214" t="str">
        <f ca="1">IF(Z409*Z408&gt;0,$A413,IF(Z408*Z409&lt;0,$B413,$C413))</f>
        <v>連続</v>
      </c>
      <c r="AA413" s="214" t="str">
        <f ca="1">IF(AA409*AA408&gt;0,$A413,IF(AA408*AA409&lt;0,$B413,$C413))</f>
        <v>連続</v>
      </c>
    </row>
    <row r="414" spans="1:27">
      <c r="A414" s="311" t="s">
        <v>603</v>
      </c>
      <c r="B414" s="311" t="s">
        <v>604</v>
      </c>
      <c r="C414" s="311" t="s">
        <v>605</v>
      </c>
      <c r="I414" s="214" t="str">
        <f ca="1">IF(I409&gt;0,$A414,IF(I409&lt;0,$B414,$C414))</f>
        <v>上昇</v>
      </c>
      <c r="J414" s="214" t="str">
        <f ca="1">IF(J409&gt;0,$A414,IF(J409&lt;0,$B414,$C414))</f>
        <v>上昇</v>
      </c>
      <c r="K414" s="214" t="str">
        <f ca="1">IF(K409&gt;0,$A414,IF(K409&lt;0,$B414,$C414))</f>
        <v>上昇</v>
      </c>
      <c r="Q414" s="214" t="str">
        <f ca="1">IF(Q409&gt;0,$A414,IF(Q409&lt;0,$B414,$C414))</f>
        <v>下降</v>
      </c>
      <c r="R414" s="214" t="str">
        <f ca="1">IF(R409&gt;0,$A414,IF(R409&lt;0,$B414,$C414))</f>
        <v>下降</v>
      </c>
      <c r="S414" s="214" t="str">
        <f ca="1">IF(S409&gt;0,$A414,IF(S409&lt;0,$B414,$C414))</f>
        <v>下降</v>
      </c>
      <c r="T414" s="1191"/>
      <c r="Y414" s="214" t="str">
        <f ca="1">IF(Y409&gt;0,$A414,IF(Y409&lt;0,$B414,$C414))</f>
        <v>上昇</v>
      </c>
      <c r="Z414" s="214" t="str">
        <f ca="1">IF(Z409&gt;0,$A414,IF(Z409&lt;0,$B414,$C414))</f>
        <v>下降</v>
      </c>
      <c r="AA414" s="214" t="str">
        <f ca="1">IF(AA409&gt;0,$A414,IF(AA409&lt;0,$B414,$C414))</f>
        <v>下降</v>
      </c>
    </row>
    <row r="415" spans="1:27">
      <c r="T415" s="1191">
        <f>ROUND(T405-T404,4)</f>
        <v>-0.15709999999999999</v>
      </c>
    </row>
    <row r="416" spans="1:27">
      <c r="T416" s="1191">
        <f>ROUND(T406-T405,4)</f>
        <v>-0.31430000000000002</v>
      </c>
    </row>
    <row r="417" spans="20:20">
      <c r="T417" s="1191">
        <f>ROUND(T407-T406,4)</f>
        <v>0.1143</v>
      </c>
    </row>
    <row r="418" spans="20:20">
      <c r="T418" s="1191">
        <f>ROUND(T408-T407,4)</f>
        <v>-0.45710000000000001</v>
      </c>
    </row>
    <row r="419" spans="20:20">
      <c r="T419" s="1191">
        <f>ROUND(T409-T408,4)</f>
        <v>-0.12859999999999999</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414:B414 I414:S414 G413:S413 A413:C413 T413:IV414 A415:XFD65536 A1:XFD412">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400">
    <cfRule type="colorScale" priority="9">
      <colorScale>
        <cfvo type="num" val="&quot;セルの値＞0&quot;"/>
        <cfvo type="num" val="&quot;セルの値＜0&quot;"/>
        <color theme="0"/>
        <color rgb="FFFFFF99"/>
      </colorScale>
    </cfRule>
  </conditionalFormatting>
  <conditionalFormatting sqref="R400">
    <cfRule type="colorScale" priority="8">
      <colorScale>
        <cfvo type="num" val="&quot;セルの値＞0&quot;"/>
        <cfvo type="num" val="&quot;セルの値＜0&quot;"/>
        <color theme="0"/>
        <color rgb="FFFFFF99"/>
      </colorScale>
    </cfRule>
  </conditionalFormatting>
  <conditionalFormatting sqref="R400">
    <cfRule type="colorScale" priority="7">
      <colorScale>
        <cfvo type="num" val="&quot;セルの値＞0&quot;"/>
        <cfvo type="num" val="&quot;セルの値＜0&quot;"/>
        <color theme="0"/>
        <color rgb="FFFFFF99"/>
      </colorScale>
    </cfRule>
  </conditionalFormatting>
  <conditionalFormatting sqref="R400">
    <cfRule type="colorScale" priority="6">
      <colorScale>
        <cfvo type="num" val="&quot;セルの値＞0&quot;"/>
        <cfvo type="num" val="&quot;セルの値＜0&quot;"/>
        <color theme="0"/>
        <color rgb="FFFFFF99"/>
      </colorScale>
    </cfRule>
  </conditionalFormatting>
  <conditionalFormatting sqref="R400">
    <cfRule type="colorScale" priority="5">
      <colorScale>
        <cfvo type="num" val="&quot;セルの値＞0&quot;"/>
        <cfvo type="num" val="&quot;セルの値＜0&quot;"/>
        <color theme="0"/>
        <color rgb="FFFFFF99"/>
      </colorScale>
    </cfRule>
  </conditionalFormatting>
  <conditionalFormatting sqref="R400">
    <cfRule type="colorScale" priority="4">
      <colorScale>
        <cfvo type="num" val="&quot;セルの値＞0&quot;"/>
        <cfvo type="num" val="&quot;セルの値＜0&quot;"/>
        <color theme="0"/>
        <color rgb="FFFFFF99"/>
      </colorScale>
    </cfRule>
  </conditionalFormatting>
  <conditionalFormatting sqref="R400">
    <cfRule type="colorScale" priority="3">
      <colorScale>
        <cfvo type="num" val="&quot;セルの値＞0&quot;"/>
        <cfvo type="num" val="&quot;セルの値＜0&quot;"/>
        <color theme="0"/>
        <color rgb="FFFFFF99"/>
      </colorScale>
    </cfRule>
  </conditionalFormatting>
  <conditionalFormatting sqref="R400">
    <cfRule type="colorScale" priority="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zoomScale="80" zoomScaleNormal="100" zoomScaleSheetLayoutView="80" workbookViewId="0">
      <selection activeCell="C5" sqref="C5"/>
    </sheetView>
  </sheetViews>
  <sheetFormatPr defaultColWidth="8.88671875" defaultRowHeight="14.4"/>
  <cols>
    <col min="1" max="1" width="3.109375" style="8" customWidth="1"/>
    <col min="2" max="3" width="11.6640625" style="8" customWidth="1"/>
    <col min="4" max="4" width="13.33203125" style="8" customWidth="1"/>
    <col min="5" max="5" width="26.109375" style="9" customWidth="1"/>
    <col min="6" max="6" width="4.109375" style="10" customWidth="1"/>
    <col min="7" max="7" width="4.109375" style="8" customWidth="1"/>
    <col min="8" max="16384" width="8.88671875" style="8"/>
  </cols>
  <sheetData>
    <row r="3" spans="2:7" ht="50.1" customHeight="1">
      <c r="B3" s="218" t="s">
        <v>195</v>
      </c>
    </row>
    <row r="4" spans="2:7" ht="42.9" customHeight="1">
      <c r="B4" s="219" t="s">
        <v>328</v>
      </c>
      <c r="C4" s="220"/>
      <c r="D4" s="220"/>
      <c r="E4" s="221" t="s">
        <v>329</v>
      </c>
      <c r="F4" s="442" t="s">
        <v>76</v>
      </c>
    </row>
    <row r="5" spans="2:7" ht="42.9" customHeight="1">
      <c r="B5" s="219" t="s">
        <v>99</v>
      </c>
      <c r="C5" s="220"/>
      <c r="D5" s="220"/>
      <c r="E5" s="221" t="s">
        <v>253</v>
      </c>
      <c r="F5" s="442" t="s">
        <v>77</v>
      </c>
    </row>
    <row r="6" spans="2:7" ht="42.9" customHeight="1">
      <c r="B6" s="219" t="s">
        <v>100</v>
      </c>
      <c r="C6" s="220"/>
      <c r="D6" s="220"/>
      <c r="E6" s="221" t="s">
        <v>251</v>
      </c>
      <c r="F6" s="442" t="s">
        <v>78</v>
      </c>
    </row>
    <row r="7" spans="2:7" ht="42.9" customHeight="1">
      <c r="B7" s="219" t="s">
        <v>101</v>
      </c>
      <c r="C7" s="220"/>
      <c r="D7" s="220"/>
      <c r="E7" s="221" t="s">
        <v>330</v>
      </c>
      <c r="F7" s="442" t="s">
        <v>79</v>
      </c>
    </row>
    <row r="8" spans="2:7" ht="42.9" customHeight="1">
      <c r="B8" s="219" t="s">
        <v>198</v>
      </c>
      <c r="C8" s="220"/>
      <c r="D8" s="220"/>
      <c r="E8" s="221" t="s">
        <v>331</v>
      </c>
      <c r="F8" s="442" t="s">
        <v>80</v>
      </c>
    </row>
    <row r="9" spans="2:7" ht="42.9" customHeight="1">
      <c r="B9" s="219" t="s">
        <v>199</v>
      </c>
      <c r="C9" s="220"/>
      <c r="D9" s="220"/>
      <c r="E9" s="221" t="s">
        <v>331</v>
      </c>
      <c r="F9" s="442" t="s">
        <v>81</v>
      </c>
    </row>
    <row r="10" spans="2:7" ht="42.9" customHeight="1">
      <c r="B10" s="1442" t="s">
        <v>295</v>
      </c>
      <c r="C10" s="1442"/>
      <c r="D10" s="220"/>
      <c r="E10" s="221" t="s">
        <v>332</v>
      </c>
      <c r="F10" s="442" t="s">
        <v>82</v>
      </c>
    </row>
    <row r="11" spans="2:7" ht="42.9" customHeight="1">
      <c r="B11" s="219" t="s">
        <v>200</v>
      </c>
      <c r="C11" s="220"/>
      <c r="D11" s="220"/>
      <c r="E11" s="221" t="s">
        <v>333</v>
      </c>
      <c r="F11" s="222">
        <v>10</v>
      </c>
    </row>
    <row r="12" spans="2:7" ht="42.9" customHeight="1">
      <c r="B12" s="219" t="s">
        <v>201</v>
      </c>
      <c r="C12" s="220"/>
      <c r="D12" s="220"/>
      <c r="E12" s="221" t="s">
        <v>333</v>
      </c>
      <c r="F12" s="222">
        <v>11</v>
      </c>
    </row>
    <row r="13" spans="2:7" ht="42.9" customHeight="1">
      <c r="B13" s="219" t="s">
        <v>202</v>
      </c>
      <c r="C13" s="220"/>
      <c r="D13" s="220"/>
      <c r="E13" s="221" t="s">
        <v>333</v>
      </c>
      <c r="F13" s="222">
        <v>12</v>
      </c>
    </row>
    <row r="14" spans="2:7" ht="42.9" customHeight="1">
      <c r="B14" s="219" t="s">
        <v>252</v>
      </c>
      <c r="C14" s="220"/>
      <c r="D14" s="220"/>
      <c r="E14" s="221" t="s">
        <v>333</v>
      </c>
      <c r="F14" s="222">
        <v>13</v>
      </c>
    </row>
    <row r="15" spans="2:7" ht="42.9" customHeight="1">
      <c r="B15" s="219" t="s">
        <v>254</v>
      </c>
      <c r="C15" s="220"/>
      <c r="D15" s="220"/>
      <c r="E15" s="221" t="s">
        <v>334</v>
      </c>
      <c r="F15" s="224">
        <v>14</v>
      </c>
      <c r="G15" s="12"/>
    </row>
    <row r="16" spans="2:7" ht="42.9" customHeight="1">
      <c r="B16" s="1443" t="s">
        <v>92</v>
      </c>
      <c r="C16" s="1443"/>
      <c r="D16" s="1443"/>
      <c r="E16" s="221" t="s">
        <v>255</v>
      </c>
      <c r="F16" s="222">
        <v>16</v>
      </c>
    </row>
    <row r="17" spans="2:6" ht="42.9" customHeight="1">
      <c r="B17" s="221" t="s">
        <v>335</v>
      </c>
      <c r="C17" s="221"/>
      <c r="D17" s="221"/>
      <c r="E17" s="221" t="s">
        <v>255</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zoomScale="80" zoomScaleNormal="100" zoomScaleSheetLayoutView="80" workbookViewId="0">
      <selection activeCell="R25" sqref="R25"/>
    </sheetView>
  </sheetViews>
  <sheetFormatPr defaultColWidth="8.88671875" defaultRowHeight="9.6"/>
  <cols>
    <col min="1" max="1" width="3.88671875" style="3" customWidth="1"/>
    <col min="2" max="3" width="7.33203125" style="3" customWidth="1"/>
    <col min="4" max="4" width="6.88671875" style="3" customWidth="1"/>
    <col min="5" max="5" width="6.33203125" style="3" customWidth="1"/>
    <col min="6" max="6" width="11.109375" style="3" customWidth="1"/>
    <col min="7" max="7" width="6.88671875" style="3" customWidth="1"/>
    <col min="8" max="8" width="6.33203125" style="3" customWidth="1"/>
    <col min="9" max="9" width="11.109375" style="3" customWidth="1"/>
    <col min="10" max="10" width="6.88671875" style="3" customWidth="1"/>
    <col min="11" max="11" width="6.33203125" style="3" customWidth="1"/>
    <col min="12" max="12" width="11.109375" style="3" customWidth="1"/>
    <col min="13" max="16384" width="8.88671875" style="3"/>
  </cols>
  <sheetData>
    <row r="1" spans="1:12" ht="15" customHeight="1">
      <c r="A1" s="225" t="s">
        <v>208</v>
      </c>
      <c r="B1" s="11"/>
    </row>
    <row r="2" spans="1:12" ht="15" customHeight="1"/>
    <row r="3" spans="1:12" ht="15" customHeight="1">
      <c r="A3" s="478" t="s">
        <v>43</v>
      </c>
      <c r="B3" s="1450" t="s">
        <v>849</v>
      </c>
      <c r="C3" s="1450"/>
      <c r="D3" s="1450"/>
      <c r="E3" s="1450"/>
      <c r="F3" s="1450"/>
      <c r="G3" s="1450"/>
      <c r="H3" s="1450"/>
      <c r="I3" s="1450"/>
      <c r="J3" s="1450"/>
      <c r="K3" s="1450"/>
      <c r="L3" s="1450"/>
    </row>
    <row r="4" spans="1:12" ht="15" customHeight="1">
      <c r="A4" s="226"/>
      <c r="B4" s="1451"/>
      <c r="C4" s="1451"/>
      <c r="D4" s="1451"/>
      <c r="E4" s="1451"/>
      <c r="F4" s="1451"/>
      <c r="G4" s="1451"/>
      <c r="H4" s="1451"/>
      <c r="I4" s="1451"/>
      <c r="J4" s="1451"/>
      <c r="K4" s="1451"/>
      <c r="L4" s="1451"/>
    </row>
    <row r="5" spans="1:12" ht="15" customHeight="1" thickBot="1">
      <c r="A5" s="227"/>
      <c r="B5" s="228"/>
      <c r="C5" s="228"/>
      <c r="D5" s="228"/>
      <c r="E5" s="228"/>
      <c r="F5" s="228"/>
      <c r="G5" s="228"/>
      <c r="H5" s="228"/>
      <c r="I5" s="228"/>
      <c r="J5" s="228"/>
      <c r="K5" s="1172" t="s">
        <v>768</v>
      </c>
      <c r="L5" s="1168"/>
    </row>
    <row r="6" spans="1:12" ht="18" customHeight="1">
      <c r="A6" s="227"/>
      <c r="B6" s="1461"/>
      <c r="C6" s="1462"/>
      <c r="D6" s="1454" t="s">
        <v>848</v>
      </c>
      <c r="E6" s="1455"/>
      <c r="F6" s="1456"/>
      <c r="G6" s="1455" t="s">
        <v>284</v>
      </c>
      <c r="H6" s="1455"/>
      <c r="I6" s="1455"/>
      <c r="J6" s="1454" t="s">
        <v>285</v>
      </c>
      <c r="K6" s="1455"/>
      <c r="L6" s="1455"/>
    </row>
    <row r="7" spans="1:12" ht="15" customHeight="1">
      <c r="A7" s="227"/>
      <c r="B7" s="1463"/>
      <c r="C7" s="1464"/>
      <c r="D7" s="1444"/>
      <c r="E7" s="752" t="s">
        <v>322</v>
      </c>
      <c r="F7" s="1457" t="s">
        <v>290</v>
      </c>
      <c r="G7" s="1444"/>
      <c r="H7" s="752" t="s">
        <v>323</v>
      </c>
      <c r="I7" s="1457" t="s">
        <v>290</v>
      </c>
      <c r="J7" s="1444"/>
      <c r="K7" s="752" t="s">
        <v>323</v>
      </c>
      <c r="L7" s="1452" t="s">
        <v>290</v>
      </c>
    </row>
    <row r="8" spans="1:12" ht="15" customHeight="1" thickBot="1">
      <c r="A8" s="227"/>
      <c r="B8" s="1465"/>
      <c r="C8" s="1466"/>
      <c r="D8" s="1445"/>
      <c r="E8" s="229" t="s">
        <v>289</v>
      </c>
      <c r="F8" s="1458"/>
      <c r="G8" s="1445"/>
      <c r="H8" s="229" t="s">
        <v>289</v>
      </c>
      <c r="I8" s="1458"/>
      <c r="J8" s="1445"/>
      <c r="K8" s="229" t="s">
        <v>289</v>
      </c>
      <c r="L8" s="1453"/>
    </row>
    <row r="9" spans="1:12" ht="30" customHeight="1">
      <c r="A9" s="227"/>
      <c r="B9" s="1446" t="s">
        <v>286</v>
      </c>
      <c r="C9" s="1447"/>
      <c r="D9" s="879">
        <v>150.9</v>
      </c>
      <c r="E9" s="808">
        <v>4.3000000000000114</v>
      </c>
      <c r="F9" s="1132" t="s">
        <v>850</v>
      </c>
      <c r="G9" s="804">
        <v>148.79999999999998</v>
      </c>
      <c r="H9" s="807">
        <v>-1.6000000000000227</v>
      </c>
      <c r="I9" s="1135" t="s">
        <v>851</v>
      </c>
      <c r="J9" s="804">
        <v>148.42857142857142</v>
      </c>
      <c r="K9" s="807">
        <v>0.48571428571426623</v>
      </c>
      <c r="L9" s="1135" t="s">
        <v>852</v>
      </c>
    </row>
    <row r="10" spans="1:12" ht="30" customHeight="1">
      <c r="A10" s="227"/>
      <c r="B10" s="1459" t="s">
        <v>287</v>
      </c>
      <c r="C10" s="1460"/>
      <c r="D10" s="805">
        <v>132.1</v>
      </c>
      <c r="E10" s="401">
        <v>0.59999999999999432</v>
      </c>
      <c r="F10" s="1133" t="s">
        <v>850</v>
      </c>
      <c r="G10" s="805">
        <v>132.36666666666667</v>
      </c>
      <c r="H10" s="230">
        <v>-3.0666666666666629</v>
      </c>
      <c r="I10" s="1136" t="s">
        <v>853</v>
      </c>
      <c r="J10" s="805">
        <v>138.81428571428572</v>
      </c>
      <c r="K10" s="230">
        <v>-2.2857142857142776</v>
      </c>
      <c r="L10" s="1136" t="s">
        <v>854</v>
      </c>
    </row>
    <row r="11" spans="1:12" ht="30" customHeight="1" thickBot="1">
      <c r="A11" s="231"/>
      <c r="B11" s="1472" t="s">
        <v>288</v>
      </c>
      <c r="C11" s="1473"/>
      <c r="D11" s="806">
        <v>119.8</v>
      </c>
      <c r="E11" s="432">
        <v>1.2000000000000028</v>
      </c>
      <c r="F11" s="1134" t="s">
        <v>855</v>
      </c>
      <c r="G11" s="806">
        <v>121.16666666666667</v>
      </c>
      <c r="H11" s="431">
        <v>-1.3666666666666742</v>
      </c>
      <c r="I11" s="1137" t="s">
        <v>853</v>
      </c>
      <c r="J11" s="806">
        <v>123.47142857142856</v>
      </c>
      <c r="K11" s="431">
        <v>-1.1428571428571672</v>
      </c>
      <c r="L11" s="1137" t="s">
        <v>856</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857</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71" t="s">
        <v>768</v>
      </c>
      <c r="L17" s="1168"/>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70" t="s">
        <v>209</v>
      </c>
      <c r="C40" s="1471"/>
      <c r="D40" s="1471"/>
      <c r="E40" s="1471"/>
      <c r="F40" s="1307" t="s">
        <v>136</v>
      </c>
      <c r="G40" s="1470" t="s">
        <v>210</v>
      </c>
      <c r="H40" s="1470"/>
      <c r="I40" s="1470"/>
      <c r="J40" s="1467" t="s">
        <v>136</v>
      </c>
      <c r="K40" s="1468"/>
      <c r="L40" s="227"/>
    </row>
    <row r="41" spans="1:12" s="221" customFormat="1" ht="15" customHeight="1">
      <c r="B41" s="1327" t="s">
        <v>858</v>
      </c>
      <c r="C41" s="1328"/>
      <c r="D41" s="1328"/>
      <c r="E41" s="1329"/>
      <c r="F41" s="1323">
        <v>1.9</v>
      </c>
      <c r="G41" s="1093" t="s">
        <v>859</v>
      </c>
      <c r="J41" s="1448">
        <v>-1.1000000000000001</v>
      </c>
      <c r="K41" s="1449"/>
      <c r="L41" s="227"/>
    </row>
    <row r="42" spans="1:12" s="221" customFormat="1" ht="15" customHeight="1">
      <c r="B42" s="688" t="s">
        <v>860</v>
      </c>
      <c r="E42" s="1322"/>
      <c r="F42" s="1324">
        <v>1.3</v>
      </c>
      <c r="G42" s="688" t="s">
        <v>861</v>
      </c>
      <c r="I42" s="984"/>
      <c r="J42" s="1448">
        <v>-1</v>
      </c>
      <c r="K42" s="1449"/>
      <c r="L42" s="227"/>
    </row>
    <row r="43" spans="1:12" s="221" customFormat="1" ht="15" customHeight="1">
      <c r="B43" s="688" t="s">
        <v>862</v>
      </c>
      <c r="E43" s="1322"/>
      <c r="F43" s="1324">
        <v>0.6</v>
      </c>
      <c r="G43" s="688" t="s">
        <v>863</v>
      </c>
      <c r="I43" s="1322"/>
      <c r="J43" s="1448">
        <v>-0.8</v>
      </c>
      <c r="K43" s="1449"/>
      <c r="L43" s="227"/>
    </row>
    <row r="44" spans="1:12" s="221" customFormat="1" ht="15" customHeight="1">
      <c r="B44" s="688" t="s">
        <v>831</v>
      </c>
      <c r="E44" s="1322"/>
      <c r="F44" s="1325">
        <v>0.6</v>
      </c>
      <c r="G44" s="688" t="s">
        <v>864</v>
      </c>
      <c r="I44" s="984"/>
      <c r="J44" s="1448">
        <v>-0.69099999999999995</v>
      </c>
      <c r="K44" s="1449"/>
      <c r="L44" s="227"/>
    </row>
    <row r="45" spans="1:12" s="221" customFormat="1" ht="15" customHeight="1">
      <c r="B45" s="688"/>
      <c r="E45" s="1322"/>
      <c r="G45" s="688"/>
      <c r="I45" s="1322"/>
      <c r="J45" s="688"/>
      <c r="K45" s="1322"/>
      <c r="L45" s="227"/>
    </row>
    <row r="46" spans="1:12" s="221" customFormat="1" ht="15" customHeight="1">
      <c r="B46" s="688"/>
      <c r="E46" s="1322"/>
      <c r="G46" s="688"/>
      <c r="I46" s="984"/>
      <c r="K46" s="1138"/>
      <c r="L46" s="227"/>
    </row>
    <row r="47" spans="1:12" s="221" customFormat="1" ht="15" customHeight="1">
      <c r="B47" s="688"/>
      <c r="E47" s="1322"/>
      <c r="F47" s="1324"/>
      <c r="G47" s="688"/>
      <c r="I47" s="984"/>
      <c r="K47" s="1138"/>
      <c r="L47" s="227"/>
    </row>
    <row r="48" spans="1:12" s="221" customFormat="1" ht="15" customHeight="1">
      <c r="B48" s="1005"/>
      <c r="C48" s="767"/>
      <c r="D48" s="767"/>
      <c r="E48" s="768"/>
      <c r="F48" s="1326"/>
      <c r="G48" s="1005"/>
      <c r="H48" s="767"/>
      <c r="I48" s="768"/>
      <c r="J48" s="1308"/>
      <c r="K48" s="1139"/>
      <c r="L48" s="227"/>
    </row>
    <row r="49" spans="1:12" s="221" customFormat="1" ht="15" customHeight="1">
      <c r="L49" s="227"/>
    </row>
    <row r="50" spans="1:12" s="9" customFormat="1" ht="15" customHeight="1">
      <c r="A50" s="221"/>
      <c r="L50" s="227"/>
    </row>
    <row r="51" spans="1:12" ht="15" customHeight="1">
      <c r="A51" s="227"/>
    </row>
    <row r="52" spans="1:12" ht="15" customHeight="1">
      <c r="A52" s="227"/>
      <c r="B52" s="1282" t="s">
        <v>824</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69"/>
      <c r="H64" s="1469"/>
      <c r="I64" s="1469"/>
      <c r="J64" s="440"/>
      <c r="K64" s="222"/>
    </row>
    <row r="65" spans="2:11" ht="12.6" customHeight="1">
      <c r="B65" s="1443"/>
      <c r="C65" s="1443"/>
      <c r="D65" s="1443"/>
      <c r="E65" s="1443"/>
      <c r="F65" s="222"/>
      <c r="G65" s="571"/>
      <c r="H65" s="571"/>
      <c r="I65" s="571"/>
      <c r="J65" s="440"/>
      <c r="K65" s="440"/>
    </row>
    <row r="66" spans="2:11" ht="12.6" customHeight="1">
      <c r="B66" s="1443"/>
      <c r="C66" s="1443"/>
      <c r="D66" s="1443"/>
      <c r="E66" s="1443"/>
      <c r="F66" s="567"/>
      <c r="G66" s="1469"/>
      <c r="H66" s="1469"/>
      <c r="I66" s="1469"/>
      <c r="J66" s="222"/>
      <c r="K66" s="222"/>
    </row>
    <row r="67" spans="2:11" ht="12.6" customHeight="1">
      <c r="B67" s="1443"/>
      <c r="C67" s="1443"/>
      <c r="D67" s="1443"/>
      <c r="E67" s="1443"/>
      <c r="F67" s="222"/>
      <c r="G67" s="1469"/>
      <c r="H67" s="1469"/>
      <c r="I67" s="1469"/>
      <c r="J67" s="222"/>
      <c r="K67" s="222"/>
    </row>
    <row r="68" spans="2:11" ht="12.6" customHeight="1">
      <c r="B68" s="1469"/>
      <c r="C68" s="1469"/>
      <c r="D68" s="1469"/>
      <c r="E68" s="1469"/>
      <c r="F68" s="567"/>
      <c r="G68" s="1469"/>
      <c r="H68" s="1469"/>
      <c r="I68" s="1469"/>
      <c r="J68" s="440"/>
      <c r="K68" s="222"/>
    </row>
    <row r="69" spans="2:11" ht="12.6" customHeight="1">
      <c r="B69" s="1469"/>
      <c r="C69" s="1469"/>
      <c r="D69" s="1469"/>
      <c r="E69" s="1469"/>
      <c r="F69" s="440"/>
      <c r="G69" s="1469"/>
      <c r="H69" s="1469"/>
      <c r="I69" s="1469"/>
      <c r="J69" s="222"/>
    </row>
    <row r="70" spans="2:11" ht="12.6" customHeight="1">
      <c r="F70" s="227"/>
      <c r="G70" s="1469"/>
      <c r="H70" s="1469"/>
      <c r="I70" s="1469"/>
      <c r="J70" s="222"/>
    </row>
    <row r="71" spans="2:11" ht="12.6" customHeight="1">
      <c r="B71" s="227"/>
      <c r="C71" s="227"/>
      <c r="D71" s="227"/>
      <c r="F71" s="227"/>
      <c r="G71" s="1469"/>
      <c r="H71" s="1469"/>
      <c r="I71" s="1469"/>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4">
    <mergeCell ref="J44:K44"/>
    <mergeCell ref="J41:K41"/>
    <mergeCell ref="G70:I70"/>
    <mergeCell ref="B11:C11"/>
    <mergeCell ref="B68:E68"/>
    <mergeCell ref="J42:K42"/>
    <mergeCell ref="G71:I71"/>
    <mergeCell ref="G67:I67"/>
    <mergeCell ref="G64:I64"/>
    <mergeCell ref="B66:E66"/>
    <mergeCell ref="B40:E40"/>
    <mergeCell ref="B65:E65"/>
    <mergeCell ref="B69:E69"/>
    <mergeCell ref="G69:I69"/>
    <mergeCell ref="G40:I40"/>
    <mergeCell ref="G68:I68"/>
    <mergeCell ref="B67:E67"/>
    <mergeCell ref="G66:I66"/>
    <mergeCell ref="D7:D8"/>
    <mergeCell ref="G7:G8"/>
    <mergeCell ref="B9:C9"/>
    <mergeCell ref="J43:K43"/>
    <mergeCell ref="B3:L3"/>
    <mergeCell ref="B4:L4"/>
    <mergeCell ref="J7:J8"/>
    <mergeCell ref="L7:L8"/>
    <mergeCell ref="J6:L6"/>
    <mergeCell ref="D6:F6"/>
    <mergeCell ref="G6:I6"/>
    <mergeCell ref="I7:I8"/>
    <mergeCell ref="F7:F8"/>
    <mergeCell ref="B10:C10"/>
    <mergeCell ref="B6:C8"/>
    <mergeCell ref="J40:K40"/>
  </mergeCells>
  <phoneticPr fontId="3"/>
  <conditionalFormatting sqref="U41:V41 U43:V46 F42">
    <cfRule type="cellIs" dxfId="765" priority="39" stopIfTrue="1" operator="lessThan">
      <formula>0</formula>
    </cfRule>
  </conditionalFormatting>
  <conditionalFormatting sqref="F47:F48">
    <cfRule type="cellIs" dxfId="764" priority="12" stopIfTrue="1" operator="lessThan">
      <formula>0</formula>
    </cfRule>
  </conditionalFormatting>
  <conditionalFormatting sqref="F48">
    <cfRule type="cellIs" dxfId="763" priority="11" stopIfTrue="1" operator="lessThan">
      <formula>0</formula>
    </cfRule>
  </conditionalFormatting>
  <conditionalFormatting sqref="F43">
    <cfRule type="cellIs" dxfId="762" priority="4" stopIfTrue="1" operator="lessThan">
      <formula>0</formula>
    </cfRule>
  </conditionalFormatting>
  <conditionalFormatting sqref="F44">
    <cfRule type="cellIs" dxfId="761" priority="8" stopIfTrue="1" operator="lessThan">
      <formula>0</formula>
    </cfRule>
  </conditionalFormatting>
  <conditionalFormatting sqref="F41">
    <cfRule type="cellIs" dxfId="760" priority="7" stopIfTrue="1" operator="lessThan">
      <formula>0</formula>
    </cfRule>
  </conditionalFormatting>
  <conditionalFormatting sqref="F42">
    <cfRule type="cellIs" dxfId="759" priority="6" stopIfTrue="1" operator="lessThan">
      <formula>0</formula>
    </cfRule>
  </conditionalFormatting>
  <conditionalFormatting sqref="F42">
    <cfRule type="cellIs" dxfId="758" priority="5" stopIfTrue="1" operator="lessThan">
      <formula>0</formula>
    </cfRule>
  </conditionalFormatting>
  <conditionalFormatting sqref="J43:J44">
    <cfRule type="cellIs" dxfId="757" priority="3" stopIfTrue="1" operator="lessThan">
      <formula>0</formula>
    </cfRule>
  </conditionalFormatting>
  <conditionalFormatting sqref="J41">
    <cfRule type="cellIs" dxfId="756" priority="2" stopIfTrue="1" operator="lessThan">
      <formula>0</formula>
    </cfRule>
  </conditionalFormatting>
  <conditionalFormatting sqref="J42">
    <cfRule type="cellIs" dxfId="755" priority="1"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topLeftCell="A18" zoomScaleNormal="100" zoomScaleSheetLayoutView="100" workbookViewId="0">
      <selection activeCell="C27" sqref="C27:H48"/>
    </sheetView>
  </sheetViews>
  <sheetFormatPr defaultColWidth="8.88671875" defaultRowHeight="9.6"/>
  <cols>
    <col min="1" max="1" width="25.33203125" style="227" customWidth="1"/>
    <col min="2" max="2" width="16.33203125" style="227" customWidth="1"/>
    <col min="3" max="8" width="6.33203125" style="227" customWidth="1"/>
    <col min="9" max="9" width="4" style="227" customWidth="1"/>
    <col min="10" max="16384" width="8.88671875" style="227"/>
  </cols>
  <sheetData>
    <row r="1" spans="1:1" ht="15" customHeight="1">
      <c r="A1" s="225" t="s">
        <v>99</v>
      </c>
    </row>
    <row r="2" spans="1:1" ht="15" customHeight="1"/>
    <row r="3" spans="1:1" ht="15.9"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 customHeight="1" thickBot="1">
      <c r="A24" s="383" t="s">
        <v>51</v>
      </c>
      <c r="F24" s="238"/>
      <c r="G24" s="1166"/>
    </row>
    <row r="25" spans="1:10" ht="15" customHeight="1">
      <c r="A25" s="233"/>
      <c r="B25" s="234"/>
      <c r="C25" s="1310"/>
      <c r="D25" s="1309" t="s">
        <v>822</v>
      </c>
      <c r="E25" s="1268"/>
      <c r="F25" s="1268"/>
      <c r="G25" s="1268"/>
      <c r="H25" s="1268"/>
    </row>
    <row r="26" spans="1:10" ht="15" customHeight="1" thickBot="1">
      <c r="A26" s="235"/>
      <c r="B26" s="236"/>
      <c r="C26" s="1311" t="s">
        <v>865</v>
      </c>
      <c r="D26" s="1112" t="s">
        <v>866</v>
      </c>
      <c r="E26" s="1112" t="s">
        <v>867</v>
      </c>
      <c r="F26" s="1112" t="s">
        <v>868</v>
      </c>
      <c r="G26" s="1112" t="s">
        <v>869</v>
      </c>
      <c r="H26" s="1112" t="s">
        <v>870</v>
      </c>
    </row>
    <row r="27" spans="1:10" ht="15" customHeight="1">
      <c r="A27" s="460" t="s">
        <v>133</v>
      </c>
      <c r="B27" s="461"/>
      <c r="C27" s="1312">
        <v>150.4</v>
      </c>
      <c r="D27" s="566">
        <v>141.19999999999999</v>
      </c>
      <c r="E27" s="566">
        <v>155.69999999999999</v>
      </c>
      <c r="F27" s="566">
        <v>148.9</v>
      </c>
      <c r="G27" s="566">
        <v>146.6</v>
      </c>
      <c r="H27" s="566">
        <v>150.9</v>
      </c>
      <c r="J27" s="781"/>
    </row>
    <row r="28" spans="1:10" ht="15" customHeight="1" thickBot="1">
      <c r="A28" s="462"/>
      <c r="B28" s="463" t="s">
        <v>65</v>
      </c>
      <c r="C28" s="1313">
        <v>5.0999999999999943</v>
      </c>
      <c r="D28" s="376">
        <v>-9.2000000000000171</v>
      </c>
      <c r="E28" s="376">
        <v>14.5</v>
      </c>
      <c r="F28" s="376">
        <v>-6.7999999999999829</v>
      </c>
      <c r="G28" s="376">
        <v>-2.3000000000000114</v>
      </c>
      <c r="H28" s="376">
        <v>4.3000000000000114</v>
      </c>
    </row>
    <row r="29" spans="1:10" ht="15" customHeight="1">
      <c r="A29" s="464" t="s">
        <v>313</v>
      </c>
      <c r="B29" s="469" t="s">
        <v>67</v>
      </c>
      <c r="C29" s="1314">
        <v>6.5878935903359928</v>
      </c>
      <c r="D29" s="240">
        <v>-0.83746450401886408</v>
      </c>
      <c r="E29" s="240">
        <v>-9.1501065631081104</v>
      </c>
      <c r="F29" s="240">
        <v>-0.6465154588045664</v>
      </c>
      <c r="G29" s="240">
        <v>-3.460057486848521</v>
      </c>
      <c r="H29" s="240">
        <v>5.6002574831026681</v>
      </c>
    </row>
    <row r="30" spans="1:10" ht="15" customHeight="1">
      <c r="A30" s="466" t="s">
        <v>485</v>
      </c>
      <c r="B30" s="467" t="s">
        <v>136</v>
      </c>
      <c r="C30" s="1315">
        <v>1.6</v>
      </c>
      <c r="D30" s="241">
        <v>-0.3</v>
      </c>
      <c r="E30" s="241">
        <v>-1.8</v>
      </c>
      <c r="F30" s="241">
        <v>-0.3</v>
      </c>
      <c r="G30" s="241">
        <v>-1</v>
      </c>
      <c r="H30" s="241">
        <v>1.5</v>
      </c>
    </row>
    <row r="31" spans="1:10" ht="15" customHeight="1">
      <c r="A31" s="464" t="s">
        <v>486</v>
      </c>
      <c r="B31" s="469" t="s">
        <v>67</v>
      </c>
      <c r="C31" s="1316">
        <v>3.8727524204702584</v>
      </c>
      <c r="D31" s="239">
        <v>3.2042723631508561</v>
      </c>
      <c r="E31" s="239">
        <v>13.480392156862745</v>
      </c>
      <c r="F31" s="239">
        <v>-6.7655786350148235</v>
      </c>
      <c r="G31" s="239">
        <v>-3.5000000000000142</v>
      </c>
      <c r="H31" s="239">
        <v>1.6403785488959135</v>
      </c>
    </row>
    <row r="32" spans="1:10" ht="15" customHeight="1">
      <c r="A32" s="464"/>
      <c r="B32" s="467" t="s">
        <v>136</v>
      </c>
      <c r="C32" s="1316">
        <v>1.8</v>
      </c>
      <c r="D32" s="239">
        <v>1.5</v>
      </c>
      <c r="E32" s="239">
        <v>5.7</v>
      </c>
      <c r="F32" s="239">
        <v>-2.9</v>
      </c>
      <c r="G32" s="239">
        <v>-1.4</v>
      </c>
      <c r="H32" s="239">
        <v>0.8</v>
      </c>
    </row>
    <row r="33" spans="1:8" ht="15" customHeight="1">
      <c r="A33" s="468" t="s">
        <v>487</v>
      </c>
      <c r="B33" s="469" t="s">
        <v>67</v>
      </c>
      <c r="C33" s="1317">
        <v>-12.19624025676295</v>
      </c>
      <c r="D33" s="242">
        <v>-6.0362173038229372</v>
      </c>
      <c r="E33" s="242">
        <v>39.333333333333329</v>
      </c>
      <c r="F33" s="242">
        <v>-16.428033157498113</v>
      </c>
      <c r="G33" s="242">
        <v>3.0719482619240077</v>
      </c>
      <c r="H33" s="242">
        <v>-2.4174053182917001</v>
      </c>
    </row>
    <row r="34" spans="1:8" ht="15" customHeight="1">
      <c r="A34" s="466"/>
      <c r="B34" s="467" t="s">
        <v>136</v>
      </c>
      <c r="C34" s="1315">
        <v>-1.8</v>
      </c>
      <c r="D34" s="241">
        <v>-0.9</v>
      </c>
      <c r="E34" s="241">
        <v>5.2</v>
      </c>
      <c r="F34" s="241">
        <v>-2.5</v>
      </c>
      <c r="G34" s="241">
        <v>0.4</v>
      </c>
      <c r="H34" s="241">
        <v>-0.4</v>
      </c>
    </row>
    <row r="35" spans="1:8" ht="15" customHeight="1">
      <c r="A35" s="464" t="s">
        <v>314</v>
      </c>
      <c r="B35" s="465" t="s">
        <v>67</v>
      </c>
      <c r="C35" s="1317">
        <v>11.318681318681319</v>
      </c>
      <c r="D35" s="242">
        <v>-6.6353257219610473</v>
      </c>
      <c r="E35" s="242">
        <v>0.63703088214928683</v>
      </c>
      <c r="F35" s="242">
        <v>-1.9514914970727628</v>
      </c>
      <c r="G35" s="242">
        <v>-4.9624927870744378</v>
      </c>
      <c r="H35" s="242">
        <v>5.9144415733563021</v>
      </c>
    </row>
    <row r="36" spans="1:8" ht="15" customHeight="1">
      <c r="A36" s="464" t="s">
        <v>70</v>
      </c>
      <c r="B36" s="465" t="s">
        <v>136</v>
      </c>
      <c r="C36" s="1316">
        <v>3.6</v>
      </c>
      <c r="D36" s="239">
        <v>-2.2999999999999998</v>
      </c>
      <c r="E36" s="239">
        <v>0.1</v>
      </c>
      <c r="F36" s="239">
        <v>-0.7</v>
      </c>
      <c r="G36" s="239">
        <v>-1.6</v>
      </c>
      <c r="H36" s="239">
        <v>1.9</v>
      </c>
    </row>
    <row r="37" spans="1:8" ht="15" customHeight="1">
      <c r="A37" s="468" t="s">
        <v>315</v>
      </c>
      <c r="B37" s="469" t="s">
        <v>67</v>
      </c>
      <c r="C37" s="1317">
        <v>-13.528336380255942</v>
      </c>
      <c r="D37" s="242">
        <v>-78.308321964529327</v>
      </c>
      <c r="E37" s="242">
        <v>42.95774647887324</v>
      </c>
      <c r="F37" s="242">
        <v>-16.981132075471699</v>
      </c>
      <c r="G37" s="242">
        <v>-0.34423407917383819</v>
      </c>
      <c r="H37" s="242">
        <v>20.710973724884081</v>
      </c>
    </row>
    <row r="38" spans="1:8" ht="15" customHeight="1">
      <c r="A38" s="466" t="s">
        <v>71</v>
      </c>
      <c r="B38" s="467" t="s">
        <v>136</v>
      </c>
      <c r="C38" s="1315">
        <v>-1.1000000000000001</v>
      </c>
      <c r="D38" s="241">
        <v>-5.4</v>
      </c>
      <c r="E38" s="241">
        <v>3.3</v>
      </c>
      <c r="F38" s="241">
        <v>-1.3</v>
      </c>
      <c r="G38" s="241">
        <v>0</v>
      </c>
      <c r="H38" s="241">
        <v>1.6</v>
      </c>
    </row>
    <row r="39" spans="1:8" ht="15" customHeight="1">
      <c r="A39" s="464" t="s">
        <v>472</v>
      </c>
      <c r="B39" s="469" t="s">
        <v>67</v>
      </c>
      <c r="C39" s="1316">
        <v>-1</v>
      </c>
      <c r="D39" s="239">
        <v>5</v>
      </c>
      <c r="E39" s="239">
        <v>-3</v>
      </c>
      <c r="F39" s="239">
        <v>-2</v>
      </c>
      <c r="G39" s="239">
        <v>-3</v>
      </c>
      <c r="H39" s="239">
        <v>2</v>
      </c>
    </row>
    <row r="40" spans="1:8" ht="15" customHeight="1">
      <c r="A40" s="702"/>
      <c r="B40" s="645" t="s">
        <v>69</v>
      </c>
      <c r="C40" s="1316">
        <v>0.5</v>
      </c>
      <c r="D40" s="239">
        <v>-2.2999999999999998</v>
      </c>
      <c r="E40" s="239">
        <v>1.5</v>
      </c>
      <c r="F40" s="239">
        <v>1</v>
      </c>
      <c r="G40" s="239">
        <v>1.4</v>
      </c>
      <c r="H40" s="239">
        <v>-0.9</v>
      </c>
    </row>
    <row r="41" spans="1:8" ht="15" customHeight="1">
      <c r="A41" s="468" t="s">
        <v>139</v>
      </c>
      <c r="B41" s="469" t="s">
        <v>135</v>
      </c>
      <c r="C41" s="1317">
        <v>0.29999999999999716</v>
      </c>
      <c r="D41" s="242">
        <v>0.40000000000000568</v>
      </c>
      <c r="E41" s="242">
        <v>0.29999999999999716</v>
      </c>
      <c r="F41" s="242">
        <v>-0.70000000000000284</v>
      </c>
      <c r="G41" s="242">
        <v>-0.59999999999999432</v>
      </c>
      <c r="H41" s="242">
        <v>-0.70000000000000284</v>
      </c>
    </row>
    <row r="42" spans="1:8" ht="15" customHeight="1">
      <c r="A42" s="466"/>
      <c r="B42" s="467" t="s">
        <v>136</v>
      </c>
      <c r="C42" s="1316">
        <v>0</v>
      </c>
      <c r="D42" s="239">
        <v>-0.1</v>
      </c>
      <c r="E42" s="239">
        <v>-0.2</v>
      </c>
      <c r="F42" s="239">
        <v>-0.8</v>
      </c>
      <c r="G42" s="239">
        <v>-0.7</v>
      </c>
      <c r="H42" s="239">
        <v>-0.7</v>
      </c>
    </row>
    <row r="43" spans="1:8" ht="15" customHeight="1">
      <c r="A43" s="468" t="s">
        <v>134</v>
      </c>
      <c r="B43" s="469"/>
      <c r="C43" s="1317"/>
      <c r="D43" s="242"/>
      <c r="E43" s="242"/>
      <c r="F43" s="242"/>
      <c r="G43" s="242"/>
      <c r="H43" s="242"/>
    </row>
    <row r="44" spans="1:8" ht="15" customHeight="1" thickBot="1">
      <c r="A44" s="464"/>
      <c r="B44" s="465" t="s">
        <v>136</v>
      </c>
      <c r="C44" s="1318">
        <v>0.37</v>
      </c>
      <c r="D44" s="237">
        <v>0.69</v>
      </c>
      <c r="E44" s="237">
        <v>0.71</v>
      </c>
      <c r="F44" s="237">
        <v>0.56000000000000005</v>
      </c>
      <c r="G44" s="237">
        <v>0.5</v>
      </c>
      <c r="H44" s="237">
        <v>0.55000000000000004</v>
      </c>
    </row>
    <row r="45" spans="1:8" ht="15" customHeight="1">
      <c r="A45" s="471" t="s">
        <v>142</v>
      </c>
      <c r="B45" s="461"/>
      <c r="C45" s="1312">
        <v>147.73333333333335</v>
      </c>
      <c r="D45" s="566">
        <v>145.63333333333335</v>
      </c>
      <c r="E45" s="566">
        <v>149.1</v>
      </c>
      <c r="F45" s="566">
        <v>148.6</v>
      </c>
      <c r="G45" s="566">
        <v>150.4</v>
      </c>
      <c r="H45" s="566">
        <v>148.79999999999998</v>
      </c>
    </row>
    <row r="46" spans="1:8" ht="15" customHeight="1">
      <c r="A46" s="466"/>
      <c r="B46" s="467" t="s">
        <v>65</v>
      </c>
      <c r="C46" s="1316">
        <v>1.3666666666666742</v>
      </c>
      <c r="D46" s="239">
        <v>-2.0999999999999943</v>
      </c>
      <c r="E46" s="239">
        <v>3.4666666666666401</v>
      </c>
      <c r="F46" s="239">
        <v>-0.5</v>
      </c>
      <c r="G46" s="239">
        <v>1.8000000000000114</v>
      </c>
      <c r="H46" s="239">
        <v>-1.6000000000000227</v>
      </c>
    </row>
    <row r="47" spans="1:8" ht="15" customHeight="1">
      <c r="A47" s="464" t="s">
        <v>143</v>
      </c>
      <c r="B47" s="465"/>
      <c r="C47" s="1319">
        <v>144.49999999999997</v>
      </c>
      <c r="D47" s="1113">
        <v>144.55714285714285</v>
      </c>
      <c r="E47" s="1113">
        <v>146.78571428571428</v>
      </c>
      <c r="F47" s="1113">
        <v>147.90000000000003</v>
      </c>
      <c r="G47" s="1113">
        <v>147.94285714285715</v>
      </c>
      <c r="H47" s="1113">
        <v>148.42857142857142</v>
      </c>
    </row>
    <row r="48" spans="1:8" ht="15" customHeight="1" thickBot="1">
      <c r="A48" s="462"/>
      <c r="B48" s="463" t="s">
        <v>65</v>
      </c>
      <c r="C48" s="1318">
        <v>1.428571428571388</v>
      </c>
      <c r="D48" s="237">
        <v>5.7142857142878256E-2</v>
      </c>
      <c r="E48" s="237">
        <v>2.2285714285714278</v>
      </c>
      <c r="F48" s="237">
        <v>1.1142857142857565</v>
      </c>
      <c r="G48" s="237">
        <v>4.285714285711606E-2</v>
      </c>
      <c r="H48" s="237">
        <v>0.48571428571426623</v>
      </c>
    </row>
    <row r="49" spans="1:8" ht="15" customHeight="1">
      <c r="B49" s="464"/>
    </row>
    <row r="50" spans="1:8" ht="15" customHeight="1">
      <c r="A50" s="1474" t="s">
        <v>574</v>
      </c>
      <c r="B50" s="1475"/>
      <c r="C50" s="1475"/>
      <c r="D50" s="1475"/>
      <c r="E50" s="1475"/>
      <c r="F50" s="1475"/>
      <c r="G50" s="1475"/>
      <c r="H50" s="1475"/>
    </row>
    <row r="51" spans="1:8" ht="15" customHeight="1">
      <c r="A51" s="1474" t="s">
        <v>599</v>
      </c>
      <c r="B51" s="1475"/>
      <c r="C51" s="1475"/>
      <c r="D51" s="1475"/>
      <c r="E51" s="1475"/>
      <c r="F51" s="1475"/>
      <c r="G51" s="1475"/>
      <c r="H51" s="1475"/>
    </row>
    <row r="52" spans="1:8" ht="15" customHeight="1">
      <c r="A52" s="476" t="s">
        <v>600</v>
      </c>
      <c r="B52"/>
      <c r="C52"/>
      <c r="D52"/>
      <c r="E52"/>
      <c r="F52"/>
      <c r="G52"/>
      <c r="H52"/>
    </row>
    <row r="53" spans="1:8" ht="15" customHeight="1">
      <c r="A53" s="1474" t="s">
        <v>575</v>
      </c>
      <c r="B53" s="1475"/>
      <c r="C53" s="1475"/>
      <c r="D53" s="1475"/>
      <c r="E53" s="1475"/>
      <c r="F53" s="1475"/>
      <c r="G53" s="1475"/>
      <c r="H53" s="1475"/>
    </row>
    <row r="54" spans="1:8" ht="12.6" customHeight="1"/>
    <row r="55" spans="1:8" ht="12.6" customHeight="1">
      <c r="A55" s="1283" t="s">
        <v>824</v>
      </c>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75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topLeftCell="A19" zoomScaleNormal="100" zoomScaleSheetLayoutView="100" workbookViewId="0">
      <selection activeCell="C27" sqref="C27:H48"/>
    </sheetView>
  </sheetViews>
  <sheetFormatPr defaultColWidth="8.88671875" defaultRowHeight="9.6"/>
  <cols>
    <col min="1" max="1" width="25.33203125" style="227" customWidth="1"/>
    <col min="2" max="2" width="16.33203125" style="227" customWidth="1"/>
    <col min="3" max="8" width="6.6640625" style="227" customWidth="1"/>
    <col min="9" max="9" width="3.44140625" style="227" customWidth="1"/>
    <col min="10" max="16384" width="8.88671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 customHeight="1" thickBot="1">
      <c r="A24" s="383" t="s">
        <v>51</v>
      </c>
      <c r="G24" s="1167"/>
    </row>
    <row r="25" spans="1:8" ht="15" customHeight="1">
      <c r="A25" s="233"/>
      <c r="B25" s="234"/>
      <c r="C25" s="1310"/>
      <c r="D25" s="1309" t="s">
        <v>822</v>
      </c>
      <c r="E25" s="1268"/>
      <c r="F25" s="1268"/>
      <c r="G25" s="1268"/>
      <c r="H25" s="1268"/>
    </row>
    <row r="26" spans="1:8" ht="15" customHeight="1" thickBot="1">
      <c r="A26" s="238"/>
      <c r="B26" s="243"/>
      <c r="C26" s="1311" t="s">
        <v>865</v>
      </c>
      <c r="D26" s="1112" t="s">
        <v>866</v>
      </c>
      <c r="E26" s="1112" t="s">
        <v>867</v>
      </c>
      <c r="F26" s="1112" t="s">
        <v>868</v>
      </c>
      <c r="G26" s="1112" t="s">
        <v>869</v>
      </c>
      <c r="H26" s="1112" t="s">
        <v>870</v>
      </c>
    </row>
    <row r="27" spans="1:8" ht="15" customHeight="1">
      <c r="A27" s="460" t="s">
        <v>186</v>
      </c>
      <c r="B27" s="461"/>
      <c r="C27" s="1312">
        <v>138.80000000000001</v>
      </c>
      <c r="D27" s="566">
        <v>141</v>
      </c>
      <c r="E27" s="566">
        <v>141.30000000000001</v>
      </c>
      <c r="F27" s="566">
        <v>133.5</v>
      </c>
      <c r="G27" s="566">
        <v>131.5</v>
      </c>
      <c r="H27" s="566">
        <v>132.1</v>
      </c>
    </row>
    <row r="28" spans="1:8" ht="15" customHeight="1" thickBot="1">
      <c r="A28" s="462"/>
      <c r="B28" s="463" t="s">
        <v>65</v>
      </c>
      <c r="C28" s="1313">
        <v>-14.699999999999989</v>
      </c>
      <c r="D28" s="376">
        <v>2.1999999999999886</v>
      </c>
      <c r="E28" s="376">
        <v>0.30000000000001137</v>
      </c>
      <c r="F28" s="376">
        <v>-7.8000000000000114</v>
      </c>
      <c r="G28" s="376">
        <v>-2</v>
      </c>
      <c r="H28" s="376">
        <v>0.59999999999999432</v>
      </c>
    </row>
    <row r="29" spans="1:8" ht="15" customHeight="1">
      <c r="A29" s="464" t="s">
        <v>294</v>
      </c>
      <c r="B29" s="469" t="s">
        <v>135</v>
      </c>
      <c r="C29" s="1314">
        <v>-2.0000000000000018E-2</v>
      </c>
      <c r="D29" s="240">
        <v>0</v>
      </c>
      <c r="E29" s="240">
        <v>0</v>
      </c>
      <c r="F29" s="240">
        <v>-4.0000000000000036E-2</v>
      </c>
      <c r="G29" s="240">
        <v>-4.9999999999999822E-2</v>
      </c>
      <c r="H29" s="240">
        <v>-1.0000000000000009E-2</v>
      </c>
    </row>
    <row r="30" spans="1:8" ht="15" customHeight="1">
      <c r="A30" s="466" t="s">
        <v>66</v>
      </c>
      <c r="B30" s="467" t="s">
        <v>136</v>
      </c>
      <c r="C30" s="1315">
        <v>-1.4550000000000001</v>
      </c>
      <c r="D30" s="241">
        <v>-0.186</v>
      </c>
      <c r="E30" s="241">
        <v>-0.187</v>
      </c>
      <c r="F30" s="241">
        <v>-2.7320000000000002</v>
      </c>
      <c r="G30" s="241">
        <v>-3.2149999999999999</v>
      </c>
      <c r="H30" s="241">
        <v>-0.69099999999999995</v>
      </c>
    </row>
    <row r="31" spans="1:8" ht="15" customHeight="1">
      <c r="A31" s="464" t="s">
        <v>488</v>
      </c>
      <c r="B31" s="469" t="s">
        <v>67</v>
      </c>
      <c r="C31" s="1316">
        <v>1.3258695515441177</v>
      </c>
      <c r="D31" s="239">
        <v>0.46379413524835206</v>
      </c>
      <c r="E31" s="239">
        <v>5.5814853328819174</v>
      </c>
      <c r="F31" s="239">
        <v>2.6648715151233824</v>
      </c>
      <c r="G31" s="239">
        <v>4.3014850098066608</v>
      </c>
      <c r="H31" s="239">
        <v>3.7402698076032741</v>
      </c>
    </row>
    <row r="32" spans="1:8" ht="15" customHeight="1">
      <c r="A32" s="464"/>
      <c r="B32" s="470" t="s">
        <v>69</v>
      </c>
      <c r="C32" s="1316">
        <v>-0.5</v>
      </c>
      <c r="D32" s="239">
        <v>-0.2</v>
      </c>
      <c r="E32" s="239">
        <v>-1.9</v>
      </c>
      <c r="F32" s="239">
        <v>-0.9</v>
      </c>
      <c r="G32" s="239">
        <v>-1.3</v>
      </c>
      <c r="H32" s="239">
        <v>-1.1000000000000001</v>
      </c>
    </row>
    <row r="33" spans="1:11" ht="15" customHeight="1">
      <c r="A33" s="468" t="s">
        <v>489</v>
      </c>
      <c r="B33" s="469" t="s">
        <v>67</v>
      </c>
      <c r="C33" s="1317">
        <v>0</v>
      </c>
      <c r="D33" s="242">
        <v>1.8518518518518616</v>
      </c>
      <c r="E33" s="242">
        <v>-2.7906976744186114</v>
      </c>
      <c r="F33" s="242">
        <v>-4.8309178743961354</v>
      </c>
      <c r="G33" s="242">
        <v>2.92682926829269</v>
      </c>
      <c r="H33" s="242">
        <v>-3.9215686274509842</v>
      </c>
    </row>
    <row r="34" spans="1:11" ht="15" customHeight="1">
      <c r="A34" s="464" t="s">
        <v>68</v>
      </c>
      <c r="B34" s="467" t="s">
        <v>136</v>
      </c>
      <c r="C34" s="1315">
        <v>0</v>
      </c>
      <c r="D34" s="241">
        <v>0.5</v>
      </c>
      <c r="E34" s="241">
        <v>-0.8</v>
      </c>
      <c r="F34" s="241">
        <v>-1.3</v>
      </c>
      <c r="G34" s="241">
        <v>0.7</v>
      </c>
      <c r="H34" s="241">
        <v>-1</v>
      </c>
    </row>
    <row r="35" spans="1:11" ht="15" customHeight="1">
      <c r="A35" s="468" t="s">
        <v>490</v>
      </c>
      <c r="B35" s="465" t="s">
        <v>67</v>
      </c>
      <c r="C35" s="1317">
        <v>-36.856368563685635</v>
      </c>
      <c r="D35" s="242">
        <v>5.2830188679245342</v>
      </c>
      <c r="E35" s="242">
        <v>12.966601178781927</v>
      </c>
      <c r="F35" s="242">
        <v>-17.125688532799209</v>
      </c>
      <c r="G35" s="242">
        <v>17.400000000000006</v>
      </c>
      <c r="H35" s="242">
        <v>-4.9010367577756861</v>
      </c>
    </row>
    <row r="36" spans="1:11" ht="15" customHeight="1">
      <c r="A36" s="466"/>
      <c r="B36" s="465" t="s">
        <v>136</v>
      </c>
      <c r="C36" s="1316">
        <v>-4.3</v>
      </c>
      <c r="D36" s="239">
        <v>0.9</v>
      </c>
      <c r="E36" s="239">
        <v>2.2000000000000002</v>
      </c>
      <c r="F36" s="239">
        <v>-2.9</v>
      </c>
      <c r="G36" s="239">
        <v>2.2000000000000002</v>
      </c>
      <c r="H36" s="239">
        <v>-0.8</v>
      </c>
    </row>
    <row r="37" spans="1:11" ht="15" customHeight="1">
      <c r="A37" s="464" t="s">
        <v>510</v>
      </c>
      <c r="B37" s="469" t="s">
        <v>67</v>
      </c>
      <c r="C37" s="1317">
        <v>-9.0909090909090757</v>
      </c>
      <c r="D37" s="242">
        <v>0.64360418342718995</v>
      </c>
      <c r="E37" s="242">
        <v>3.4672970843183539</v>
      </c>
      <c r="F37" s="242">
        <v>-3.3871602993304433</v>
      </c>
      <c r="G37" s="242">
        <v>0.95693779904306442</v>
      </c>
      <c r="H37" s="242">
        <v>8.4378563283922414</v>
      </c>
    </row>
    <row r="38" spans="1:11" ht="15" customHeight="1">
      <c r="A38" s="464"/>
      <c r="B38" s="467" t="s">
        <v>136</v>
      </c>
      <c r="C38" s="1315">
        <v>-3.2</v>
      </c>
      <c r="D38" s="241">
        <v>0.2</v>
      </c>
      <c r="E38" s="241">
        <v>1.1000000000000001</v>
      </c>
      <c r="F38" s="241">
        <v>-1.2</v>
      </c>
      <c r="G38" s="241">
        <v>0.2</v>
      </c>
      <c r="H38" s="241">
        <v>1.3</v>
      </c>
    </row>
    <row r="39" spans="1:11" ht="15" customHeight="1">
      <c r="A39" s="468" t="s">
        <v>511</v>
      </c>
      <c r="B39" s="465" t="s">
        <v>67</v>
      </c>
      <c r="C39" s="1316">
        <v>-1.5769626328419688</v>
      </c>
      <c r="D39" s="239">
        <v>1.5769626328419688</v>
      </c>
      <c r="E39" s="239">
        <v>-1.163188504960649</v>
      </c>
      <c r="F39" s="239">
        <v>2.6485568760611051</v>
      </c>
      <c r="G39" s="239">
        <v>-1.010441226002021</v>
      </c>
      <c r="H39" s="239">
        <v>10.883482714468631</v>
      </c>
    </row>
    <row r="40" spans="1:11" ht="15" customHeight="1">
      <c r="A40" s="466"/>
      <c r="B40" s="465" t="s">
        <v>136</v>
      </c>
      <c r="C40" s="1316">
        <v>-0.5</v>
      </c>
      <c r="D40" s="239">
        <v>0.4</v>
      </c>
      <c r="E40" s="239">
        <v>-0.4</v>
      </c>
      <c r="F40" s="239">
        <v>0.6</v>
      </c>
      <c r="G40" s="239">
        <v>-0.3</v>
      </c>
      <c r="H40" s="239">
        <v>1.9</v>
      </c>
    </row>
    <row r="41" spans="1:11" ht="15" customHeight="1">
      <c r="A41" s="1184" t="s">
        <v>799</v>
      </c>
      <c r="B41" s="469" t="s">
        <v>135</v>
      </c>
      <c r="C41" s="1320">
        <v>9.6000000000000085</v>
      </c>
      <c r="D41" s="1149">
        <v>-0.70000000000000284</v>
      </c>
      <c r="E41" s="242">
        <v>-1.9000000000000057</v>
      </c>
      <c r="F41" s="242">
        <v>0.10000000000000853</v>
      </c>
      <c r="G41" s="242">
        <v>-2</v>
      </c>
      <c r="H41" s="242">
        <v>-2.1000000000000085</v>
      </c>
    </row>
    <row r="42" spans="1:11" ht="15" customHeight="1">
      <c r="A42" s="466"/>
      <c r="B42" s="470" t="s">
        <v>69</v>
      </c>
      <c r="C42" s="1316">
        <v>-3.2</v>
      </c>
      <c r="D42" s="239">
        <v>0.2</v>
      </c>
      <c r="E42" s="239">
        <v>0.5</v>
      </c>
      <c r="F42" s="239">
        <v>-0.1</v>
      </c>
      <c r="G42" s="239">
        <v>0.5</v>
      </c>
      <c r="H42" s="239">
        <v>0.6</v>
      </c>
      <c r="K42" s="948"/>
    </row>
    <row r="43" spans="1:11" ht="15" customHeight="1">
      <c r="A43" s="468" t="s">
        <v>644</v>
      </c>
      <c r="B43" s="469" t="s">
        <v>67</v>
      </c>
      <c r="C43" s="1317">
        <v>-39.494054963032006</v>
      </c>
      <c r="D43" s="242">
        <v>6.5474092351075033</v>
      </c>
      <c r="E43" s="242">
        <v>-11.433597185576076</v>
      </c>
      <c r="F43" s="242">
        <v>11.2420425301368</v>
      </c>
      <c r="G43" s="242">
        <v>-24.067045794672261</v>
      </c>
      <c r="H43" s="242">
        <v>12.074940852995725</v>
      </c>
    </row>
    <row r="44" spans="1:11" ht="15" customHeight="1" thickBot="1">
      <c r="A44" s="464"/>
      <c r="B44" s="465" t="s">
        <v>136</v>
      </c>
      <c r="C44" s="1318">
        <v>-1.7</v>
      </c>
      <c r="D44" s="237">
        <v>0.5</v>
      </c>
      <c r="E44" s="237">
        <v>-0.3</v>
      </c>
      <c r="F44" s="237">
        <v>0.6</v>
      </c>
      <c r="G44" s="237">
        <v>-0.9</v>
      </c>
      <c r="H44" s="237">
        <v>0.6</v>
      </c>
    </row>
    <row r="45" spans="1:11" ht="15" customHeight="1">
      <c r="A45" s="471" t="s">
        <v>142</v>
      </c>
      <c r="B45" s="461"/>
      <c r="C45" s="1321">
        <v>146.80000000000001</v>
      </c>
      <c r="D45" s="1148">
        <v>144.43333333333334</v>
      </c>
      <c r="E45" s="566">
        <v>140.36666666666667</v>
      </c>
      <c r="F45" s="566">
        <v>138.6</v>
      </c>
      <c r="G45" s="566">
        <v>135.43333333333334</v>
      </c>
      <c r="H45" s="566">
        <v>132.36666666666667</v>
      </c>
    </row>
    <row r="46" spans="1:11" ht="15" customHeight="1">
      <c r="A46" s="466"/>
      <c r="B46" s="467" t="s">
        <v>65</v>
      </c>
      <c r="C46" s="1316">
        <v>-2.5333333333333314</v>
      </c>
      <c r="D46" s="239">
        <v>-2.3666666666666742</v>
      </c>
      <c r="E46" s="239">
        <v>-4.0666666666666629</v>
      </c>
      <c r="F46" s="239">
        <v>-1.7666666666666799</v>
      </c>
      <c r="G46" s="239">
        <v>-3.1666666666666572</v>
      </c>
      <c r="H46" s="239">
        <v>-3.0666666666666629</v>
      </c>
    </row>
    <row r="47" spans="1:11" ht="15" customHeight="1">
      <c r="A47" s="464" t="s">
        <v>143</v>
      </c>
      <c r="B47" s="465"/>
      <c r="C47" s="1319">
        <v>144.68571428571428</v>
      </c>
      <c r="D47" s="1113">
        <v>143.84285714285716</v>
      </c>
      <c r="E47" s="1113">
        <v>143.97142857142856</v>
      </c>
      <c r="F47" s="1113">
        <v>143.22857142857143</v>
      </c>
      <c r="G47" s="1113">
        <v>141.1</v>
      </c>
      <c r="H47" s="1113">
        <v>138.81428571428572</v>
      </c>
    </row>
    <row r="48" spans="1:11" ht="15" customHeight="1" thickBot="1">
      <c r="A48" s="462"/>
      <c r="B48" s="463" t="s">
        <v>65</v>
      </c>
      <c r="C48" s="1318">
        <v>0.21428571428572241</v>
      </c>
      <c r="D48" s="237">
        <v>-0.84285714285712743</v>
      </c>
      <c r="E48" s="237">
        <v>0.12857142857140502</v>
      </c>
      <c r="F48" s="237">
        <v>-0.74285714285713311</v>
      </c>
      <c r="G48" s="237">
        <v>-2.1285714285714334</v>
      </c>
      <c r="H48" s="237">
        <v>-2.2857142857142776</v>
      </c>
    </row>
    <row r="49" spans="1:16" ht="15" customHeight="1">
      <c r="B49" s="464"/>
      <c r="C49" s="239"/>
      <c r="D49" s="239"/>
      <c r="E49" s="239"/>
      <c r="F49" s="239"/>
      <c r="G49" s="239"/>
      <c r="H49" s="239"/>
      <c r="K49" s="1285"/>
      <c r="L49" s="1285"/>
      <c r="M49" s="1285"/>
      <c r="N49" s="1285"/>
      <c r="O49" s="1285"/>
      <c r="P49" s="1285"/>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4" t="s">
        <v>824</v>
      </c>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753" priority="3" stopIfTrue="1" operator="lessThan">
      <formula>0</formula>
    </cfRule>
  </conditionalFormatting>
  <conditionalFormatting sqref="K49:P49">
    <cfRule type="cellIs" dxfId="752" priority="2" stopIfTrue="1" operator="notEqual">
      <formula>0</formula>
    </cfRule>
  </conditionalFormatting>
  <conditionalFormatting sqref="C27:H48">
    <cfRule type="cellIs" dxfId="751" priority="1" stopIfTrue="1" operator="lessThan">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18" zoomScaleNormal="100" zoomScaleSheetLayoutView="100" workbookViewId="0">
      <selection activeCell="F40" sqref="F40"/>
    </sheetView>
  </sheetViews>
  <sheetFormatPr defaultColWidth="8.88671875" defaultRowHeight="9.6"/>
  <cols>
    <col min="1" max="1" width="25.33203125" style="3" customWidth="1"/>
    <col min="2" max="2" width="16.33203125" style="3" customWidth="1"/>
    <col min="3" max="8" width="6.6640625" style="3" customWidth="1"/>
    <col min="9" max="9" width="2.33203125" style="3" customWidth="1"/>
    <col min="10" max="16384" width="8.88671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7"/>
      <c r="H24" s="227"/>
    </row>
    <row r="25" spans="1:8" ht="15" customHeight="1">
      <c r="A25" s="471"/>
      <c r="B25" s="472"/>
      <c r="C25" s="1310"/>
      <c r="D25" s="1309" t="s">
        <v>822</v>
      </c>
      <c r="E25" s="1268"/>
      <c r="F25" s="1268"/>
      <c r="G25" s="1268"/>
      <c r="H25" s="1268"/>
    </row>
    <row r="26" spans="1:8" ht="15" customHeight="1" thickBot="1">
      <c r="A26" s="464"/>
      <c r="B26" s="473"/>
      <c r="C26" s="1311" t="s">
        <v>865</v>
      </c>
      <c r="D26" s="1112" t="s">
        <v>866</v>
      </c>
      <c r="E26" s="1112" t="s">
        <v>867</v>
      </c>
      <c r="F26" s="1112" t="s">
        <v>868</v>
      </c>
      <c r="G26" s="1112" t="s">
        <v>869</v>
      </c>
      <c r="H26" s="1112" t="s">
        <v>870</v>
      </c>
    </row>
    <row r="27" spans="1:8" ht="15" customHeight="1">
      <c r="A27" s="460" t="s">
        <v>187</v>
      </c>
      <c r="B27" s="461"/>
      <c r="C27" s="1312">
        <v>125.3</v>
      </c>
      <c r="D27" s="566">
        <v>123.9</v>
      </c>
      <c r="E27" s="566">
        <v>123.9</v>
      </c>
      <c r="F27" s="566">
        <v>125.1</v>
      </c>
      <c r="G27" s="566">
        <v>118.6</v>
      </c>
      <c r="H27" s="566">
        <v>119.8</v>
      </c>
    </row>
    <row r="28" spans="1:8" ht="15" customHeight="1" thickBot="1">
      <c r="A28" s="462"/>
      <c r="B28" s="463" t="s">
        <v>65</v>
      </c>
      <c r="C28" s="1313">
        <v>-2.4000000000000057</v>
      </c>
      <c r="D28" s="376">
        <v>-1.3999999999999915</v>
      </c>
      <c r="E28" s="376">
        <v>0</v>
      </c>
      <c r="F28" s="376">
        <v>1.1999999999999886</v>
      </c>
      <c r="G28" s="376">
        <v>-6.5</v>
      </c>
      <c r="H28" s="376">
        <v>1.2000000000000028</v>
      </c>
    </row>
    <row r="29" spans="1:8" ht="15" customHeight="1">
      <c r="A29" s="1167" t="s">
        <v>800</v>
      </c>
      <c r="B29" s="465" t="s">
        <v>67</v>
      </c>
      <c r="C29" s="1314">
        <v>9.5465393794743975E-2</v>
      </c>
      <c r="D29" s="240">
        <v>-0.19102196752626827</v>
      </c>
      <c r="E29" s="240">
        <v>-0.28721876495930798</v>
      </c>
      <c r="F29" s="240">
        <v>0.19157088122605634</v>
      </c>
      <c r="G29" s="240">
        <v>-0.67210753720595562</v>
      </c>
      <c r="H29" s="240">
        <v>-0.38610038610037789</v>
      </c>
    </row>
    <row r="30" spans="1:8" ht="15" customHeight="1">
      <c r="A30" s="466" t="s">
        <v>72</v>
      </c>
      <c r="B30" s="467" t="s">
        <v>136</v>
      </c>
      <c r="C30" s="1315">
        <v>0.1</v>
      </c>
      <c r="D30" s="241">
        <v>-0.5</v>
      </c>
      <c r="E30" s="241">
        <v>-0.8</v>
      </c>
      <c r="F30" s="241">
        <v>0.4</v>
      </c>
      <c r="G30" s="241">
        <v>-1.7</v>
      </c>
      <c r="H30" s="241">
        <v>-0.9</v>
      </c>
    </row>
    <row r="31" spans="1:8" ht="15" customHeight="1">
      <c r="A31" s="464" t="s">
        <v>492</v>
      </c>
      <c r="B31" s="465" t="s">
        <v>67</v>
      </c>
      <c r="C31" s="1316">
        <v>-49.331352154531942</v>
      </c>
      <c r="D31" s="239">
        <v>6.8571428571428461</v>
      </c>
      <c r="E31" s="239">
        <v>13.642213642213646</v>
      </c>
      <c r="F31" s="239">
        <v>-23.719676549865234</v>
      </c>
      <c r="G31" s="239">
        <v>25.600000000000009</v>
      </c>
      <c r="H31" s="239">
        <v>-7.7773229635693815</v>
      </c>
    </row>
    <row r="32" spans="1:8" ht="15" customHeight="1">
      <c r="A32" s="464"/>
      <c r="B32" s="465" t="s">
        <v>136</v>
      </c>
      <c r="C32" s="1316">
        <v>-2.9</v>
      </c>
      <c r="D32" s="239">
        <v>0.7</v>
      </c>
      <c r="E32" s="239">
        <v>1.4</v>
      </c>
      <c r="F32" s="239">
        <v>-2.4</v>
      </c>
      <c r="G32" s="239">
        <v>1.3</v>
      </c>
      <c r="H32" s="239">
        <v>-0.9</v>
      </c>
    </row>
    <row r="33" spans="1:8" ht="15" customHeight="1">
      <c r="A33" s="468" t="s">
        <v>627</v>
      </c>
      <c r="B33" s="469" t="s">
        <v>135</v>
      </c>
      <c r="C33" s="1317">
        <v>0</v>
      </c>
      <c r="D33" s="242">
        <v>0</v>
      </c>
      <c r="E33" s="242">
        <v>0</v>
      </c>
      <c r="F33" s="242">
        <v>-0.20000000000000018</v>
      </c>
      <c r="G33" s="242">
        <v>0.30000000000000027</v>
      </c>
      <c r="H33" s="242">
        <v>0</v>
      </c>
    </row>
    <row r="34" spans="1:8" ht="15" customHeight="1">
      <c r="A34" s="466" t="s">
        <v>629</v>
      </c>
      <c r="B34" s="645" t="s">
        <v>628</v>
      </c>
      <c r="C34" s="1315">
        <v>-0.01</v>
      </c>
      <c r="D34" s="241">
        <v>-0.04</v>
      </c>
      <c r="E34" s="241">
        <v>-0.04</v>
      </c>
      <c r="F34" s="241">
        <v>1.3</v>
      </c>
      <c r="G34" s="241">
        <v>-2.0699999999999998</v>
      </c>
      <c r="H34" s="241">
        <v>-0.05</v>
      </c>
    </row>
    <row r="35" spans="1:8" ht="15" customHeight="1">
      <c r="A35" s="464" t="s">
        <v>638</v>
      </c>
      <c r="B35" s="469" t="s">
        <v>135</v>
      </c>
      <c r="C35" s="1317">
        <v>-0.9</v>
      </c>
      <c r="D35" s="242">
        <v>-2.2000000000000002</v>
      </c>
      <c r="E35" s="242">
        <v>1.6</v>
      </c>
      <c r="F35" s="242">
        <v>2.6</v>
      </c>
      <c r="G35" s="242">
        <v>-3.7</v>
      </c>
      <c r="H35" s="242">
        <v>-1.4999999999999998</v>
      </c>
    </row>
    <row r="36" spans="1:8" ht="15" customHeight="1">
      <c r="A36" s="464" t="s">
        <v>525</v>
      </c>
      <c r="B36" s="467" t="s">
        <v>136</v>
      </c>
      <c r="C36" s="1316">
        <v>-0.3</v>
      </c>
      <c r="D36" s="239">
        <v>-0.7</v>
      </c>
      <c r="E36" s="239">
        <v>0.6</v>
      </c>
      <c r="F36" s="239">
        <v>0.9</v>
      </c>
      <c r="G36" s="239">
        <v>-1.2</v>
      </c>
      <c r="H36" s="239">
        <v>-0.5</v>
      </c>
    </row>
    <row r="37" spans="1:8" ht="15" customHeight="1">
      <c r="A37" s="751" t="s">
        <v>544</v>
      </c>
      <c r="B37" s="469" t="s">
        <v>67</v>
      </c>
      <c r="C37" s="1317">
        <v>-1.1614731356566173</v>
      </c>
      <c r="D37" s="242">
        <v>-10.27742805353906</v>
      </c>
      <c r="E37" s="242">
        <v>-5.3475646410505702</v>
      </c>
      <c r="F37" s="242">
        <v>36.015580219894744</v>
      </c>
      <c r="G37" s="242">
        <v>-36.188266198222806</v>
      </c>
      <c r="H37" s="242">
        <v>31.437635822176912</v>
      </c>
    </row>
    <row r="38" spans="1:8" ht="15" customHeight="1">
      <c r="A38" s="466" t="s">
        <v>524</v>
      </c>
      <c r="B38" s="467" t="s">
        <v>136</v>
      </c>
      <c r="C38" s="1315">
        <v>-0.1</v>
      </c>
      <c r="D38" s="241">
        <v>-1.1000000000000001</v>
      </c>
      <c r="E38" s="241">
        <v>-0.5</v>
      </c>
      <c r="F38" s="241">
        <v>3.1</v>
      </c>
      <c r="G38" s="241">
        <v>-3.7</v>
      </c>
      <c r="H38" s="241">
        <v>2.2000000000000002</v>
      </c>
    </row>
    <row r="39" spans="1:8" ht="15" customHeight="1">
      <c r="A39" s="468" t="s">
        <v>522</v>
      </c>
      <c r="B39" s="469" t="s">
        <v>135</v>
      </c>
      <c r="C39" s="1316">
        <v>-0.30000000000000027</v>
      </c>
      <c r="D39" s="239">
        <v>-0.10000000000000009</v>
      </c>
      <c r="E39" s="239">
        <v>0</v>
      </c>
      <c r="F39" s="239">
        <v>-0.19999999999999973</v>
      </c>
      <c r="G39" s="239">
        <v>-0.39999999999999991</v>
      </c>
      <c r="H39" s="239">
        <v>0.89999999999999991</v>
      </c>
    </row>
    <row r="40" spans="1:8" ht="15" customHeight="1">
      <c r="A40" s="464" t="s">
        <v>473</v>
      </c>
      <c r="B40" s="467" t="s">
        <v>136</v>
      </c>
      <c r="C40" s="1316">
        <v>-0.8</v>
      </c>
      <c r="D40" s="239">
        <v>-0.3</v>
      </c>
      <c r="E40" s="239">
        <v>-0.1</v>
      </c>
      <c r="F40" s="239">
        <v>-0.6</v>
      </c>
      <c r="G40" s="239">
        <v>-1</v>
      </c>
      <c r="H40" s="239">
        <v>1.9</v>
      </c>
    </row>
    <row r="41" spans="1:8" ht="15" customHeight="1">
      <c r="A41" s="468" t="s">
        <v>523</v>
      </c>
      <c r="B41" s="469" t="s">
        <v>67</v>
      </c>
      <c r="C41" s="1317">
        <v>23.181599229287091</v>
      </c>
      <c r="D41" s="242">
        <v>2.0295892752229876</v>
      </c>
      <c r="E41" s="242">
        <v>-20.440870084648221</v>
      </c>
      <c r="F41" s="242">
        <v>-34.701300679857546</v>
      </c>
      <c r="G41" s="242">
        <v>66.22279760803896</v>
      </c>
      <c r="H41" s="242">
        <v>-16.955964731593347</v>
      </c>
    </row>
    <row r="42" spans="1:8" ht="15" customHeight="1">
      <c r="A42" s="466" t="s">
        <v>474</v>
      </c>
      <c r="B42" s="467" t="s">
        <v>136</v>
      </c>
      <c r="C42" s="1316">
        <v>1.4</v>
      </c>
      <c r="D42" s="239">
        <v>0.1</v>
      </c>
      <c r="E42" s="239">
        <v>-1.2</v>
      </c>
      <c r="F42" s="239">
        <v>-1.9</v>
      </c>
      <c r="G42" s="239">
        <v>1.6</v>
      </c>
      <c r="H42" s="239">
        <v>-0.9</v>
      </c>
    </row>
    <row r="43" spans="1:8" ht="15" customHeight="1">
      <c r="A43" s="468" t="s">
        <v>134</v>
      </c>
      <c r="B43" s="469"/>
      <c r="C43" s="1317"/>
      <c r="D43" s="242"/>
      <c r="E43" s="242"/>
      <c r="F43" s="242"/>
      <c r="G43" s="242"/>
      <c r="H43" s="242"/>
    </row>
    <row r="44" spans="1:8" ht="15" customHeight="1" thickBot="1">
      <c r="A44" s="464"/>
      <c r="B44" s="465" t="s">
        <v>136</v>
      </c>
      <c r="C44" s="1318">
        <v>0.37</v>
      </c>
      <c r="D44" s="237">
        <v>0.66</v>
      </c>
      <c r="E44" s="237">
        <v>0.68</v>
      </c>
      <c r="F44" s="237">
        <v>0.51</v>
      </c>
      <c r="G44" s="237">
        <v>0.44</v>
      </c>
      <c r="H44" s="237">
        <v>0.49</v>
      </c>
    </row>
    <row r="45" spans="1:8" ht="15" customHeight="1">
      <c r="A45" s="471" t="s">
        <v>142</v>
      </c>
      <c r="B45" s="461"/>
      <c r="C45" s="1312">
        <v>126.93333333333334</v>
      </c>
      <c r="D45" s="566">
        <v>125.63333333333333</v>
      </c>
      <c r="E45" s="566">
        <v>124.36666666666667</v>
      </c>
      <c r="F45" s="566">
        <v>124.3</v>
      </c>
      <c r="G45" s="566">
        <v>122.53333333333335</v>
      </c>
      <c r="H45" s="566">
        <v>121.16666666666667</v>
      </c>
    </row>
    <row r="46" spans="1:8" ht="15" customHeight="1">
      <c r="A46" s="466"/>
      <c r="B46" s="467" t="s">
        <v>65</v>
      </c>
      <c r="C46" s="1316">
        <v>-1.0666666666666629</v>
      </c>
      <c r="D46" s="239">
        <v>-1.3000000000000114</v>
      </c>
      <c r="E46" s="239">
        <v>-1.2666666666666515</v>
      </c>
      <c r="F46" s="239">
        <v>-6.6666666666677088E-2</v>
      </c>
      <c r="G46" s="239">
        <v>-1.7666666666666515</v>
      </c>
      <c r="H46" s="239">
        <v>-1.3666666666666742</v>
      </c>
    </row>
    <row r="47" spans="1:8" ht="15" customHeight="1">
      <c r="A47" s="464" t="s">
        <v>143</v>
      </c>
      <c r="B47" s="465"/>
      <c r="C47" s="1319">
        <v>126.92857142857143</v>
      </c>
      <c r="D47" s="1113">
        <v>127.02857142857142</v>
      </c>
      <c r="E47" s="1113">
        <v>126.3142857142857</v>
      </c>
      <c r="F47" s="1113">
        <v>126.02857142857144</v>
      </c>
      <c r="G47" s="1113">
        <v>124.61428571428573</v>
      </c>
      <c r="H47" s="1113">
        <v>123.47142857142856</v>
      </c>
    </row>
    <row r="48" spans="1:8" ht="15" customHeight="1" thickBot="1">
      <c r="A48" s="462"/>
      <c r="B48" s="463" t="s">
        <v>65</v>
      </c>
      <c r="C48" s="1318">
        <v>0.3571428571428612</v>
      </c>
      <c r="D48" s="237">
        <v>9.9999999999994316E-2</v>
      </c>
      <c r="E48" s="237">
        <v>-0.71428571428572241</v>
      </c>
      <c r="F48" s="237">
        <v>-0.28571428571426338</v>
      </c>
      <c r="G48" s="237">
        <v>-1.414285714285711</v>
      </c>
      <c r="H48" s="237">
        <v>-1.1428571428571672</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4" t="s">
        <v>824</v>
      </c>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750" priority="4" stopIfTrue="1" operator="lessThan">
      <formula>0</formula>
    </cfRule>
  </conditionalFormatting>
  <conditionalFormatting sqref="C27:H48">
    <cfRule type="cellIs" dxfId="749"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topLeftCell="A37" zoomScaleNormal="100" zoomScaleSheetLayoutView="100" workbookViewId="0">
      <selection activeCell="M15" sqref="M15"/>
    </sheetView>
  </sheetViews>
  <sheetFormatPr defaultColWidth="8.88671875" defaultRowHeight="14.4"/>
  <cols>
    <col min="1" max="1" width="4.6640625" style="214" customWidth="1"/>
    <col min="2" max="9" width="9.88671875" style="214" customWidth="1"/>
    <col min="10" max="16384" width="8.88671875" style="214"/>
  </cols>
  <sheetData>
    <row r="1" spans="2:15">
      <c r="B1" s="1476" t="s">
        <v>198</v>
      </c>
      <c r="C1" s="1476"/>
      <c r="D1" s="1476"/>
      <c r="E1" s="1476"/>
      <c r="F1" s="1476"/>
      <c r="G1" s="1476"/>
      <c r="H1" s="1476"/>
      <c r="I1" s="1476"/>
    </row>
    <row r="2" spans="2:15">
      <c r="B2" s="1477"/>
      <c r="C2" s="1477"/>
      <c r="D2" s="1477"/>
      <c r="E2" s="1477"/>
      <c r="F2" s="1477"/>
      <c r="G2" s="1477"/>
      <c r="H2" s="1477"/>
      <c r="I2" s="1477"/>
    </row>
    <row r="3" spans="2:15">
      <c r="B3" s="694" t="s">
        <v>52</v>
      </c>
    </row>
    <row r="13" spans="2:15">
      <c r="O13" s="214" t="s">
        <v>737</v>
      </c>
    </row>
    <row r="20" spans="2:2">
      <c r="B20" s="694" t="s">
        <v>53</v>
      </c>
    </row>
    <row r="36" spans="2:2">
      <c r="B36" s="694" t="s">
        <v>54</v>
      </c>
    </row>
    <row r="52" spans="2:2">
      <c r="B52" s="474" t="s">
        <v>384</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topLeftCell="A33" zoomScaleNormal="100" zoomScaleSheetLayoutView="100" workbookViewId="0">
      <selection activeCell="C46" sqref="C46:N60"/>
    </sheetView>
  </sheetViews>
  <sheetFormatPr defaultColWidth="8.88671875" defaultRowHeight="14.4"/>
  <cols>
    <col min="1" max="2" width="5" style="214" customWidth="1"/>
    <col min="3" max="14" width="6.88671875" style="214" customWidth="1"/>
    <col min="15" max="15" width="0.77734375" style="214" customWidth="1"/>
    <col min="16" max="16" width="2.88671875" style="214" customWidth="1"/>
    <col min="17" max="61" width="9" customWidth="1"/>
    <col min="62" max="16384" width="8.88671875" style="214"/>
  </cols>
  <sheetData>
    <row r="1" spans="1:14">
      <c r="A1" s="1476" t="s">
        <v>55</v>
      </c>
      <c r="B1" s="1476"/>
      <c r="C1" s="1476"/>
      <c r="D1" s="1476"/>
      <c r="E1" s="1476"/>
      <c r="F1" s="1476"/>
      <c r="G1" s="1476"/>
      <c r="H1" s="1476"/>
      <c r="I1" s="1476"/>
      <c r="J1" s="1476"/>
      <c r="K1" s="1476"/>
      <c r="L1" s="1476"/>
      <c r="M1" s="1476"/>
      <c r="N1" s="1476"/>
    </row>
    <row r="2" spans="1:14" ht="15" customHeight="1">
      <c r="A2" s="1477"/>
      <c r="B2" s="1477"/>
      <c r="C2" s="1477"/>
      <c r="D2" s="1477"/>
      <c r="E2" s="1477"/>
      <c r="F2" s="1477"/>
      <c r="G2" s="1477"/>
      <c r="H2" s="1477"/>
      <c r="I2" s="1477"/>
      <c r="J2" s="1477"/>
      <c r="K2" s="1477"/>
      <c r="L2" s="1477"/>
      <c r="M2" s="1477"/>
      <c r="N2" s="1477"/>
    </row>
    <row r="3" spans="1:14" ht="15" customHeight="1">
      <c r="A3" s="694" t="s">
        <v>52</v>
      </c>
      <c r="B3" s="244"/>
      <c r="C3" s="244"/>
      <c r="D3" s="244"/>
      <c r="E3" s="244"/>
      <c r="F3" s="244"/>
      <c r="G3" s="244"/>
      <c r="H3" s="244"/>
      <c r="I3" s="244"/>
      <c r="J3" s="244"/>
      <c r="K3" s="244"/>
      <c r="L3" s="244"/>
      <c r="M3" s="1170"/>
      <c r="N3" s="413" t="s">
        <v>768</v>
      </c>
    </row>
    <row r="4" spans="1:14" ht="15" customHeight="1">
      <c r="A4" s="443"/>
      <c r="B4" s="695" t="s">
        <v>189</v>
      </c>
      <c r="C4" s="1478" t="s">
        <v>259</v>
      </c>
      <c r="D4" s="1478" t="s">
        <v>385</v>
      </c>
      <c r="E4" s="1478" t="s">
        <v>386</v>
      </c>
      <c r="F4" s="1478" t="s">
        <v>387</v>
      </c>
      <c r="G4" s="1478" t="s">
        <v>388</v>
      </c>
      <c r="H4" s="1478" t="s">
        <v>389</v>
      </c>
      <c r="I4" s="1478" t="s">
        <v>390</v>
      </c>
      <c r="J4" s="1478" t="s">
        <v>391</v>
      </c>
      <c r="K4" s="1478" t="s">
        <v>392</v>
      </c>
      <c r="L4" s="1478" t="s">
        <v>191</v>
      </c>
      <c r="M4" s="1478" t="s">
        <v>192</v>
      </c>
      <c r="N4" s="1478" t="s">
        <v>193</v>
      </c>
    </row>
    <row r="5" spans="1:14" ht="15" customHeight="1">
      <c r="A5" s="696" t="s">
        <v>190</v>
      </c>
      <c r="B5" s="444"/>
      <c r="C5" s="1479"/>
      <c r="D5" s="1479"/>
      <c r="E5" s="1479"/>
      <c r="F5" s="1479"/>
      <c r="G5" s="1479"/>
      <c r="H5" s="1479"/>
      <c r="I5" s="1479"/>
      <c r="J5" s="1479"/>
      <c r="K5" s="1479"/>
      <c r="L5" s="1479"/>
      <c r="M5" s="1479"/>
      <c r="N5" s="1479"/>
    </row>
    <row r="6" spans="1:14" ht="15" customHeight="1">
      <c r="A6" s="1263" t="s">
        <v>677</v>
      </c>
      <c r="B6" s="1264"/>
      <c r="C6" s="958">
        <v>113.5</v>
      </c>
      <c r="D6" s="958">
        <v>113.6</v>
      </c>
      <c r="E6" s="958">
        <v>83.1</v>
      </c>
      <c r="F6" s="958">
        <v>88</v>
      </c>
      <c r="G6" s="958">
        <v>95.8</v>
      </c>
      <c r="H6" s="958">
        <v>101.4</v>
      </c>
      <c r="I6" s="958">
        <v>109.6</v>
      </c>
      <c r="J6" s="958">
        <v>119.2</v>
      </c>
      <c r="K6" s="958">
        <v>119.8</v>
      </c>
      <c r="L6" s="958">
        <v>125.1</v>
      </c>
      <c r="M6" s="958">
        <v>129.6</v>
      </c>
      <c r="N6" s="959">
        <v>133.4</v>
      </c>
    </row>
    <row r="7" spans="1:14" ht="15" customHeight="1">
      <c r="A7" s="1263" t="s">
        <v>678</v>
      </c>
      <c r="B7" s="1264"/>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63" t="s">
        <v>679</v>
      </c>
      <c r="B8" s="1264"/>
      <c r="C8" s="958">
        <v>140.5</v>
      </c>
      <c r="D8" s="958">
        <v>145.69999999999999</v>
      </c>
      <c r="E8" s="958">
        <v>140</v>
      </c>
      <c r="F8" s="958">
        <v>138.19999999999999</v>
      </c>
      <c r="G8" s="958">
        <v>138.4</v>
      </c>
      <c r="H8" s="958">
        <v>136.80000000000001</v>
      </c>
      <c r="I8" s="958">
        <v>136.69999999999999</v>
      </c>
      <c r="J8" s="958">
        <v>141.5</v>
      </c>
      <c r="K8" s="958">
        <v>141.9</v>
      </c>
      <c r="L8" s="958">
        <v>140.5</v>
      </c>
      <c r="M8" s="958">
        <v>139.1</v>
      </c>
      <c r="N8" s="959">
        <v>139.5</v>
      </c>
    </row>
    <row r="9" spans="1:14" ht="15" customHeight="1">
      <c r="A9" s="1263" t="s">
        <v>680</v>
      </c>
      <c r="B9" s="1264"/>
      <c r="C9" s="958">
        <v>139.80000000000001</v>
      </c>
      <c r="D9" s="958">
        <v>139.1</v>
      </c>
      <c r="E9" s="958">
        <v>135.9</v>
      </c>
      <c r="F9" s="958">
        <v>130</v>
      </c>
      <c r="G9" s="958">
        <v>129.9</v>
      </c>
      <c r="H9" s="958">
        <v>128.4</v>
      </c>
      <c r="I9" s="958">
        <v>125.3</v>
      </c>
      <c r="J9" s="958">
        <v>124.2</v>
      </c>
      <c r="K9" s="958">
        <v>128.6</v>
      </c>
      <c r="L9" s="958">
        <v>129.1</v>
      </c>
      <c r="M9" s="958">
        <v>127.9</v>
      </c>
      <c r="N9" s="959">
        <v>135.30000000000001</v>
      </c>
    </row>
    <row r="10" spans="1:14" ht="15" customHeight="1">
      <c r="A10" s="1263" t="s">
        <v>681</v>
      </c>
      <c r="B10" s="1264"/>
      <c r="C10" s="958">
        <v>128.69999999999999</v>
      </c>
      <c r="D10" s="958">
        <v>124.1</v>
      </c>
      <c r="E10" s="958">
        <v>122.9</v>
      </c>
      <c r="F10" s="958">
        <v>119.1</v>
      </c>
      <c r="G10" s="958">
        <v>122.2</v>
      </c>
      <c r="H10" s="958">
        <v>121</v>
      </c>
      <c r="I10" s="958">
        <v>120.9</v>
      </c>
      <c r="J10" s="958">
        <v>121.5</v>
      </c>
      <c r="K10" s="958">
        <v>118.7</v>
      </c>
      <c r="L10" s="958">
        <v>116.2</v>
      </c>
      <c r="M10" s="958">
        <v>113.6</v>
      </c>
      <c r="N10" s="959">
        <v>114.7</v>
      </c>
    </row>
    <row r="11" spans="1:14" ht="15" customHeight="1">
      <c r="A11" s="1263" t="s">
        <v>682</v>
      </c>
      <c r="B11" s="1264"/>
      <c r="C11" s="960">
        <v>114.2</v>
      </c>
      <c r="D11" s="960">
        <v>112</v>
      </c>
      <c r="E11" s="960">
        <v>109.5</v>
      </c>
      <c r="F11" s="960">
        <v>110.9</v>
      </c>
      <c r="G11" s="960">
        <v>110.3</v>
      </c>
      <c r="H11" s="960">
        <v>106.1</v>
      </c>
      <c r="I11" s="958">
        <v>107.8</v>
      </c>
      <c r="J11" s="960">
        <v>105.6</v>
      </c>
      <c r="K11" s="960">
        <v>108.4</v>
      </c>
      <c r="L11" s="960">
        <v>109.8</v>
      </c>
      <c r="M11" s="960">
        <v>111.1</v>
      </c>
      <c r="N11" s="959">
        <v>115.8</v>
      </c>
    </row>
    <row r="12" spans="1:14" ht="15" customHeight="1">
      <c r="A12" s="1263" t="s">
        <v>683</v>
      </c>
      <c r="B12" s="1264"/>
      <c r="C12" s="962">
        <v>110.8</v>
      </c>
      <c r="D12" s="962">
        <v>112.5</v>
      </c>
      <c r="E12" s="962">
        <v>110.1</v>
      </c>
      <c r="F12" s="962">
        <v>113.4</v>
      </c>
      <c r="G12" s="962">
        <v>112</v>
      </c>
      <c r="H12" s="962">
        <v>114</v>
      </c>
      <c r="I12" s="962">
        <v>114.3</v>
      </c>
      <c r="J12" s="962">
        <v>108.7</v>
      </c>
      <c r="K12" s="962">
        <v>110.2</v>
      </c>
      <c r="L12" s="962">
        <v>108.5</v>
      </c>
      <c r="M12" s="960">
        <v>111.9</v>
      </c>
      <c r="N12" s="962">
        <v>113.9</v>
      </c>
    </row>
    <row r="13" spans="1:14" ht="15" customHeight="1">
      <c r="A13" s="1263" t="s">
        <v>684</v>
      </c>
      <c r="B13" s="1264"/>
      <c r="C13" s="960">
        <v>114.4</v>
      </c>
      <c r="D13" s="960">
        <v>114.7</v>
      </c>
      <c r="E13" s="962">
        <v>117.6</v>
      </c>
      <c r="F13" s="960">
        <v>120.4</v>
      </c>
      <c r="G13" s="960">
        <v>119</v>
      </c>
      <c r="H13" s="960">
        <v>119.1</v>
      </c>
      <c r="I13" s="960">
        <v>122.5</v>
      </c>
      <c r="J13" s="962">
        <v>121.7</v>
      </c>
      <c r="K13" s="960">
        <v>122.4</v>
      </c>
      <c r="L13" s="960">
        <v>124.3</v>
      </c>
      <c r="M13" s="960">
        <v>128.4</v>
      </c>
      <c r="N13" s="959">
        <v>125.1</v>
      </c>
    </row>
    <row r="14" spans="1:14" ht="15" customHeight="1">
      <c r="A14" s="1263" t="s">
        <v>686</v>
      </c>
      <c r="B14" s="1264"/>
      <c r="C14" s="960">
        <v>125</v>
      </c>
      <c r="D14" s="991">
        <v>123.8</v>
      </c>
      <c r="E14" s="991">
        <v>120.1</v>
      </c>
      <c r="F14" s="991">
        <v>121.5</v>
      </c>
      <c r="G14" s="991">
        <v>125.8</v>
      </c>
      <c r="H14" s="991">
        <v>124.6</v>
      </c>
      <c r="I14" s="991">
        <v>122.4</v>
      </c>
      <c r="J14" s="991">
        <v>117.8</v>
      </c>
      <c r="K14" s="991">
        <v>116.6</v>
      </c>
      <c r="L14" s="991">
        <v>113.5</v>
      </c>
      <c r="M14" s="991">
        <v>119.2</v>
      </c>
      <c r="N14" s="962">
        <v>112.6</v>
      </c>
    </row>
    <row r="15" spans="1:14" ht="15" customHeight="1">
      <c r="A15" s="1263" t="s">
        <v>685</v>
      </c>
      <c r="B15" s="1264"/>
      <c r="C15" s="960">
        <v>111.6</v>
      </c>
      <c r="D15" s="991">
        <v>112.5</v>
      </c>
      <c r="E15" s="991">
        <v>106.9</v>
      </c>
      <c r="F15" s="991">
        <v>97.3</v>
      </c>
      <c r="G15" s="991">
        <v>88.8</v>
      </c>
      <c r="H15" s="991">
        <v>86.5</v>
      </c>
      <c r="I15" s="991">
        <v>91.7</v>
      </c>
      <c r="J15" s="991">
        <v>96.3</v>
      </c>
      <c r="K15" s="991">
        <v>98.4</v>
      </c>
      <c r="L15" s="991">
        <v>101.8</v>
      </c>
      <c r="M15" s="991">
        <v>102</v>
      </c>
      <c r="N15" s="962">
        <v>106.2</v>
      </c>
    </row>
    <row r="16" spans="1:14" ht="15" customHeight="1">
      <c r="A16" s="1263" t="s">
        <v>692</v>
      </c>
      <c r="B16" s="1264"/>
      <c r="C16" s="962">
        <v>109.2</v>
      </c>
      <c r="D16" s="962">
        <v>109</v>
      </c>
      <c r="E16" s="962">
        <v>109.7</v>
      </c>
      <c r="F16" s="962">
        <v>113.9</v>
      </c>
      <c r="G16" s="962">
        <v>113.3</v>
      </c>
      <c r="H16" s="991">
        <v>109.3</v>
      </c>
      <c r="I16" s="962">
        <v>114.3</v>
      </c>
      <c r="J16" s="962">
        <v>113.7</v>
      </c>
      <c r="K16" s="962">
        <v>107.7</v>
      </c>
      <c r="L16" s="962">
        <v>109.2</v>
      </c>
      <c r="M16" s="962">
        <v>114.2</v>
      </c>
      <c r="N16" s="962">
        <v>118.3</v>
      </c>
    </row>
    <row r="17" spans="1:14" ht="15" customHeight="1">
      <c r="A17" s="1083" t="s">
        <v>696</v>
      </c>
      <c r="B17" s="1084"/>
      <c r="C17" s="962">
        <v>112.8</v>
      </c>
      <c r="D17" s="962">
        <v>108.2</v>
      </c>
      <c r="E17" s="962">
        <v>110.1</v>
      </c>
      <c r="F17" s="962">
        <v>115.6</v>
      </c>
      <c r="G17" s="962">
        <v>119.4</v>
      </c>
      <c r="H17" s="962">
        <v>121.4</v>
      </c>
      <c r="I17" s="962">
        <v>122.9</v>
      </c>
      <c r="J17" s="962">
        <v>120.7</v>
      </c>
      <c r="K17" s="962">
        <v>121.5</v>
      </c>
      <c r="L17" s="962">
        <v>126.9</v>
      </c>
      <c r="M17" s="962">
        <v>125.2</v>
      </c>
      <c r="N17" s="962">
        <v>127.4</v>
      </c>
    </row>
    <row r="18" spans="1:14" ht="15" customHeight="1">
      <c r="A18" s="1083" t="s">
        <v>707</v>
      </c>
      <c r="B18" s="1084"/>
      <c r="C18" s="962">
        <v>128.1</v>
      </c>
      <c r="D18" s="962">
        <v>130.9</v>
      </c>
      <c r="E18" s="962">
        <v>124</v>
      </c>
      <c r="F18" s="962">
        <v>130</v>
      </c>
      <c r="G18" s="962">
        <v>130.1</v>
      </c>
      <c r="H18" s="962">
        <v>139.80000000000001</v>
      </c>
      <c r="I18" s="962">
        <v>130.30000000000001</v>
      </c>
      <c r="J18" s="962">
        <v>131.9</v>
      </c>
      <c r="K18" s="962">
        <v>139</v>
      </c>
      <c r="L18" s="962">
        <v>135</v>
      </c>
      <c r="M18" s="962">
        <v>138</v>
      </c>
      <c r="N18" s="962">
        <v>138.30000000000001</v>
      </c>
    </row>
    <row r="19" spans="1:14" ht="15" customHeight="1">
      <c r="A19" s="1083" t="s">
        <v>817</v>
      </c>
      <c r="B19" s="1084"/>
      <c r="C19" s="962">
        <v>126.6</v>
      </c>
      <c r="D19" s="962">
        <v>124.6</v>
      </c>
      <c r="E19" s="962">
        <v>130.80000000000001</v>
      </c>
      <c r="F19" s="962">
        <v>136.80000000000001</v>
      </c>
      <c r="G19" s="962">
        <v>135.80000000000001</v>
      </c>
      <c r="H19" s="962">
        <v>134.80000000000001</v>
      </c>
      <c r="I19" s="962">
        <v>137.4</v>
      </c>
      <c r="J19" s="962">
        <v>137.69999999999999</v>
      </c>
      <c r="K19" s="962">
        <v>140.4</v>
      </c>
      <c r="L19" s="962">
        <v>140.80000000000001</v>
      </c>
      <c r="M19" s="962">
        <v>140.1</v>
      </c>
      <c r="N19" s="962">
        <v>141.1</v>
      </c>
    </row>
    <row r="20" spans="1:14" ht="15" customHeight="1">
      <c r="A20" s="1267" t="s">
        <v>821</v>
      </c>
      <c r="B20" s="1081"/>
      <c r="C20" s="961">
        <v>146.30000000000001</v>
      </c>
      <c r="D20" s="961">
        <v>147.5</v>
      </c>
      <c r="E20" s="961">
        <v>145.30000000000001</v>
      </c>
      <c r="F20" s="961">
        <v>150.4</v>
      </c>
      <c r="G20" s="961">
        <v>141.19999999999999</v>
      </c>
      <c r="H20" s="961">
        <v>155.69999999999999</v>
      </c>
      <c r="I20" s="961">
        <v>148.9</v>
      </c>
      <c r="J20" s="961">
        <v>146.6</v>
      </c>
      <c r="K20" s="961">
        <v>150.9</v>
      </c>
      <c r="L20" s="961"/>
      <c r="M20" s="961"/>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70"/>
      <c r="N23" s="413" t="s">
        <v>768</v>
      </c>
    </row>
    <row r="24" spans="1:14" ht="15" customHeight="1">
      <c r="A24" s="443"/>
      <c r="B24" s="695" t="s">
        <v>189</v>
      </c>
      <c r="C24" s="1478" t="s">
        <v>259</v>
      </c>
      <c r="D24" s="1478" t="s">
        <v>385</v>
      </c>
      <c r="E24" s="1478" t="s">
        <v>386</v>
      </c>
      <c r="F24" s="1478" t="s">
        <v>387</v>
      </c>
      <c r="G24" s="1478" t="s">
        <v>388</v>
      </c>
      <c r="H24" s="1478" t="s">
        <v>389</v>
      </c>
      <c r="I24" s="1478" t="s">
        <v>390</v>
      </c>
      <c r="J24" s="1478" t="s">
        <v>391</v>
      </c>
      <c r="K24" s="1478" t="s">
        <v>392</v>
      </c>
      <c r="L24" s="1478" t="s">
        <v>191</v>
      </c>
      <c r="M24" s="1478" t="s">
        <v>192</v>
      </c>
      <c r="N24" s="1478" t="s">
        <v>193</v>
      </c>
    </row>
    <row r="25" spans="1:14" ht="15" customHeight="1">
      <c r="A25" s="696" t="s">
        <v>190</v>
      </c>
      <c r="B25" s="444"/>
      <c r="C25" s="1479"/>
      <c r="D25" s="1479"/>
      <c r="E25" s="1479"/>
      <c r="F25" s="1479"/>
      <c r="G25" s="1479"/>
      <c r="H25" s="1479"/>
      <c r="I25" s="1479"/>
      <c r="J25" s="1479"/>
      <c r="K25" s="1479"/>
      <c r="L25" s="1479"/>
      <c r="M25" s="1479"/>
      <c r="N25" s="1479"/>
    </row>
    <row r="26" spans="1:14" ht="15" customHeight="1">
      <c r="A26" s="1263" t="s">
        <v>677</v>
      </c>
      <c r="B26" s="1264"/>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63" t="s">
        <v>678</v>
      </c>
      <c r="B27" s="1264"/>
      <c r="C27" s="958">
        <v>138.6</v>
      </c>
      <c r="D27" s="958">
        <v>145</v>
      </c>
      <c r="E27" s="958">
        <v>154.19999999999999</v>
      </c>
      <c r="F27" s="958">
        <v>151.80000000000001</v>
      </c>
      <c r="G27" s="958">
        <v>156.5</v>
      </c>
      <c r="H27" s="958">
        <v>157.1</v>
      </c>
      <c r="I27" s="958">
        <v>160</v>
      </c>
      <c r="J27" s="958">
        <v>152.19999999999999</v>
      </c>
      <c r="K27" s="958">
        <v>150.80000000000001</v>
      </c>
      <c r="L27" s="958">
        <v>146.1</v>
      </c>
      <c r="M27" s="958">
        <v>145</v>
      </c>
      <c r="N27" s="959">
        <v>146.30000000000001</v>
      </c>
    </row>
    <row r="28" spans="1:14" ht="15" customHeight="1">
      <c r="A28" s="1263" t="s">
        <v>679</v>
      </c>
      <c r="B28" s="1264"/>
      <c r="C28" s="958">
        <v>150.80000000000001</v>
      </c>
      <c r="D28" s="958">
        <v>149.4</v>
      </c>
      <c r="E28" s="958">
        <v>153.1</v>
      </c>
      <c r="F28" s="958">
        <v>145.69999999999999</v>
      </c>
      <c r="G28" s="958">
        <v>148</v>
      </c>
      <c r="H28" s="958">
        <v>152.5</v>
      </c>
      <c r="I28" s="958">
        <v>152.9</v>
      </c>
      <c r="J28" s="958">
        <v>158</v>
      </c>
      <c r="K28" s="958">
        <v>156.1</v>
      </c>
      <c r="L28" s="958">
        <v>153.1</v>
      </c>
      <c r="M28" s="958">
        <v>157.5</v>
      </c>
      <c r="N28" s="959">
        <v>154</v>
      </c>
    </row>
    <row r="29" spans="1:14" ht="15" customHeight="1">
      <c r="A29" s="1263" t="s">
        <v>680</v>
      </c>
      <c r="B29" s="1264"/>
      <c r="C29" s="958">
        <v>156.69999999999999</v>
      </c>
      <c r="D29" s="958">
        <v>156</v>
      </c>
      <c r="E29" s="958">
        <v>145.6</v>
      </c>
      <c r="F29" s="958">
        <v>142.30000000000001</v>
      </c>
      <c r="G29" s="958">
        <v>145.30000000000001</v>
      </c>
      <c r="H29" s="958">
        <v>146.6</v>
      </c>
      <c r="I29" s="958">
        <v>143.6</v>
      </c>
      <c r="J29" s="958">
        <v>135.69999999999999</v>
      </c>
      <c r="K29" s="958">
        <v>141.30000000000001</v>
      </c>
      <c r="L29" s="958">
        <v>143.19999999999999</v>
      </c>
      <c r="M29" s="958">
        <v>149.80000000000001</v>
      </c>
      <c r="N29" s="959">
        <v>141.69999999999999</v>
      </c>
    </row>
    <row r="30" spans="1:14" ht="15" customHeight="1">
      <c r="A30" s="1263" t="s">
        <v>681</v>
      </c>
      <c r="B30" s="1264"/>
      <c r="C30" s="958">
        <v>150.30000000000001</v>
      </c>
      <c r="D30" s="958">
        <v>144.9</v>
      </c>
      <c r="E30" s="958">
        <v>146</v>
      </c>
      <c r="F30" s="958">
        <v>149.4</v>
      </c>
      <c r="G30" s="958">
        <v>144</v>
      </c>
      <c r="H30" s="958">
        <v>140.30000000000001</v>
      </c>
      <c r="I30" s="958">
        <v>142.4</v>
      </c>
      <c r="J30" s="958">
        <v>142.30000000000001</v>
      </c>
      <c r="K30" s="958">
        <v>137.5</v>
      </c>
      <c r="L30" s="958">
        <v>136.9</v>
      </c>
      <c r="M30" s="958">
        <v>130.1</v>
      </c>
      <c r="N30" s="959">
        <v>132.6</v>
      </c>
    </row>
    <row r="31" spans="1:14" ht="15" customHeight="1">
      <c r="A31" s="1263" t="s">
        <v>682</v>
      </c>
      <c r="B31" s="1264"/>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63" t="s">
        <v>683</v>
      </c>
      <c r="B32" s="1264"/>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63" t="s">
        <v>684</v>
      </c>
      <c r="B33" s="1264"/>
      <c r="C33" s="958">
        <v>144.80000000000001</v>
      </c>
      <c r="D33" s="958">
        <v>141.4</v>
      </c>
      <c r="E33" s="958">
        <v>144.5</v>
      </c>
      <c r="F33" s="958">
        <v>146.6</v>
      </c>
      <c r="G33" s="958">
        <v>145.4</v>
      </c>
      <c r="H33" s="958">
        <v>148.19999999999999</v>
      </c>
      <c r="I33" s="958">
        <v>147.69999999999999</v>
      </c>
      <c r="J33" s="958">
        <v>145.4</v>
      </c>
      <c r="K33" s="958">
        <v>144.30000000000001</v>
      </c>
      <c r="L33" s="958">
        <v>144.1</v>
      </c>
      <c r="M33" s="958">
        <v>140.30000000000001</v>
      </c>
      <c r="N33" s="959">
        <v>141.5</v>
      </c>
    </row>
    <row r="34" spans="1:14" ht="15" customHeight="1">
      <c r="A34" s="1263" t="s">
        <v>686</v>
      </c>
      <c r="B34" s="1264"/>
      <c r="C34" s="991">
        <v>133</v>
      </c>
      <c r="D34" s="991">
        <v>136.30000000000001</v>
      </c>
      <c r="E34" s="991">
        <v>135.69999999999999</v>
      </c>
      <c r="F34" s="991">
        <v>132.1</v>
      </c>
      <c r="G34" s="991">
        <v>134.5</v>
      </c>
      <c r="H34" s="991">
        <v>129.5</v>
      </c>
      <c r="I34" s="991">
        <v>127.4</v>
      </c>
      <c r="J34" s="991">
        <v>124.6</v>
      </c>
      <c r="K34" s="991">
        <v>126.8</v>
      </c>
      <c r="L34" s="991">
        <v>126.5</v>
      </c>
      <c r="M34" s="991">
        <v>120.2</v>
      </c>
      <c r="N34" s="962">
        <v>113</v>
      </c>
    </row>
    <row r="35" spans="1:14" ht="15" customHeight="1">
      <c r="A35" s="1263" t="s">
        <v>685</v>
      </c>
      <c r="B35" s="1264"/>
      <c r="C35" s="962">
        <v>109</v>
      </c>
      <c r="D35" s="991">
        <v>117.2</v>
      </c>
      <c r="E35" s="991">
        <v>111.2</v>
      </c>
      <c r="F35" s="991">
        <v>106.4</v>
      </c>
      <c r="G35" s="991">
        <v>90.4</v>
      </c>
      <c r="H35" s="962">
        <v>88.4</v>
      </c>
      <c r="I35" s="991">
        <v>90.1</v>
      </c>
      <c r="J35" s="991">
        <v>92.1</v>
      </c>
      <c r="K35" s="991">
        <v>93.1</v>
      </c>
      <c r="L35" s="991">
        <v>97.8</v>
      </c>
      <c r="M35" s="991">
        <v>100.9</v>
      </c>
      <c r="N35" s="962">
        <v>103.5</v>
      </c>
    </row>
    <row r="36" spans="1:14" ht="15" customHeight="1">
      <c r="A36" s="1263" t="s">
        <v>692</v>
      </c>
      <c r="B36" s="1264"/>
      <c r="C36" s="962">
        <v>114.6</v>
      </c>
      <c r="D36" s="962">
        <v>113.1</v>
      </c>
      <c r="E36" s="962">
        <v>114.7</v>
      </c>
      <c r="F36" s="962">
        <v>120.7</v>
      </c>
      <c r="G36" s="962">
        <v>122.1</v>
      </c>
      <c r="H36" s="962">
        <v>130.80000000000001</v>
      </c>
      <c r="I36" s="962">
        <v>132.30000000000001</v>
      </c>
      <c r="J36" s="962">
        <v>139.30000000000001</v>
      </c>
      <c r="K36" s="962">
        <v>135.6</v>
      </c>
      <c r="L36" s="962">
        <v>134.1</v>
      </c>
      <c r="M36" s="962">
        <v>136.30000000000001</v>
      </c>
      <c r="N36" s="962">
        <v>143.1</v>
      </c>
    </row>
    <row r="37" spans="1:14" ht="15" customHeight="1">
      <c r="A37" s="1083" t="s">
        <v>696</v>
      </c>
      <c r="B37" s="1084"/>
      <c r="C37" s="962">
        <v>149</v>
      </c>
      <c r="D37" s="962">
        <v>148.4</v>
      </c>
      <c r="E37" s="962">
        <v>149.4</v>
      </c>
      <c r="F37" s="962">
        <v>147.30000000000001</v>
      </c>
      <c r="G37" s="962">
        <v>151.5</v>
      </c>
      <c r="H37" s="962">
        <v>151</v>
      </c>
      <c r="I37" s="962">
        <v>157.6</v>
      </c>
      <c r="J37" s="962">
        <v>154.80000000000001</v>
      </c>
      <c r="K37" s="962">
        <v>159.30000000000001</v>
      </c>
      <c r="L37" s="962">
        <v>147.80000000000001</v>
      </c>
      <c r="M37" s="962">
        <v>153.9</v>
      </c>
      <c r="N37" s="962">
        <v>147.5</v>
      </c>
    </row>
    <row r="38" spans="1:14" ht="15" customHeight="1">
      <c r="A38" s="1083" t="s">
        <v>707</v>
      </c>
      <c r="B38" s="1084"/>
      <c r="C38" s="962">
        <v>149.5</v>
      </c>
      <c r="D38" s="962">
        <v>148.69999999999999</v>
      </c>
      <c r="E38" s="962">
        <v>144.80000000000001</v>
      </c>
      <c r="F38" s="962">
        <v>141</v>
      </c>
      <c r="G38" s="962">
        <v>139.30000000000001</v>
      </c>
      <c r="H38" s="962">
        <v>140.6</v>
      </c>
      <c r="I38" s="962">
        <v>134.80000000000001</v>
      </c>
      <c r="J38" s="962">
        <v>129.30000000000001</v>
      </c>
      <c r="K38" s="962">
        <v>127.9</v>
      </c>
      <c r="L38" s="962">
        <v>127.7</v>
      </c>
      <c r="M38" s="962">
        <v>124.9</v>
      </c>
      <c r="N38" s="962">
        <v>127.9</v>
      </c>
    </row>
    <row r="39" spans="1:14" ht="15" customHeight="1">
      <c r="A39" s="1083" t="s">
        <v>711</v>
      </c>
      <c r="B39" s="1084"/>
      <c r="C39" s="962">
        <v>123.3</v>
      </c>
      <c r="D39" s="962">
        <v>128.19999999999999</v>
      </c>
      <c r="E39" s="962">
        <v>131.6</v>
      </c>
      <c r="F39" s="962">
        <v>135.1</v>
      </c>
      <c r="G39" s="962">
        <v>136.69999999999999</v>
      </c>
      <c r="H39" s="962">
        <v>135</v>
      </c>
      <c r="I39" s="962">
        <v>130.5</v>
      </c>
      <c r="J39" s="962">
        <v>132.5</v>
      </c>
      <c r="K39" s="962">
        <v>137.30000000000001</v>
      </c>
      <c r="L39" s="962">
        <v>146.9</v>
      </c>
      <c r="M39" s="962">
        <v>140.4</v>
      </c>
      <c r="N39" s="962">
        <v>138.69999999999999</v>
      </c>
    </row>
    <row r="40" spans="1:14" ht="15" customHeight="1">
      <c r="A40" s="1267" t="s">
        <v>821</v>
      </c>
      <c r="B40" s="1081"/>
      <c r="C40" s="961">
        <v>146.4</v>
      </c>
      <c r="D40" s="961">
        <v>148.1</v>
      </c>
      <c r="E40" s="961">
        <v>153.5</v>
      </c>
      <c r="F40" s="961">
        <v>138.80000000000001</v>
      </c>
      <c r="G40" s="961">
        <v>141</v>
      </c>
      <c r="H40" s="961">
        <v>141.30000000000001</v>
      </c>
      <c r="I40" s="961">
        <v>133.5</v>
      </c>
      <c r="J40" s="961">
        <v>131.5</v>
      </c>
      <c r="K40" s="961">
        <v>132.1</v>
      </c>
      <c r="L40" s="961"/>
      <c r="M40" s="961"/>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70"/>
      <c r="N43" s="413" t="s">
        <v>768</v>
      </c>
    </row>
    <row r="44" spans="1:14" ht="15" customHeight="1">
      <c r="A44" s="443"/>
      <c r="B44" s="695" t="s">
        <v>189</v>
      </c>
      <c r="C44" s="1478" t="s">
        <v>259</v>
      </c>
      <c r="D44" s="1478" t="s">
        <v>385</v>
      </c>
      <c r="E44" s="1478" t="s">
        <v>386</v>
      </c>
      <c r="F44" s="1478" t="s">
        <v>387</v>
      </c>
      <c r="G44" s="1478" t="s">
        <v>388</v>
      </c>
      <c r="H44" s="1478" t="s">
        <v>389</v>
      </c>
      <c r="I44" s="1478" t="s">
        <v>390</v>
      </c>
      <c r="J44" s="1478" t="s">
        <v>391</v>
      </c>
      <c r="K44" s="1478" t="s">
        <v>392</v>
      </c>
      <c r="L44" s="1478" t="s">
        <v>191</v>
      </c>
      <c r="M44" s="1478" t="s">
        <v>192</v>
      </c>
      <c r="N44" s="1478" t="s">
        <v>193</v>
      </c>
    </row>
    <row r="45" spans="1:14" ht="15" customHeight="1">
      <c r="A45" s="696" t="s">
        <v>190</v>
      </c>
      <c r="B45" s="444"/>
      <c r="C45" s="1479"/>
      <c r="D45" s="1479"/>
      <c r="E45" s="1479"/>
      <c r="F45" s="1479"/>
      <c r="G45" s="1479"/>
      <c r="H45" s="1479"/>
      <c r="I45" s="1479"/>
      <c r="J45" s="1479"/>
      <c r="K45" s="1479"/>
      <c r="L45" s="1479"/>
      <c r="M45" s="1479"/>
      <c r="N45" s="1479"/>
    </row>
    <row r="46" spans="1:14" ht="15" customHeight="1">
      <c r="A46" s="1263" t="s">
        <v>677</v>
      </c>
      <c r="B46" s="1264"/>
      <c r="C46" s="958">
        <v>93.3</v>
      </c>
      <c r="D46" s="958">
        <v>93.2</v>
      </c>
      <c r="E46" s="958">
        <v>78.2</v>
      </c>
      <c r="F46" s="958">
        <v>84.5</v>
      </c>
      <c r="G46" s="958">
        <v>89.1</v>
      </c>
      <c r="H46" s="958">
        <v>86.9</v>
      </c>
      <c r="I46" s="958">
        <v>90.9</v>
      </c>
      <c r="J46" s="958">
        <v>95.2</v>
      </c>
      <c r="K46" s="958">
        <v>93.9</v>
      </c>
      <c r="L46" s="958">
        <v>91.7</v>
      </c>
      <c r="M46" s="958">
        <v>90.3</v>
      </c>
      <c r="N46" s="959">
        <v>93</v>
      </c>
    </row>
    <row r="47" spans="1:14" ht="15" customHeight="1">
      <c r="A47" s="1263" t="s">
        <v>678</v>
      </c>
      <c r="B47" s="1264"/>
      <c r="C47" s="958">
        <v>94.6</v>
      </c>
      <c r="D47" s="958">
        <v>95.1</v>
      </c>
      <c r="E47" s="958">
        <v>97.4</v>
      </c>
      <c r="F47" s="958">
        <v>97.9</v>
      </c>
      <c r="G47" s="958">
        <v>100.9</v>
      </c>
      <c r="H47" s="958">
        <v>100.6</v>
      </c>
      <c r="I47" s="958">
        <v>98.8</v>
      </c>
      <c r="J47" s="958">
        <v>98.2</v>
      </c>
      <c r="K47" s="958">
        <v>99.8</v>
      </c>
      <c r="L47" s="958">
        <v>98.2</v>
      </c>
      <c r="M47" s="958">
        <v>98</v>
      </c>
      <c r="N47" s="959">
        <v>97.9</v>
      </c>
    </row>
    <row r="48" spans="1:14" ht="15" customHeight="1">
      <c r="A48" s="1263" t="s">
        <v>679</v>
      </c>
      <c r="B48" s="1264"/>
      <c r="C48" s="958">
        <v>96.2</v>
      </c>
      <c r="D48" s="958">
        <v>98.8</v>
      </c>
      <c r="E48" s="958">
        <v>103</v>
      </c>
      <c r="F48" s="958">
        <v>99.3</v>
      </c>
      <c r="G48" s="958">
        <v>102.2</v>
      </c>
      <c r="H48" s="958">
        <v>105.7</v>
      </c>
      <c r="I48" s="958">
        <v>105.6</v>
      </c>
      <c r="J48" s="958">
        <v>106.4</v>
      </c>
      <c r="K48" s="958">
        <v>107.3</v>
      </c>
      <c r="L48" s="958">
        <v>106.9</v>
      </c>
      <c r="M48" s="958">
        <v>110.1</v>
      </c>
      <c r="N48" s="959">
        <v>111</v>
      </c>
    </row>
    <row r="49" spans="1:17" ht="15" customHeight="1">
      <c r="A49" s="1263" t="s">
        <v>680</v>
      </c>
      <c r="B49" s="1264"/>
      <c r="C49" s="958">
        <v>111.9</v>
      </c>
      <c r="D49" s="958">
        <v>112.3</v>
      </c>
      <c r="E49" s="958">
        <v>106.5</v>
      </c>
      <c r="F49" s="958">
        <v>108.6</v>
      </c>
      <c r="G49" s="958">
        <v>114.1</v>
      </c>
      <c r="H49" s="958">
        <v>114.7</v>
      </c>
      <c r="I49" s="958">
        <v>114.7</v>
      </c>
      <c r="J49" s="958">
        <v>114.4</v>
      </c>
      <c r="K49" s="958">
        <v>115.2</v>
      </c>
      <c r="L49" s="958">
        <v>115.2</v>
      </c>
      <c r="M49" s="958">
        <v>113.5</v>
      </c>
      <c r="N49" s="959">
        <v>109.8</v>
      </c>
    </row>
    <row r="50" spans="1:17" ht="15" customHeight="1">
      <c r="A50" s="1263" t="s">
        <v>681</v>
      </c>
      <c r="B50" s="1264"/>
      <c r="C50" s="958">
        <v>102.3</v>
      </c>
      <c r="D50" s="958">
        <v>106.5</v>
      </c>
      <c r="E50" s="958">
        <v>105.8</v>
      </c>
      <c r="F50" s="958">
        <v>105.5</v>
      </c>
      <c r="G50" s="958">
        <v>104.8</v>
      </c>
      <c r="H50" s="958">
        <v>102.5</v>
      </c>
      <c r="I50" s="958">
        <v>100.3</v>
      </c>
      <c r="J50" s="958">
        <v>100.8</v>
      </c>
      <c r="K50" s="958">
        <v>97</v>
      </c>
      <c r="L50" s="958">
        <v>101.3</v>
      </c>
      <c r="M50" s="958">
        <v>97.5</v>
      </c>
      <c r="N50" s="959">
        <v>100.2</v>
      </c>
    </row>
    <row r="51" spans="1:17" ht="15" customHeight="1">
      <c r="A51" s="1263" t="s">
        <v>682</v>
      </c>
      <c r="B51" s="1264"/>
      <c r="C51" s="958">
        <v>101.5</v>
      </c>
      <c r="D51" s="958">
        <v>101.4</v>
      </c>
      <c r="E51" s="958">
        <v>101.1</v>
      </c>
      <c r="F51" s="958">
        <v>99.7</v>
      </c>
      <c r="G51" s="958">
        <v>98.9</v>
      </c>
      <c r="H51" s="958">
        <v>97.3</v>
      </c>
      <c r="I51" s="958">
        <v>99.7</v>
      </c>
      <c r="J51" s="958">
        <v>97.7</v>
      </c>
      <c r="K51" s="958">
        <v>98</v>
      </c>
      <c r="L51" s="958">
        <v>99.7</v>
      </c>
      <c r="M51" s="958">
        <v>101</v>
      </c>
      <c r="N51" s="959">
        <v>101.1</v>
      </c>
    </row>
    <row r="52" spans="1:17" ht="15" customHeight="1">
      <c r="A52" s="1263" t="s">
        <v>683</v>
      </c>
      <c r="B52" s="1264"/>
      <c r="C52" s="958">
        <v>101</v>
      </c>
      <c r="D52" s="958">
        <v>101.3</v>
      </c>
      <c r="E52" s="958">
        <v>100.5</v>
      </c>
      <c r="F52" s="958">
        <v>102.4</v>
      </c>
      <c r="G52" s="958">
        <v>98.7</v>
      </c>
      <c r="H52" s="958">
        <v>100.6</v>
      </c>
      <c r="I52" s="958">
        <v>100.1</v>
      </c>
      <c r="J52" s="958">
        <v>100.1</v>
      </c>
      <c r="K52" s="958">
        <v>100.6</v>
      </c>
      <c r="L52" s="958">
        <v>99.2</v>
      </c>
      <c r="M52" s="958">
        <v>100.6</v>
      </c>
      <c r="N52" s="962">
        <v>103.2</v>
      </c>
    </row>
    <row r="53" spans="1:17" ht="15" customHeight="1">
      <c r="A53" s="1263" t="s">
        <v>684</v>
      </c>
      <c r="B53" s="1264"/>
      <c r="C53" s="958">
        <v>104.9</v>
      </c>
      <c r="D53" s="958">
        <v>102.9</v>
      </c>
      <c r="E53" s="958">
        <v>102.6</v>
      </c>
      <c r="F53" s="958">
        <v>99.1</v>
      </c>
      <c r="G53" s="958">
        <v>103.3</v>
      </c>
      <c r="H53" s="958">
        <v>103</v>
      </c>
      <c r="I53" s="958">
        <v>104.7</v>
      </c>
      <c r="J53" s="958">
        <v>101.5</v>
      </c>
      <c r="K53" s="958">
        <v>99.8</v>
      </c>
      <c r="L53" s="958">
        <v>98.7</v>
      </c>
      <c r="M53" s="958">
        <v>98.3</v>
      </c>
      <c r="N53" s="959">
        <v>99.2</v>
      </c>
      <c r="O53" s="267"/>
      <c r="P53" s="267"/>
    </row>
    <row r="54" spans="1:17" ht="15" customHeight="1">
      <c r="A54" s="1263" t="s">
        <v>686</v>
      </c>
      <c r="B54" s="1264"/>
      <c r="C54" s="991">
        <v>94.8</v>
      </c>
      <c r="D54" s="991">
        <v>96.2</v>
      </c>
      <c r="E54" s="991">
        <v>96.8</v>
      </c>
      <c r="F54" s="991">
        <v>95.1</v>
      </c>
      <c r="G54" s="991">
        <v>101.2</v>
      </c>
      <c r="H54" s="991">
        <v>103.7</v>
      </c>
      <c r="I54" s="991">
        <v>97.2</v>
      </c>
      <c r="J54" s="991">
        <v>103</v>
      </c>
      <c r="K54" s="991">
        <v>103.7</v>
      </c>
      <c r="L54" s="991">
        <v>100.1</v>
      </c>
      <c r="M54" s="991">
        <v>101.2</v>
      </c>
      <c r="N54" s="962">
        <v>102.5</v>
      </c>
      <c r="O54" s="267"/>
      <c r="P54" s="267"/>
    </row>
    <row r="55" spans="1:17" ht="15" customHeight="1">
      <c r="A55" s="1263" t="s">
        <v>685</v>
      </c>
      <c r="B55" s="1264"/>
      <c r="C55" s="962">
        <v>103.7</v>
      </c>
      <c r="D55" s="991">
        <v>103.5</v>
      </c>
      <c r="E55" s="991">
        <v>100.8</v>
      </c>
      <c r="F55" s="991">
        <v>101</v>
      </c>
      <c r="G55" s="991">
        <v>97.5</v>
      </c>
      <c r="H55" s="962">
        <v>102.2</v>
      </c>
      <c r="I55" s="991">
        <v>103</v>
      </c>
      <c r="J55" s="991">
        <v>97.6</v>
      </c>
      <c r="K55" s="991">
        <v>99</v>
      </c>
      <c r="L55" s="991">
        <v>99.8</v>
      </c>
      <c r="M55" s="991">
        <v>97.8</v>
      </c>
      <c r="N55" s="962">
        <v>94.1</v>
      </c>
      <c r="O55" s="267"/>
      <c r="P55" s="267"/>
    </row>
    <row r="56" spans="1:17" ht="15" customHeight="1">
      <c r="A56" s="1263" t="s">
        <v>692</v>
      </c>
      <c r="B56" s="1264"/>
      <c r="C56" s="962">
        <v>98.3</v>
      </c>
      <c r="D56" s="962">
        <v>97</v>
      </c>
      <c r="E56" s="962">
        <v>103.2</v>
      </c>
      <c r="F56" s="962">
        <v>105.3</v>
      </c>
      <c r="G56" s="962">
        <v>102.5</v>
      </c>
      <c r="H56" s="962">
        <v>103.7</v>
      </c>
      <c r="I56" s="962">
        <v>101.4</v>
      </c>
      <c r="J56" s="962">
        <v>101.7</v>
      </c>
      <c r="K56" s="962">
        <v>101.8</v>
      </c>
      <c r="L56" s="962">
        <v>104</v>
      </c>
      <c r="M56" s="962">
        <v>104.5</v>
      </c>
      <c r="N56" s="962">
        <v>105.2</v>
      </c>
      <c r="O56" s="267"/>
      <c r="P56" s="267"/>
    </row>
    <row r="57" spans="1:17" ht="15" customHeight="1">
      <c r="A57" s="1083" t="s">
        <v>696</v>
      </c>
      <c r="B57" s="1084"/>
      <c r="C57" s="962">
        <v>105.8</v>
      </c>
      <c r="D57" s="962">
        <v>102.4</v>
      </c>
      <c r="E57" s="962">
        <v>110.4</v>
      </c>
      <c r="F57" s="962">
        <v>107.1</v>
      </c>
      <c r="G57" s="962">
        <v>117.2</v>
      </c>
      <c r="H57" s="962">
        <v>113.5</v>
      </c>
      <c r="I57" s="962">
        <v>120.6</v>
      </c>
      <c r="J57" s="962">
        <v>116.8</v>
      </c>
      <c r="K57" s="962">
        <v>118.6</v>
      </c>
      <c r="L57" s="962">
        <v>118</v>
      </c>
      <c r="M57" s="962">
        <v>120.7</v>
      </c>
      <c r="N57" s="962">
        <v>125.1</v>
      </c>
    </row>
    <row r="58" spans="1:17" ht="15" customHeight="1">
      <c r="A58" s="1083" t="s">
        <v>707</v>
      </c>
      <c r="B58" s="1084"/>
      <c r="C58" s="962">
        <v>126</v>
      </c>
      <c r="D58" s="962">
        <v>125.6</v>
      </c>
      <c r="E58" s="962">
        <v>123.7</v>
      </c>
      <c r="F58" s="962">
        <v>123.1</v>
      </c>
      <c r="G58" s="962">
        <v>121.4</v>
      </c>
      <c r="H58" s="962">
        <v>119.4</v>
      </c>
      <c r="I58" s="962">
        <v>123.1</v>
      </c>
      <c r="J58" s="962">
        <v>126.2</v>
      </c>
      <c r="K58" s="962">
        <v>126.3</v>
      </c>
      <c r="L58" s="962">
        <v>128.4</v>
      </c>
      <c r="M58" s="962">
        <v>123.5</v>
      </c>
      <c r="N58" s="962">
        <v>125.7</v>
      </c>
    </row>
    <row r="59" spans="1:17" ht="15" customHeight="1">
      <c r="A59" s="1083" t="s">
        <v>711</v>
      </c>
      <c r="B59" s="1084"/>
      <c r="C59" s="962">
        <v>118.2</v>
      </c>
      <c r="D59" s="962">
        <v>125.1</v>
      </c>
      <c r="E59" s="962">
        <v>123.4</v>
      </c>
      <c r="F59" s="962">
        <v>121.5</v>
      </c>
      <c r="G59" s="962">
        <v>122.8</v>
      </c>
      <c r="H59" s="962">
        <v>126.7</v>
      </c>
      <c r="I59" s="962">
        <v>119.5</v>
      </c>
      <c r="J59" s="962">
        <v>124.4</v>
      </c>
      <c r="K59" s="962">
        <v>122.8</v>
      </c>
      <c r="L59" s="962">
        <v>123.2</v>
      </c>
      <c r="M59" s="962">
        <v>128.9</v>
      </c>
      <c r="N59" s="962">
        <v>127.1</v>
      </c>
      <c r="Q59" s="1078"/>
    </row>
    <row r="60" spans="1:17" ht="15" customHeight="1">
      <c r="A60" s="1267" t="s">
        <v>821</v>
      </c>
      <c r="B60" s="1081"/>
      <c r="C60" s="961">
        <v>128.5</v>
      </c>
      <c r="D60" s="961">
        <v>127.8</v>
      </c>
      <c r="E60" s="961">
        <v>127.7</v>
      </c>
      <c r="F60" s="961">
        <v>125.3</v>
      </c>
      <c r="G60" s="961">
        <v>123.9</v>
      </c>
      <c r="H60" s="961">
        <v>123.9</v>
      </c>
      <c r="I60" s="961">
        <v>125.1</v>
      </c>
      <c r="J60" s="961">
        <v>118.6</v>
      </c>
      <c r="K60" s="961">
        <v>119.8</v>
      </c>
      <c r="L60" s="961"/>
      <c r="M60" s="961"/>
      <c r="N60" s="961"/>
      <c r="Q60" s="1078"/>
    </row>
    <row r="61" spans="1:17" ht="3.9" customHeight="1">
      <c r="A61" s="1076"/>
      <c r="B61" s="1076"/>
      <c r="C61" s="1077"/>
      <c r="D61" s="1077"/>
      <c r="E61" s="1077"/>
      <c r="F61" s="1077"/>
      <c r="G61" s="1077"/>
      <c r="H61" s="1077"/>
      <c r="I61" s="1077"/>
      <c r="J61" s="1077"/>
      <c r="K61" s="1077"/>
      <c r="L61" s="1077"/>
      <c r="M61" s="1077"/>
      <c r="N61" s="1077"/>
    </row>
    <row r="62" spans="1:17" ht="3.9" customHeight="1"/>
    <row r="63" spans="1:17">
      <c r="A63" s="475" t="s">
        <v>381</v>
      </c>
      <c r="B63" s="244" t="s">
        <v>554</v>
      </c>
      <c r="C63" s="244"/>
      <c r="D63" s="244"/>
      <c r="E63" s="244"/>
    </row>
    <row r="64" spans="1:17">
      <c r="A64" s="475"/>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0"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小野寺 由紀子</cp:lastModifiedBy>
  <cp:lastPrinted>2025-12-22T07:26:36Z</cp:lastPrinted>
  <dcterms:created xsi:type="dcterms:W3CDTF">2009-03-03T08:10:44Z</dcterms:created>
  <dcterms:modified xsi:type="dcterms:W3CDTF">2025-12-26T02:38:09Z</dcterms:modified>
</cp:coreProperties>
</file>