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charts/chart7.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8.xml" ContentType="application/vnd.openxmlformats-officedocument.drawingml.chart+xml"/>
  <Override PartName="/xl/drawings/drawing14.xml" ContentType="application/vnd.openxmlformats-officedocument.drawingml.chartshapes+xml"/>
  <Override PartName="/xl/charts/chart9.xml" ContentType="application/vnd.openxmlformats-officedocument.drawingml.chart+xml"/>
  <Override PartName="/xl/drawings/drawing15.xml" ContentType="application/vnd.openxmlformats-officedocument.drawingml.chartshapes+xml"/>
  <Override PartName="/xl/charts/chart10.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1.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embeddings/oleObject1.bin" ContentType="application/vnd.openxmlformats-officedocument.oleObject"/>
  <Override PartName="/xl/drawings/drawing20.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Y:\107 ＣＩ、景況\◆景気動向指数\●新CI\04 いわての統計情報用\FYR07\"/>
    </mc:Choice>
  </mc:AlternateContent>
  <xr:revisionPtr revIDLastSave="0" documentId="14_{12420C86-C283-43E5-9357-E19BF2E5409D}" xr6:coauthVersionLast="47" xr6:coauthVersionMax="47" xr10:uidLastSave="{00000000-0000-0000-0000-000000000000}"/>
  <bookViews>
    <workbookView xWindow="585" yWindow="0" windowWidth="18555" windowHeight="15555" firstSheet="1" activeTab="1" xr2:uid="{00000000-000D-0000-FFFF-FFFF00000000}"/>
  </bookViews>
  <sheets>
    <sheet name="初期登録" sheetId="1" state="hidden" r:id="rId1"/>
    <sheet name="表紙" sheetId="2" r:id="rId2"/>
    <sheet name="目次" sheetId="3" r:id="rId3"/>
    <sheet name="P1概要" sheetId="4" r:id="rId4"/>
    <sheet name="P2.CI先行" sheetId="5" r:id="rId5"/>
    <sheet name="P3.CI一致" sheetId="6" r:id="rId6"/>
    <sheet name="P4.CI遅行" sheetId="7" r:id="rId7"/>
    <sheet name="P5.CI時系列グラフ" sheetId="11" r:id="rId8"/>
    <sheet name="P6.CI時系列表" sheetId="12" r:id="rId9"/>
    <sheet name="P7.先行系列" sheetId="13" r:id="rId10"/>
    <sheet name="P8.一致系列" sheetId="14" r:id="rId11"/>
    <sheet name="P9.遅行系列" sheetId="15" r:id="rId12"/>
    <sheet name="P10.DI変化方向表" sheetId="16" r:id="rId13"/>
    <sheet name="P11.DIグラフ" sheetId="17" r:id="rId14"/>
    <sheet name="P12.DI時系列表" sheetId="18" r:id="rId15"/>
    <sheet name="P13.累計DIグラフ " sheetId="19" r:id="rId16"/>
    <sheet name="P14.利用手引き" sheetId="30" r:id="rId17"/>
    <sheet name="P15.利用の手引き(2)" sheetId="21" r:id="rId18"/>
    <sheet name="P16.CI基調判断" sheetId="29" r:id="rId19"/>
    <sheet name="P17.系列概要" sheetId="28" r:id="rId20"/>
    <sheet name="寄与度データ" sheetId="8" state="hidden" r:id="rId21"/>
    <sheet name="前月比データ" sheetId="10" state="hidden" r:id="rId22"/>
    <sheet name="DI元データ" sheetId="24" state="hidden" r:id="rId23"/>
    <sheet name="グラフデータ" sheetId="9" state="hidden" r:id="rId24"/>
  </sheets>
  <definedNames>
    <definedName name="label" localSheetId="22">DI元データ!$J$3:INDEX(#REF!,COUNTA(#REF!))</definedName>
    <definedName name="label" localSheetId="13">#REF!:INDEX('P11.DIグラフ'!$L:$L,COUNTA('P11.DIグラフ'!$L:$L))</definedName>
    <definedName name="label" localSheetId="15">#REF!:INDEX('P13.累計DIグラフ '!$M:$M,COUNTA('P13.累計DIグラフ '!$M:$M))</definedName>
    <definedName name="label" localSheetId="0">#REF!:INDEX(#REF!,COUNTA(#REF!))</definedName>
    <definedName name="label">#REF!:INDEX(#REF!,COUNTA(#REF!))</definedName>
    <definedName name="P6.DI累計グラフ">#REF!:INDEX(#REF!,COUNTA(#REF!))</definedName>
    <definedName name="_xlnm.Print_Area" localSheetId="22">DI元データ!$A$1:$R$586</definedName>
    <definedName name="_xlnm.Print_Area" localSheetId="12">'P10.DI変化方向表'!$A$1:$AU$43</definedName>
    <definedName name="_xlnm.Print_Area" localSheetId="13">'P11.DIグラフ'!$A$1:$P$37</definedName>
    <definedName name="_xlnm.Print_Area" localSheetId="14">'P12.DI時系列表'!$A$1:$O$60</definedName>
    <definedName name="_xlnm.Print_Area" localSheetId="15">'P13.累計DIグラフ '!$A$1:$P$40</definedName>
    <definedName name="_xlnm.Print_Area" localSheetId="16">'P14.利用手引き'!$A$1:$J$51</definedName>
    <definedName name="_xlnm.Print_Area" localSheetId="17">'P15.利用の手引き(2)'!$A$1:$J$50</definedName>
    <definedName name="_xlnm.Print_Area" localSheetId="18">'P16.CI基調判断'!$A$1:$J$37</definedName>
    <definedName name="_xlnm.Print_Area" localSheetId="19">'P17.系列概要'!$A$1:$I$54</definedName>
    <definedName name="_xlnm.Print_Area" localSheetId="3">P1概要!$A$1:$L$50</definedName>
    <definedName name="_xlnm.Print_Area" localSheetId="4">'P2.CI先行'!$A$1:$I$54</definedName>
    <definedName name="_xlnm.Print_Area" localSheetId="5">'P3.CI一致'!$A$1:$I$54</definedName>
    <definedName name="_xlnm.Print_Area" localSheetId="6">'P4.CI遅行'!$A$1:$I$54</definedName>
    <definedName name="_xlnm.Print_Area" localSheetId="7">'P5.CI時系列グラフ'!$A$1:$I$52</definedName>
    <definedName name="_xlnm.Print_Area" localSheetId="8">'P6.CI時系列表'!$A$1:$O$63</definedName>
    <definedName name="_xlnm.Print_Area" localSheetId="9">'P7.先行系列'!$A$1:$K$63</definedName>
    <definedName name="_xlnm.Print_Area" localSheetId="10">'P8.一致系列'!$A$1:$L$63</definedName>
    <definedName name="_xlnm.Print_Area" localSheetId="11">'P9.遅行系列'!$A$1:$K$64</definedName>
    <definedName name="_xlnm.Print_Area" localSheetId="23">グラフデータ!$A$1:$AA$423</definedName>
    <definedName name="_xlnm.Print_Area" localSheetId="1">表紙!$A$1:$M$36</definedName>
    <definedName name="_xlnm.Print_Titles" localSheetId="22">DI元データ!$1:$4</definedName>
    <definedName name="_xlnm.Print_Titles" localSheetId="12">'P10.DI変化方向表'!$A:$H,'P10.DI変化方向表'!$1:$4</definedName>
    <definedName name="_xlnm.Print_Titles" localSheetId="10">'P8.一致系列'!$A:$C,'P8.一致系列'!$3:$9</definedName>
    <definedName name="_xlnm.Print_Titles" localSheetId="11">'P9.遅行系列'!$3:$9</definedName>
    <definedName name="_xlnm.Print_Titles" localSheetId="23">グラフデータ!$A:$C,グラフデータ!$1:$3</definedName>
    <definedName name="Z_7EBA91D6_F088_446F_A1CC_E1462A1CA2C3_.wvu.PrintArea" localSheetId="12" hidden="1">'P10.DI変化方向表'!$A$1:$AF$46</definedName>
    <definedName name="Z_7EBA91D6_F088_446F_A1CC_E1462A1CA2C3_.wvu.PrintArea" localSheetId="14" hidden="1">'P12.DI時系列表'!$A$1:$N$58</definedName>
    <definedName name="Z_7EBA91D6_F088_446F_A1CC_E1462A1CA2C3_.wvu.PrintArea" localSheetId="17" hidden="1">'P15.利用の手引き(2)'!$A$2:$I$47</definedName>
    <definedName name="Z_7EBA91D6_F088_446F_A1CC_E1462A1CA2C3_.wvu.PrintArea" localSheetId="19" hidden="1">'P17.系列概要'!$A$1:$I$53</definedName>
    <definedName name="Z_7EBA91D6_F088_446F_A1CC_E1462A1CA2C3_.wvu.PrintArea" localSheetId="1" hidden="1">表紙!$B$1:$E$37</definedName>
    <definedName name="Z_7EBA91D6_F088_446F_A1CC_E1462A1CA2C3_.wvu.Rows" localSheetId="12" hidden="1">'P10.DI変化方向表'!$47:$47</definedName>
    <definedName name="Z_7EBA91D6_F088_446F_A1CC_E1462A1CA2C3_.wvu.Rows" localSheetId="14" hidden="1">'P12.DI時系列表'!#REF!,'P12.DI時系列表'!#REF!,'P12.DI時系列表'!#REF!,'P12.DI時系列表'!#REF!,'P12.DI時系列表'!#REF!</definedName>
    <definedName name="Z_883B7A2B_3CB3_449D_A461_655262B722BC_.wvu.PrintArea" localSheetId="12" hidden="1">'P10.DI変化方向表'!$A$1:$AF$46</definedName>
    <definedName name="Z_883B7A2B_3CB3_449D_A461_655262B722BC_.wvu.PrintArea" localSheetId="14" hidden="1">'P12.DI時系列表'!$A$1:$N$58</definedName>
    <definedName name="Z_883B7A2B_3CB3_449D_A461_655262B722BC_.wvu.PrintArea" localSheetId="17" hidden="1">'P15.利用の手引き(2)'!$A$2:$I$47</definedName>
    <definedName name="Z_883B7A2B_3CB3_449D_A461_655262B722BC_.wvu.PrintArea" localSheetId="19" hidden="1">'P17.系列概要'!$A$1:$I$53</definedName>
    <definedName name="Z_883B7A2B_3CB3_449D_A461_655262B722BC_.wvu.PrintArea" localSheetId="1" hidden="1">表紙!$B$1:$E$37</definedName>
    <definedName name="Z_883B7A2B_3CB3_449D_A461_655262B722BC_.wvu.Rows" localSheetId="12" hidden="1">'P10.DI変化方向表'!$47:$47</definedName>
    <definedName name="Z_883B7A2B_3CB3_449D_A461_655262B722BC_.wvu.Rows" localSheetId="14" hidden="1">'P12.DI時系列表'!#REF!,'P12.DI時系列表'!#REF!,'P12.DI時系列表'!#REF!,'P12.DI時系列表'!#REF!,'P12.DI時系列表'!#REF!</definedName>
  </definedNames>
  <calcPr calcId="191029"/>
  <customWorkbookViews>
    <customWorkbookView name="Z020639 - 個人用ビュー" guid="{7EBA91D6-F088-446F-A1CC-E1462A1CA2C3}" mergeInterval="0" personalView="1" maximized="1" windowWidth="1020" windowHeight="594" activeSheetId="16"/>
    <customWorkbookView name="調査統計課　内線5301 - 個人用ビュー" guid="{883B7A2B-3CB3-449D-A461-655262B722BC}" mergeInterval="0" personalView="1" maximized="1" windowWidth="1020" windowHeight="518"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 i="9" l="1"/>
  <c r="V10" i="9"/>
  <c r="W10" i="9"/>
  <c r="U11" i="9"/>
  <c r="V11" i="9"/>
  <c r="W11" i="9"/>
  <c r="U12" i="9"/>
  <c r="V12" i="9"/>
  <c r="W12" i="9"/>
  <c r="U13" i="9"/>
  <c r="V13" i="9"/>
  <c r="W13" i="9"/>
  <c r="U14" i="9"/>
  <c r="V14" i="9"/>
  <c r="W14" i="9"/>
  <c r="U15" i="9"/>
  <c r="V15" i="9"/>
  <c r="W15" i="9"/>
  <c r="U16" i="9"/>
  <c r="V16" i="9"/>
  <c r="W16" i="9"/>
  <c r="U17" i="9"/>
  <c r="V17" i="9"/>
  <c r="W17" i="9"/>
  <c r="U18" i="9"/>
  <c r="V18" i="9"/>
  <c r="W18" i="9"/>
  <c r="U19" i="9"/>
  <c r="V19" i="9"/>
  <c r="W19" i="9"/>
  <c r="U20" i="9"/>
  <c r="V20" i="9"/>
  <c r="W20" i="9"/>
  <c r="U21" i="9"/>
  <c r="V21" i="9"/>
  <c r="W21" i="9"/>
  <c r="U22" i="9"/>
  <c r="V22" i="9"/>
  <c r="W22" i="9"/>
  <c r="U23" i="9"/>
  <c r="V23" i="9"/>
  <c r="W23" i="9"/>
  <c r="U24" i="9"/>
  <c r="V24" i="9"/>
  <c r="W24" i="9"/>
  <c r="U25" i="9"/>
  <c r="V25" i="9"/>
  <c r="W25" i="9"/>
  <c r="U26" i="9"/>
  <c r="V26" i="9"/>
  <c r="W26" i="9"/>
  <c r="U27" i="9"/>
  <c r="V27" i="9"/>
  <c r="W27" i="9"/>
  <c r="U28" i="9"/>
  <c r="V28" i="9"/>
  <c r="W28" i="9"/>
  <c r="U29" i="9"/>
  <c r="V29" i="9"/>
  <c r="W29" i="9"/>
  <c r="U30" i="9"/>
  <c r="V30" i="9"/>
  <c r="W30" i="9"/>
  <c r="U31" i="9"/>
  <c r="V31" i="9"/>
  <c r="W31" i="9"/>
  <c r="U32" i="9"/>
  <c r="V32" i="9"/>
  <c r="W32" i="9"/>
  <c r="U33" i="9"/>
  <c r="V33" i="9"/>
  <c r="W33" i="9"/>
  <c r="U34" i="9"/>
  <c r="V34" i="9"/>
  <c r="W34" i="9"/>
  <c r="U35" i="9"/>
  <c r="V35" i="9"/>
  <c r="W35" i="9"/>
  <c r="U36" i="9"/>
  <c r="V36" i="9"/>
  <c r="W36" i="9"/>
  <c r="U37" i="9"/>
  <c r="V37" i="9"/>
  <c r="W37" i="9"/>
  <c r="U38" i="9"/>
  <c r="V38" i="9"/>
  <c r="W38" i="9"/>
  <c r="U39" i="9"/>
  <c r="V39" i="9"/>
  <c r="W39" i="9"/>
  <c r="U40" i="9"/>
  <c r="V40" i="9"/>
  <c r="W40" i="9"/>
  <c r="U41" i="9"/>
  <c r="V41" i="9"/>
  <c r="W41" i="9"/>
  <c r="U42" i="9"/>
  <c r="V42" i="9"/>
  <c r="W42" i="9"/>
  <c r="U43" i="9"/>
  <c r="V43" i="9"/>
  <c r="W43" i="9"/>
  <c r="U44" i="9"/>
  <c r="V44" i="9"/>
  <c r="W44" i="9"/>
  <c r="U45" i="9"/>
  <c r="V45" i="9"/>
  <c r="W45" i="9"/>
  <c r="U46" i="9"/>
  <c r="V46" i="9"/>
  <c r="W46" i="9"/>
  <c r="U47" i="9"/>
  <c r="V47" i="9"/>
  <c r="W47" i="9"/>
  <c r="U48" i="9"/>
  <c r="V48" i="9"/>
  <c r="W48" i="9"/>
  <c r="U49" i="9"/>
  <c r="V49" i="9"/>
  <c r="W49" i="9"/>
  <c r="U50" i="9"/>
  <c r="V50" i="9"/>
  <c r="W50" i="9"/>
  <c r="U51" i="9"/>
  <c r="V51" i="9"/>
  <c r="W51" i="9"/>
  <c r="U52" i="9"/>
  <c r="V52" i="9"/>
  <c r="W52" i="9"/>
  <c r="U53" i="9"/>
  <c r="V53" i="9"/>
  <c r="W53" i="9"/>
  <c r="U54" i="9"/>
  <c r="V54" i="9"/>
  <c r="W54" i="9"/>
  <c r="U55" i="9"/>
  <c r="V55" i="9"/>
  <c r="W55" i="9"/>
  <c r="U56" i="9"/>
  <c r="V56" i="9"/>
  <c r="W56" i="9"/>
  <c r="U57" i="9"/>
  <c r="V57" i="9"/>
  <c r="W57" i="9"/>
  <c r="U58" i="9"/>
  <c r="V58" i="9"/>
  <c r="W58" i="9"/>
  <c r="U59" i="9"/>
  <c r="V59" i="9"/>
  <c r="W59" i="9"/>
  <c r="U60" i="9"/>
  <c r="V60" i="9"/>
  <c r="W60" i="9"/>
  <c r="U61" i="9"/>
  <c r="V61" i="9"/>
  <c r="W61" i="9"/>
  <c r="U62" i="9"/>
  <c r="V62" i="9"/>
  <c r="W62" i="9"/>
  <c r="U63" i="9"/>
  <c r="V63" i="9"/>
  <c r="W63" i="9"/>
  <c r="U64" i="9"/>
  <c r="V64" i="9"/>
  <c r="W64" i="9"/>
  <c r="U65" i="9"/>
  <c r="V65" i="9"/>
  <c r="W65" i="9"/>
  <c r="U66" i="9"/>
  <c r="V66" i="9"/>
  <c r="W66" i="9"/>
  <c r="U67" i="9"/>
  <c r="V67" i="9"/>
  <c r="W67" i="9"/>
  <c r="U68" i="9"/>
  <c r="V68" i="9"/>
  <c r="W68" i="9"/>
  <c r="U69" i="9"/>
  <c r="V69" i="9"/>
  <c r="W69" i="9"/>
  <c r="U70" i="9"/>
  <c r="V70" i="9"/>
  <c r="W70" i="9"/>
  <c r="U71" i="9"/>
  <c r="V71" i="9"/>
  <c r="W71" i="9"/>
  <c r="U72" i="9"/>
  <c r="V72" i="9"/>
  <c r="W72" i="9"/>
  <c r="U73" i="9"/>
  <c r="V73" i="9"/>
  <c r="W73" i="9"/>
  <c r="U74" i="9"/>
  <c r="V74" i="9"/>
  <c r="W74" i="9"/>
  <c r="U75" i="9"/>
  <c r="V75" i="9"/>
  <c r="W75" i="9"/>
  <c r="U76" i="9"/>
  <c r="V76" i="9"/>
  <c r="W76" i="9"/>
  <c r="U77" i="9"/>
  <c r="V77" i="9"/>
  <c r="W77" i="9"/>
  <c r="U78" i="9"/>
  <c r="V78" i="9"/>
  <c r="W78" i="9"/>
  <c r="U79" i="9"/>
  <c r="V79" i="9"/>
  <c r="W79" i="9"/>
  <c r="U80" i="9"/>
  <c r="V80" i="9"/>
  <c r="W80" i="9"/>
  <c r="U81" i="9"/>
  <c r="V81" i="9"/>
  <c r="W81" i="9"/>
  <c r="U82" i="9"/>
  <c r="V82" i="9"/>
  <c r="W82" i="9"/>
  <c r="U83" i="9"/>
  <c r="V83" i="9"/>
  <c r="W83" i="9"/>
  <c r="U84" i="9"/>
  <c r="V84" i="9"/>
  <c r="W84" i="9"/>
  <c r="U85" i="9"/>
  <c r="V85" i="9"/>
  <c r="W85" i="9"/>
  <c r="U86" i="9"/>
  <c r="V86" i="9"/>
  <c r="W86" i="9"/>
  <c r="U87" i="9"/>
  <c r="V87" i="9"/>
  <c r="W87" i="9"/>
  <c r="U88" i="9"/>
  <c r="V88" i="9"/>
  <c r="W88" i="9"/>
  <c r="U89" i="9"/>
  <c r="V89" i="9"/>
  <c r="W89" i="9"/>
  <c r="U90" i="9"/>
  <c r="V90" i="9"/>
  <c r="W90" i="9"/>
  <c r="U91" i="9"/>
  <c r="V91" i="9"/>
  <c r="W91" i="9"/>
  <c r="U92" i="9"/>
  <c r="V92" i="9"/>
  <c r="W92" i="9"/>
  <c r="U93" i="9"/>
  <c r="V93" i="9"/>
  <c r="W93" i="9"/>
  <c r="U94" i="9"/>
  <c r="V94" i="9"/>
  <c r="W94" i="9"/>
  <c r="U95" i="9"/>
  <c r="V95" i="9"/>
  <c r="W95" i="9"/>
  <c r="U96" i="9"/>
  <c r="V96" i="9"/>
  <c r="W96" i="9"/>
  <c r="U97" i="9"/>
  <c r="V97" i="9"/>
  <c r="W97" i="9"/>
  <c r="U98" i="9"/>
  <c r="V98" i="9"/>
  <c r="W98" i="9"/>
  <c r="U99" i="9"/>
  <c r="V99" i="9"/>
  <c r="W99" i="9"/>
  <c r="U100" i="9"/>
  <c r="V100" i="9"/>
  <c r="W100" i="9"/>
  <c r="U101" i="9"/>
  <c r="V101" i="9"/>
  <c r="W101" i="9"/>
  <c r="U102" i="9"/>
  <c r="V102" i="9"/>
  <c r="W102" i="9"/>
  <c r="U103" i="9"/>
  <c r="V103" i="9"/>
  <c r="W103" i="9"/>
  <c r="U104" i="9"/>
  <c r="V104" i="9"/>
  <c r="W104" i="9"/>
  <c r="U105" i="9"/>
  <c r="V105" i="9"/>
  <c r="W105" i="9"/>
  <c r="U106" i="9"/>
  <c r="V106" i="9"/>
  <c r="W106" i="9"/>
  <c r="U107" i="9"/>
  <c r="V107" i="9"/>
  <c r="W107" i="9"/>
  <c r="U108" i="9"/>
  <c r="V108" i="9"/>
  <c r="W108" i="9"/>
  <c r="U109" i="9"/>
  <c r="V109" i="9"/>
  <c r="W109" i="9"/>
  <c r="U110" i="9"/>
  <c r="V110" i="9"/>
  <c r="W110" i="9"/>
  <c r="U111" i="9"/>
  <c r="V111" i="9"/>
  <c r="W111" i="9"/>
  <c r="U112" i="9"/>
  <c r="V112" i="9"/>
  <c r="W112" i="9"/>
  <c r="U113" i="9"/>
  <c r="V113" i="9"/>
  <c r="W113" i="9"/>
  <c r="U114" i="9"/>
  <c r="V114" i="9"/>
  <c r="W114" i="9"/>
  <c r="U115" i="9"/>
  <c r="V115" i="9"/>
  <c r="W115" i="9"/>
  <c r="U116" i="9"/>
  <c r="V116" i="9"/>
  <c r="W116" i="9"/>
  <c r="U117" i="9"/>
  <c r="V117" i="9"/>
  <c r="W117" i="9"/>
  <c r="U118" i="9"/>
  <c r="V118" i="9"/>
  <c r="W118" i="9"/>
  <c r="U119" i="9"/>
  <c r="V119" i="9"/>
  <c r="W119" i="9"/>
  <c r="U120" i="9"/>
  <c r="V120" i="9"/>
  <c r="W120" i="9"/>
  <c r="U121" i="9"/>
  <c r="V121" i="9"/>
  <c r="W121" i="9"/>
  <c r="U122" i="9"/>
  <c r="V122" i="9"/>
  <c r="W122" i="9"/>
  <c r="U123" i="9"/>
  <c r="V123" i="9"/>
  <c r="W123" i="9"/>
  <c r="U124" i="9"/>
  <c r="V124" i="9"/>
  <c r="W124" i="9"/>
  <c r="U125" i="9"/>
  <c r="V125" i="9"/>
  <c r="W125" i="9"/>
  <c r="U126" i="9"/>
  <c r="V126" i="9"/>
  <c r="W126" i="9"/>
  <c r="U127" i="9"/>
  <c r="V127" i="9"/>
  <c r="W127" i="9"/>
  <c r="U128" i="9"/>
  <c r="V128" i="9"/>
  <c r="W128" i="9"/>
  <c r="U129" i="9"/>
  <c r="V129" i="9"/>
  <c r="W129" i="9"/>
  <c r="U130" i="9"/>
  <c r="V130" i="9"/>
  <c r="W130" i="9"/>
  <c r="U131" i="9"/>
  <c r="V131" i="9"/>
  <c r="W131" i="9"/>
  <c r="U132" i="9"/>
  <c r="V132" i="9"/>
  <c r="W132" i="9"/>
  <c r="U133" i="9"/>
  <c r="V133" i="9"/>
  <c r="W133" i="9"/>
  <c r="U134" i="9"/>
  <c r="V134" i="9"/>
  <c r="W134" i="9"/>
  <c r="U135" i="9"/>
  <c r="V135" i="9"/>
  <c r="W135" i="9"/>
  <c r="U136" i="9"/>
  <c r="V136" i="9"/>
  <c r="W136" i="9"/>
  <c r="U137" i="9"/>
  <c r="V137" i="9"/>
  <c r="W137" i="9"/>
  <c r="U138" i="9"/>
  <c r="V138" i="9"/>
  <c r="W138" i="9"/>
  <c r="U139" i="9"/>
  <c r="V139" i="9"/>
  <c r="W139" i="9"/>
  <c r="U140" i="9"/>
  <c r="V140" i="9"/>
  <c r="W140" i="9"/>
  <c r="U141" i="9"/>
  <c r="V141" i="9"/>
  <c r="W141" i="9"/>
  <c r="U142" i="9"/>
  <c r="V142" i="9"/>
  <c r="W142" i="9"/>
  <c r="U143" i="9"/>
  <c r="V143" i="9"/>
  <c r="W143" i="9"/>
  <c r="U144" i="9"/>
  <c r="V144" i="9"/>
  <c r="W144" i="9"/>
  <c r="U145" i="9"/>
  <c r="V145" i="9"/>
  <c r="W145" i="9"/>
  <c r="U146" i="9"/>
  <c r="V146" i="9"/>
  <c r="W146" i="9"/>
  <c r="U147" i="9"/>
  <c r="V147" i="9"/>
  <c r="W147" i="9"/>
  <c r="U148" i="9"/>
  <c r="V148" i="9"/>
  <c r="W148" i="9"/>
  <c r="U149" i="9"/>
  <c r="V149" i="9"/>
  <c r="W149" i="9"/>
  <c r="U150" i="9"/>
  <c r="V150" i="9"/>
  <c r="W150" i="9"/>
  <c r="U151" i="9"/>
  <c r="V151" i="9"/>
  <c r="W151" i="9"/>
  <c r="U152" i="9"/>
  <c r="V152" i="9"/>
  <c r="W152" i="9"/>
  <c r="U153" i="9"/>
  <c r="V153" i="9"/>
  <c r="W153" i="9"/>
  <c r="U154" i="9"/>
  <c r="V154" i="9"/>
  <c r="W154" i="9"/>
  <c r="U155" i="9"/>
  <c r="V155" i="9"/>
  <c r="W155" i="9"/>
  <c r="U156" i="9"/>
  <c r="V156" i="9"/>
  <c r="W156" i="9"/>
  <c r="U157" i="9"/>
  <c r="V157" i="9"/>
  <c r="W157" i="9"/>
  <c r="U158" i="9"/>
  <c r="V158" i="9"/>
  <c r="W158" i="9"/>
  <c r="U159" i="9"/>
  <c r="V159" i="9"/>
  <c r="W159" i="9"/>
  <c r="U160" i="9"/>
  <c r="V160" i="9"/>
  <c r="W160" i="9"/>
  <c r="U161" i="9"/>
  <c r="V161" i="9"/>
  <c r="W161" i="9"/>
  <c r="U162" i="9"/>
  <c r="V162" i="9"/>
  <c r="W162" i="9"/>
  <c r="U163" i="9"/>
  <c r="V163" i="9"/>
  <c r="W163" i="9"/>
  <c r="U164" i="9"/>
  <c r="V164" i="9"/>
  <c r="W164" i="9"/>
  <c r="U165" i="9"/>
  <c r="V165" i="9"/>
  <c r="W165" i="9"/>
  <c r="U166" i="9"/>
  <c r="V166" i="9"/>
  <c r="W166" i="9"/>
  <c r="U167" i="9"/>
  <c r="V167" i="9"/>
  <c r="W167" i="9"/>
  <c r="U168" i="9"/>
  <c r="V168" i="9"/>
  <c r="W168" i="9"/>
  <c r="U169" i="9"/>
  <c r="V169" i="9"/>
  <c r="W169" i="9"/>
  <c r="U170" i="9"/>
  <c r="V170" i="9"/>
  <c r="W170" i="9"/>
  <c r="U171" i="9"/>
  <c r="V171" i="9"/>
  <c r="W171" i="9"/>
  <c r="U172" i="9"/>
  <c r="V172" i="9"/>
  <c r="W172" i="9"/>
  <c r="U173" i="9"/>
  <c r="V173" i="9"/>
  <c r="W173" i="9"/>
  <c r="U174" i="9"/>
  <c r="V174" i="9"/>
  <c r="W174" i="9"/>
  <c r="U175" i="9"/>
  <c r="V175" i="9"/>
  <c r="W175" i="9"/>
  <c r="U176" i="9"/>
  <c r="V176" i="9"/>
  <c r="W176" i="9"/>
  <c r="U177" i="9"/>
  <c r="V177" i="9"/>
  <c r="W177" i="9"/>
  <c r="U178" i="9"/>
  <c r="V178" i="9"/>
  <c r="W178" i="9"/>
  <c r="U179" i="9"/>
  <c r="V179" i="9"/>
  <c r="W179" i="9"/>
  <c r="U180" i="9"/>
  <c r="V180" i="9"/>
  <c r="W180" i="9"/>
  <c r="U181" i="9"/>
  <c r="V181" i="9"/>
  <c r="W181" i="9"/>
  <c r="U182" i="9"/>
  <c r="V182" i="9"/>
  <c r="W182" i="9"/>
  <c r="U183" i="9"/>
  <c r="V183" i="9"/>
  <c r="W183" i="9"/>
  <c r="U184" i="9"/>
  <c r="V184" i="9"/>
  <c r="W184" i="9"/>
  <c r="U185" i="9"/>
  <c r="V185" i="9"/>
  <c r="W185" i="9"/>
  <c r="U186" i="9"/>
  <c r="V186" i="9"/>
  <c r="W186" i="9"/>
  <c r="U187" i="9"/>
  <c r="V187" i="9"/>
  <c r="W187" i="9"/>
  <c r="U188" i="9"/>
  <c r="V188" i="9"/>
  <c r="W188" i="9"/>
  <c r="U189" i="9"/>
  <c r="V189" i="9"/>
  <c r="W189" i="9"/>
  <c r="U190" i="9"/>
  <c r="V190" i="9"/>
  <c r="W190" i="9"/>
  <c r="U191" i="9"/>
  <c r="V191" i="9"/>
  <c r="W191" i="9"/>
  <c r="U192" i="9"/>
  <c r="V192" i="9"/>
  <c r="W192" i="9"/>
  <c r="U193" i="9"/>
  <c r="V193" i="9"/>
  <c r="W193" i="9"/>
  <c r="U194" i="9"/>
  <c r="V194" i="9"/>
  <c r="W194" i="9"/>
  <c r="U195" i="9"/>
  <c r="V195" i="9"/>
  <c r="W195" i="9"/>
  <c r="U196" i="9"/>
  <c r="V196" i="9"/>
  <c r="W196" i="9"/>
  <c r="U197" i="9"/>
  <c r="V197" i="9"/>
  <c r="W197" i="9"/>
  <c r="U198" i="9"/>
  <c r="V198" i="9"/>
  <c r="W198" i="9"/>
  <c r="U199" i="9"/>
  <c r="V199" i="9"/>
  <c r="W199" i="9"/>
  <c r="U200" i="9"/>
  <c r="V200" i="9"/>
  <c r="W200" i="9"/>
  <c r="U201" i="9"/>
  <c r="V201" i="9"/>
  <c r="W201" i="9"/>
  <c r="U202" i="9"/>
  <c r="V202" i="9"/>
  <c r="W202" i="9"/>
  <c r="U203" i="9"/>
  <c r="V203" i="9"/>
  <c r="W203" i="9"/>
  <c r="U204" i="9"/>
  <c r="V204" i="9"/>
  <c r="W204" i="9"/>
  <c r="U205" i="9"/>
  <c r="V205" i="9"/>
  <c r="W205" i="9"/>
  <c r="U206" i="9"/>
  <c r="V206" i="9"/>
  <c r="W206" i="9"/>
  <c r="U207" i="9"/>
  <c r="V207" i="9"/>
  <c r="W207" i="9"/>
  <c r="U208" i="9"/>
  <c r="V208" i="9"/>
  <c r="W208" i="9"/>
  <c r="U209" i="9"/>
  <c r="V209" i="9"/>
  <c r="W209" i="9"/>
  <c r="U210" i="9"/>
  <c r="V210" i="9"/>
  <c r="W210" i="9"/>
  <c r="U211" i="9"/>
  <c r="V211" i="9"/>
  <c r="W211" i="9"/>
  <c r="U212" i="9"/>
  <c r="V212" i="9"/>
  <c r="W212" i="9"/>
  <c r="U213" i="9"/>
  <c r="V213" i="9"/>
  <c r="W213" i="9"/>
  <c r="U214" i="9"/>
  <c r="V214" i="9"/>
  <c r="W214" i="9"/>
  <c r="U215" i="9"/>
  <c r="V215" i="9"/>
  <c r="W215" i="9"/>
  <c r="U216" i="9"/>
  <c r="V216" i="9"/>
  <c r="W216" i="9"/>
  <c r="U217" i="9"/>
  <c r="V217" i="9"/>
  <c r="W217" i="9"/>
  <c r="U218" i="9"/>
  <c r="V218" i="9"/>
  <c r="W218" i="9"/>
  <c r="U219" i="9"/>
  <c r="V219" i="9"/>
  <c r="W219" i="9"/>
  <c r="U220" i="9"/>
  <c r="V220" i="9"/>
  <c r="W220" i="9"/>
  <c r="U221" i="9"/>
  <c r="V221" i="9"/>
  <c r="W221" i="9"/>
  <c r="U222" i="9"/>
  <c r="V222" i="9"/>
  <c r="W222" i="9"/>
  <c r="U223" i="9"/>
  <c r="V223" i="9"/>
  <c r="W223" i="9"/>
  <c r="U224" i="9"/>
  <c r="V224" i="9"/>
  <c r="W224" i="9"/>
  <c r="U225" i="9"/>
  <c r="V225" i="9"/>
  <c r="W225" i="9"/>
  <c r="U226" i="9"/>
  <c r="V226" i="9"/>
  <c r="W226" i="9"/>
  <c r="U227" i="9"/>
  <c r="V227" i="9"/>
  <c r="W227" i="9"/>
  <c r="U228" i="9"/>
  <c r="V228" i="9"/>
  <c r="W228" i="9"/>
  <c r="U229" i="9"/>
  <c r="V229" i="9"/>
  <c r="W229" i="9"/>
  <c r="U230" i="9"/>
  <c r="V230" i="9"/>
  <c r="W230" i="9"/>
  <c r="U231" i="9"/>
  <c r="V231" i="9"/>
  <c r="W231" i="9"/>
  <c r="U232" i="9"/>
  <c r="V232" i="9"/>
  <c r="W232" i="9"/>
  <c r="U233" i="9"/>
  <c r="V233" i="9"/>
  <c r="W233" i="9"/>
  <c r="U234" i="9"/>
  <c r="V234" i="9"/>
  <c r="W234" i="9"/>
  <c r="U235" i="9"/>
  <c r="V235" i="9"/>
  <c r="W235" i="9"/>
  <c r="U236" i="9"/>
  <c r="V236" i="9"/>
  <c r="W236" i="9"/>
  <c r="U237" i="9"/>
  <c r="V237" i="9"/>
  <c r="W237" i="9"/>
  <c r="U238" i="9"/>
  <c r="V238" i="9"/>
  <c r="W238" i="9"/>
  <c r="U239" i="9"/>
  <c r="V239" i="9"/>
  <c r="W239" i="9"/>
  <c r="U240" i="9"/>
  <c r="V240" i="9"/>
  <c r="W240" i="9"/>
  <c r="U241" i="9"/>
  <c r="V241" i="9"/>
  <c r="W241" i="9"/>
  <c r="U242" i="9"/>
  <c r="V242" i="9"/>
  <c r="W242" i="9"/>
  <c r="U243" i="9"/>
  <c r="V243" i="9"/>
  <c r="W243" i="9"/>
  <c r="U244" i="9"/>
  <c r="V244" i="9"/>
  <c r="W244" i="9"/>
  <c r="U245" i="9"/>
  <c r="V245" i="9"/>
  <c r="W245" i="9"/>
  <c r="U246" i="9"/>
  <c r="V246" i="9"/>
  <c r="W246" i="9"/>
  <c r="U247" i="9"/>
  <c r="V247" i="9"/>
  <c r="W247" i="9"/>
  <c r="U248" i="9"/>
  <c r="V248" i="9"/>
  <c r="W248" i="9"/>
  <c r="U249" i="9"/>
  <c r="V249" i="9"/>
  <c r="W249" i="9"/>
  <c r="U250" i="9"/>
  <c r="V250" i="9"/>
  <c r="W250" i="9"/>
  <c r="U251" i="9"/>
  <c r="V251" i="9"/>
  <c r="W251" i="9"/>
  <c r="U252" i="9"/>
  <c r="V252" i="9"/>
  <c r="W252" i="9"/>
  <c r="U253" i="9"/>
  <c r="V253" i="9"/>
  <c r="W253" i="9"/>
  <c r="U254" i="9"/>
  <c r="V254" i="9"/>
  <c r="W254" i="9"/>
  <c r="U255" i="9"/>
  <c r="V255" i="9"/>
  <c r="W255" i="9"/>
  <c r="U256" i="9"/>
  <c r="V256" i="9"/>
  <c r="W256" i="9"/>
  <c r="U257" i="9"/>
  <c r="V257" i="9"/>
  <c r="W257" i="9"/>
  <c r="U258" i="9"/>
  <c r="V258" i="9"/>
  <c r="W258" i="9"/>
  <c r="U259" i="9"/>
  <c r="V259" i="9"/>
  <c r="W259" i="9"/>
  <c r="U260" i="9"/>
  <c r="V260" i="9"/>
  <c r="W260" i="9"/>
  <c r="U261" i="9"/>
  <c r="V261" i="9"/>
  <c r="W261" i="9"/>
  <c r="U262" i="9"/>
  <c r="V262" i="9"/>
  <c r="W262" i="9"/>
  <c r="U263" i="9"/>
  <c r="V263" i="9"/>
  <c r="W263" i="9"/>
  <c r="U264" i="9"/>
  <c r="V264" i="9"/>
  <c r="W264" i="9"/>
  <c r="U265" i="9"/>
  <c r="V265" i="9"/>
  <c r="W265" i="9"/>
  <c r="U266" i="9"/>
  <c r="V266" i="9"/>
  <c r="W266" i="9"/>
  <c r="U267" i="9"/>
  <c r="V267" i="9"/>
  <c r="W267" i="9"/>
  <c r="U268" i="9"/>
  <c r="V268" i="9"/>
  <c r="W268" i="9"/>
  <c r="U269" i="9"/>
  <c r="V269" i="9"/>
  <c r="W269" i="9"/>
  <c r="U270" i="9"/>
  <c r="V270" i="9"/>
  <c r="W270" i="9"/>
  <c r="U271" i="9"/>
  <c r="V271" i="9"/>
  <c r="W271" i="9"/>
  <c r="U272" i="9"/>
  <c r="V272" i="9"/>
  <c r="W272" i="9"/>
  <c r="U273" i="9"/>
  <c r="V273" i="9"/>
  <c r="W273" i="9"/>
  <c r="U274" i="9"/>
  <c r="V274" i="9"/>
  <c r="W274" i="9"/>
  <c r="U275" i="9"/>
  <c r="V275" i="9"/>
  <c r="W275" i="9"/>
  <c r="U276" i="9"/>
  <c r="V276" i="9"/>
  <c r="W276" i="9"/>
  <c r="U277" i="9"/>
  <c r="V277" i="9"/>
  <c r="W277" i="9"/>
  <c r="U278" i="9"/>
  <c r="V278" i="9"/>
  <c r="W278" i="9"/>
  <c r="U279" i="9"/>
  <c r="V279" i="9"/>
  <c r="W279" i="9"/>
  <c r="U280" i="9"/>
  <c r="V280" i="9"/>
  <c r="W280" i="9"/>
  <c r="U281" i="9"/>
  <c r="V281" i="9"/>
  <c r="W281" i="9"/>
  <c r="U282" i="9"/>
  <c r="V282" i="9"/>
  <c r="W282" i="9"/>
  <c r="U283" i="9"/>
  <c r="V283" i="9"/>
  <c r="W283" i="9"/>
  <c r="U284" i="9"/>
  <c r="V284" i="9"/>
  <c r="W284" i="9"/>
  <c r="U285" i="9"/>
  <c r="V285" i="9"/>
  <c r="W285" i="9"/>
  <c r="U286" i="9"/>
  <c r="V286" i="9"/>
  <c r="W286" i="9"/>
  <c r="U287" i="9"/>
  <c r="V287" i="9"/>
  <c r="W287" i="9"/>
  <c r="U288" i="9"/>
  <c r="V288" i="9"/>
  <c r="W288" i="9"/>
  <c r="U289" i="9"/>
  <c r="V289" i="9"/>
  <c r="W289" i="9"/>
  <c r="U290" i="9"/>
  <c r="V290" i="9"/>
  <c r="W290" i="9"/>
  <c r="U291" i="9"/>
  <c r="V291" i="9"/>
  <c r="W291" i="9"/>
  <c r="U292" i="9"/>
  <c r="V292" i="9"/>
  <c r="W292" i="9"/>
  <c r="U293" i="9"/>
  <c r="V293" i="9"/>
  <c r="W293" i="9"/>
  <c r="U294" i="9"/>
  <c r="V294" i="9"/>
  <c r="W294" i="9"/>
  <c r="U295" i="9"/>
  <c r="V295" i="9"/>
  <c r="W295" i="9"/>
  <c r="U296" i="9"/>
  <c r="V296" i="9"/>
  <c r="W296" i="9"/>
  <c r="U297" i="9"/>
  <c r="V297" i="9"/>
  <c r="W297" i="9"/>
  <c r="U298" i="9"/>
  <c r="V298" i="9"/>
  <c r="W298" i="9"/>
  <c r="U299" i="9"/>
  <c r="V299" i="9"/>
  <c r="W299" i="9"/>
  <c r="U300" i="9"/>
  <c r="V300" i="9"/>
  <c r="W300" i="9"/>
  <c r="U301" i="9"/>
  <c r="V301" i="9"/>
  <c r="W301" i="9"/>
  <c r="U302" i="9"/>
  <c r="V302" i="9"/>
  <c r="W302" i="9"/>
  <c r="U303" i="9"/>
  <c r="V303" i="9"/>
  <c r="W303" i="9"/>
  <c r="U304" i="9"/>
  <c r="V304" i="9"/>
  <c r="W304" i="9"/>
  <c r="U305" i="9"/>
  <c r="V305" i="9"/>
  <c r="W305" i="9"/>
  <c r="U306" i="9"/>
  <c r="V306" i="9"/>
  <c r="W306" i="9"/>
  <c r="U307" i="9"/>
  <c r="V307" i="9"/>
  <c r="W307" i="9"/>
  <c r="U308" i="9"/>
  <c r="V308" i="9"/>
  <c r="W308" i="9"/>
  <c r="U309" i="9"/>
  <c r="V309" i="9"/>
  <c r="W309" i="9"/>
  <c r="U310" i="9"/>
  <c r="V310" i="9"/>
  <c r="W310" i="9"/>
  <c r="U311" i="9"/>
  <c r="V311" i="9"/>
  <c r="W311" i="9"/>
  <c r="U312" i="9"/>
  <c r="V312" i="9"/>
  <c r="W312" i="9"/>
  <c r="U313" i="9"/>
  <c r="V313" i="9"/>
  <c r="W313" i="9"/>
  <c r="U314" i="9"/>
  <c r="V314" i="9"/>
  <c r="W314" i="9"/>
  <c r="U315" i="9"/>
  <c r="V315" i="9"/>
  <c r="W315" i="9"/>
  <c r="U316" i="9"/>
  <c r="V316" i="9"/>
  <c r="W316" i="9"/>
  <c r="U317" i="9"/>
  <c r="V317" i="9"/>
  <c r="W317" i="9"/>
  <c r="U318" i="9"/>
  <c r="V318" i="9"/>
  <c r="W318" i="9"/>
  <c r="U319" i="9"/>
  <c r="V319" i="9"/>
  <c r="W319" i="9"/>
  <c r="U320" i="9"/>
  <c r="V320" i="9"/>
  <c r="W320" i="9"/>
  <c r="U321" i="9"/>
  <c r="V321" i="9"/>
  <c r="W321" i="9"/>
  <c r="U322" i="9"/>
  <c r="V322" i="9"/>
  <c r="W322" i="9"/>
  <c r="U323" i="9"/>
  <c r="V323" i="9"/>
  <c r="W323" i="9"/>
  <c r="U324" i="9"/>
  <c r="V324" i="9"/>
  <c r="W324" i="9"/>
  <c r="U325" i="9"/>
  <c r="V325" i="9"/>
  <c r="W325" i="9"/>
  <c r="U326" i="9"/>
  <c r="V326" i="9"/>
  <c r="W326" i="9"/>
  <c r="U327" i="9"/>
  <c r="V327" i="9"/>
  <c r="W327" i="9"/>
  <c r="U328" i="9"/>
  <c r="V328" i="9"/>
  <c r="W328" i="9"/>
  <c r="U329" i="9"/>
  <c r="V329" i="9"/>
  <c r="W329" i="9"/>
  <c r="U330" i="9"/>
  <c r="V330" i="9"/>
  <c r="W330" i="9"/>
  <c r="U331" i="9"/>
  <c r="V331" i="9"/>
  <c r="W331" i="9"/>
  <c r="U332" i="9"/>
  <c r="V332" i="9"/>
  <c r="W332" i="9"/>
  <c r="U333" i="9"/>
  <c r="V333" i="9"/>
  <c r="W333" i="9"/>
  <c r="U334" i="9"/>
  <c r="V334" i="9"/>
  <c r="W334" i="9"/>
  <c r="U335" i="9"/>
  <c r="V335" i="9"/>
  <c r="W335" i="9"/>
  <c r="U336" i="9"/>
  <c r="V336" i="9"/>
  <c r="W336" i="9"/>
  <c r="U337" i="9"/>
  <c r="V337" i="9"/>
  <c r="W337" i="9"/>
  <c r="U338" i="9"/>
  <c r="V338" i="9"/>
  <c r="W338" i="9"/>
  <c r="U339" i="9"/>
  <c r="V339" i="9"/>
  <c r="W339" i="9"/>
  <c r="U340" i="9"/>
  <c r="V340" i="9"/>
  <c r="W340" i="9"/>
  <c r="U341" i="9"/>
  <c r="V341" i="9"/>
  <c r="W341" i="9"/>
  <c r="U342" i="9"/>
  <c r="V342" i="9"/>
  <c r="W342" i="9"/>
  <c r="U343" i="9"/>
  <c r="V343" i="9"/>
  <c r="W343" i="9"/>
  <c r="U344" i="9"/>
  <c r="V344" i="9"/>
  <c r="W344" i="9"/>
  <c r="U345" i="9"/>
  <c r="V345" i="9"/>
  <c r="W345" i="9"/>
  <c r="U346" i="9"/>
  <c r="V346" i="9"/>
  <c r="W346" i="9"/>
  <c r="U347" i="9"/>
  <c r="V347" i="9"/>
  <c r="W347" i="9"/>
  <c r="U348" i="9"/>
  <c r="V348" i="9"/>
  <c r="W348" i="9"/>
  <c r="U349" i="9"/>
  <c r="V349" i="9"/>
  <c r="W349" i="9"/>
  <c r="U350" i="9"/>
  <c r="V350" i="9"/>
  <c r="W350" i="9"/>
  <c r="U351" i="9"/>
  <c r="V351" i="9"/>
  <c r="W351" i="9"/>
  <c r="U352" i="9"/>
  <c r="V352" i="9"/>
  <c r="W352" i="9"/>
  <c r="U353" i="9"/>
  <c r="V353" i="9"/>
  <c r="W353" i="9"/>
  <c r="U354" i="9"/>
  <c r="V354" i="9"/>
  <c r="W354" i="9"/>
  <c r="U355" i="9"/>
  <c r="V355" i="9"/>
  <c r="W355" i="9"/>
  <c r="U356" i="9"/>
  <c r="V356" i="9"/>
  <c r="W356" i="9"/>
  <c r="U357" i="9"/>
  <c r="V357" i="9"/>
  <c r="W357" i="9"/>
  <c r="U358" i="9"/>
  <c r="V358" i="9"/>
  <c r="W358" i="9"/>
  <c r="U359" i="9"/>
  <c r="V359" i="9"/>
  <c r="W359" i="9"/>
  <c r="U360" i="9"/>
  <c r="V360" i="9"/>
  <c r="W360" i="9"/>
  <c r="U361" i="9"/>
  <c r="V361" i="9"/>
  <c r="W361" i="9"/>
  <c r="U362" i="9"/>
  <c r="V362" i="9"/>
  <c r="W362" i="9"/>
  <c r="U363" i="9"/>
  <c r="V363" i="9"/>
  <c r="W363" i="9"/>
  <c r="U364" i="9"/>
  <c r="V364" i="9"/>
  <c r="W364" i="9"/>
  <c r="U365" i="9"/>
  <c r="V365" i="9"/>
  <c r="W365" i="9"/>
  <c r="U366" i="9"/>
  <c r="V366" i="9"/>
  <c r="W366" i="9"/>
  <c r="U367" i="9"/>
  <c r="V367" i="9"/>
  <c r="W367" i="9"/>
  <c r="U368" i="9"/>
  <c r="V368" i="9"/>
  <c r="W368" i="9"/>
  <c r="U369" i="9"/>
  <c r="V369" i="9"/>
  <c r="W369" i="9"/>
  <c r="U370" i="9"/>
  <c r="V370" i="9"/>
  <c r="W370" i="9"/>
  <c r="U371" i="9"/>
  <c r="V371" i="9"/>
  <c r="W371" i="9"/>
  <c r="U372" i="9"/>
  <c r="V372" i="9"/>
  <c r="W372" i="9"/>
  <c r="U373" i="9"/>
  <c r="V373" i="9"/>
  <c r="W373" i="9"/>
  <c r="U374" i="9"/>
  <c r="V374" i="9"/>
  <c r="W374" i="9"/>
  <c r="U375" i="9"/>
  <c r="V375" i="9"/>
  <c r="W375" i="9"/>
  <c r="U376" i="9"/>
  <c r="V376" i="9"/>
  <c r="W376" i="9"/>
  <c r="U377" i="9"/>
  <c r="V377" i="9"/>
  <c r="W377" i="9"/>
  <c r="U378" i="9"/>
  <c r="V378" i="9"/>
  <c r="W378" i="9"/>
  <c r="U379" i="9"/>
  <c r="V379" i="9"/>
  <c r="W379" i="9"/>
  <c r="U380" i="9"/>
  <c r="V380" i="9"/>
  <c r="W380" i="9"/>
  <c r="U381" i="9"/>
  <c r="V381" i="9"/>
  <c r="W381" i="9"/>
  <c r="U382" i="9"/>
  <c r="V382" i="9"/>
  <c r="W382" i="9"/>
  <c r="U383" i="9"/>
  <c r="V383" i="9"/>
  <c r="W383" i="9"/>
  <c r="U384" i="9"/>
  <c r="V384" i="9"/>
  <c r="W384" i="9"/>
  <c r="U385" i="9"/>
  <c r="V385" i="9"/>
  <c r="W385" i="9"/>
  <c r="U386" i="9"/>
  <c r="V386" i="9"/>
  <c r="W386" i="9"/>
  <c r="U387" i="9"/>
  <c r="V387" i="9"/>
  <c r="W387" i="9"/>
  <c r="U388" i="9"/>
  <c r="V388" i="9"/>
  <c r="W388" i="9"/>
  <c r="U389" i="9"/>
  <c r="V389" i="9"/>
  <c r="W389" i="9"/>
  <c r="U390" i="9"/>
  <c r="V390" i="9"/>
  <c r="W390" i="9"/>
  <c r="U391" i="9"/>
  <c r="V391" i="9"/>
  <c r="W391" i="9"/>
  <c r="U392" i="9"/>
  <c r="V392" i="9"/>
  <c r="W392" i="9"/>
  <c r="U393" i="9"/>
  <c r="V393" i="9"/>
  <c r="W393" i="9"/>
  <c r="U394" i="9"/>
  <c r="V394" i="9"/>
  <c r="W394" i="9"/>
  <c r="U395" i="9"/>
  <c r="V395" i="9"/>
  <c r="W395" i="9"/>
  <c r="U396" i="9"/>
  <c r="V396" i="9"/>
  <c r="W396" i="9"/>
  <c r="U397" i="9"/>
  <c r="V397" i="9"/>
  <c r="W397" i="9"/>
  <c r="U398" i="9"/>
  <c r="V398" i="9"/>
  <c r="W398" i="9"/>
  <c r="U399" i="9"/>
  <c r="V399" i="9"/>
  <c r="W399" i="9"/>
  <c r="U400" i="9"/>
  <c r="V400" i="9"/>
  <c r="W400" i="9"/>
  <c r="U401" i="9"/>
  <c r="V401" i="9"/>
  <c r="W401" i="9"/>
  <c r="U402" i="9"/>
  <c r="V402" i="9"/>
  <c r="W402" i="9"/>
  <c r="E20" i="18"/>
  <c r="E58" i="18"/>
  <c r="E60" i="12"/>
  <c r="D60" i="12"/>
  <c r="E40" i="12"/>
  <c r="D40" i="12"/>
  <c r="E20" i="12"/>
  <c r="D20" i="12"/>
  <c r="O402" i="9"/>
  <c r="N402" i="9"/>
  <c r="M402" i="9"/>
  <c r="O401" i="9"/>
  <c r="N401" i="9"/>
  <c r="M401" i="9"/>
  <c r="U421" i="9"/>
  <c r="W423" i="8"/>
  <c r="V482" i="10"/>
  <c r="E419" i="9"/>
  <c r="W421" i="9"/>
  <c r="W424" i="8"/>
  <c r="V420" i="8"/>
  <c r="U483" i="10"/>
  <c r="W418" i="9"/>
  <c r="V481" i="10"/>
  <c r="F421" i="9"/>
  <c r="E422" i="9"/>
  <c r="F422" i="9"/>
  <c r="U423" i="9"/>
  <c r="D423" i="9"/>
  <c r="V484" i="10"/>
  <c r="W481" i="10"/>
  <c r="W423" i="9"/>
  <c r="D421" i="9"/>
  <c r="E421" i="9"/>
  <c r="U485" i="10"/>
  <c r="W485" i="10"/>
  <c r="V483" i="10"/>
  <c r="F419" i="9"/>
  <c r="F423" i="9"/>
  <c r="V485" i="10"/>
  <c r="V420" i="9"/>
  <c r="V423" i="9"/>
  <c r="W419" i="9"/>
  <c r="W422" i="9"/>
  <c r="V422" i="9"/>
  <c r="U482" i="10"/>
  <c r="E420" i="9"/>
  <c r="V486" i="10"/>
  <c r="V419" i="9"/>
  <c r="W482" i="10"/>
  <c r="D418" i="9"/>
  <c r="U418" i="9"/>
  <c r="V419" i="8"/>
  <c r="W420" i="9"/>
  <c r="W422" i="8"/>
  <c r="U484" i="10"/>
  <c r="F418" i="9"/>
  <c r="V421" i="8"/>
  <c r="E423" i="9"/>
  <c r="W484" i="10"/>
  <c r="E418" i="9"/>
  <c r="U420" i="9"/>
  <c r="V422" i="8"/>
  <c r="V418" i="9"/>
  <c r="W419" i="8"/>
  <c r="V423" i="8"/>
  <c r="U419" i="9"/>
  <c r="W421" i="8"/>
  <c r="D422" i="9"/>
  <c r="U486" i="10"/>
  <c r="V421" i="9"/>
  <c r="V424" i="8"/>
  <c r="W483" i="10"/>
  <c r="W486" i="10"/>
  <c r="D420" i="9"/>
  <c r="U422" i="9"/>
  <c r="F420" i="9"/>
  <c r="D419" i="9"/>
  <c r="W420" i="8"/>
  <c r="U481" i="10"/>
  <c r="E39" i="18" l="1"/>
  <c r="C60" i="12"/>
  <c r="C40" i="12"/>
  <c r="C20" i="12"/>
  <c r="Z401" i="9"/>
  <c r="Y401" i="9"/>
  <c r="O400" i="9"/>
  <c r="N400" i="9"/>
  <c r="R401" i="9" s="1"/>
  <c r="M400" i="9"/>
  <c r="Q401" i="9" s="1"/>
  <c r="N19" i="12"/>
  <c r="M19" i="12"/>
  <c r="L19" i="12"/>
  <c r="K19" i="12"/>
  <c r="J19" i="12"/>
  <c r="I19" i="12"/>
  <c r="H19" i="12"/>
  <c r="G19" i="12"/>
  <c r="F19" i="12"/>
  <c r="E19" i="12"/>
  <c r="D19" i="12"/>
  <c r="C19" i="12"/>
  <c r="N39" i="12"/>
  <c r="M39" i="12"/>
  <c r="L39" i="12"/>
  <c r="K39" i="12"/>
  <c r="J39" i="12"/>
  <c r="I39" i="12"/>
  <c r="H39" i="12"/>
  <c r="G39" i="12"/>
  <c r="F39" i="12"/>
  <c r="E39" i="12"/>
  <c r="D39" i="12"/>
  <c r="C39" i="12"/>
  <c r="N59" i="12"/>
  <c r="M59" i="12"/>
  <c r="L59" i="12"/>
  <c r="K59" i="12"/>
  <c r="J59" i="12"/>
  <c r="I59" i="12"/>
  <c r="H59" i="12"/>
  <c r="G59" i="12"/>
  <c r="F59" i="12"/>
  <c r="E59" i="12"/>
  <c r="D59" i="12"/>
  <c r="C59" i="12"/>
  <c r="I400" i="9"/>
  <c r="J400" i="9"/>
  <c r="K400" i="9"/>
  <c r="I401" i="9"/>
  <c r="J401" i="9"/>
  <c r="K401" i="9"/>
  <c r="I402" i="9"/>
  <c r="J402" i="9"/>
  <c r="K402" i="9"/>
  <c r="I403" i="9"/>
  <c r="J403" i="9"/>
  <c r="K403" i="9"/>
  <c r="I404" i="9"/>
  <c r="J404" i="9"/>
  <c r="K404" i="9"/>
  <c r="I405" i="9"/>
  <c r="J405" i="9"/>
  <c r="K405" i="9"/>
  <c r="I406" i="9"/>
  <c r="J406" i="9"/>
  <c r="K406" i="9"/>
  <c r="I407" i="9"/>
  <c r="J407" i="9"/>
  <c r="K407" i="9"/>
  <c r="I408" i="9"/>
  <c r="J408" i="9"/>
  <c r="K408" i="9"/>
  <c r="I409" i="9"/>
  <c r="J409" i="9"/>
  <c r="K409" i="9"/>
  <c r="I410" i="9"/>
  <c r="J410" i="9"/>
  <c r="K410" i="9"/>
  <c r="I411" i="9"/>
  <c r="J411" i="9"/>
  <c r="K411" i="9"/>
  <c r="S402" i="9"/>
  <c r="Q403" i="9"/>
  <c r="R403" i="9"/>
  <c r="Q405" i="9"/>
  <c r="R405" i="9"/>
  <c r="S406" i="9"/>
  <c r="Q408" i="9"/>
  <c r="R407" i="9"/>
  <c r="Q409" i="9"/>
  <c r="R409" i="9"/>
  <c r="Q411" i="9"/>
  <c r="R411" i="9"/>
  <c r="AA401" i="9"/>
  <c r="Q402" i="9"/>
  <c r="R402" i="9"/>
  <c r="Z402" i="9"/>
  <c r="Y402" i="9"/>
  <c r="AA402" i="9"/>
  <c r="AA403" i="9"/>
  <c r="Y403" i="9"/>
  <c r="Z403" i="9"/>
  <c r="S404" i="9"/>
  <c r="Y404" i="9"/>
  <c r="Z404" i="9"/>
  <c r="AA404" i="9"/>
  <c r="S405" i="9"/>
  <c r="AA405" i="9"/>
  <c r="Z405" i="9"/>
  <c r="Q406" i="9"/>
  <c r="R406" i="9"/>
  <c r="Y406" i="9"/>
  <c r="Z406" i="9"/>
  <c r="AA406" i="9"/>
  <c r="Q407" i="9"/>
  <c r="AA407" i="9"/>
  <c r="Y407" i="9"/>
  <c r="Z407" i="9"/>
  <c r="S408" i="9"/>
  <c r="Y408" i="9"/>
  <c r="Z408" i="9"/>
  <c r="AA408" i="9"/>
  <c r="S409" i="9"/>
  <c r="AA410" i="9"/>
  <c r="Y409" i="9"/>
  <c r="S410" i="9"/>
  <c r="Y410" i="9"/>
  <c r="Z410" i="9"/>
  <c r="S411" i="9"/>
  <c r="AA411" i="9"/>
  <c r="Y411" i="9"/>
  <c r="Z411" i="9"/>
  <c r="P583" i="24"/>
  <c r="N583" i="24"/>
  <c r="P582" i="24"/>
  <c r="N582" i="24"/>
  <c r="AA400" i="9"/>
  <c r="O399" i="9"/>
  <c r="N399" i="9"/>
  <c r="M399" i="9"/>
  <c r="K399" i="9"/>
  <c r="J399" i="9"/>
  <c r="I399" i="9"/>
  <c r="Q400" i="9" l="1"/>
  <c r="Z400" i="9"/>
  <c r="S400" i="9"/>
  <c r="R400" i="9"/>
  <c r="S401" i="9"/>
  <c r="Y400" i="9"/>
  <c r="R410" i="9"/>
  <c r="R404" i="9"/>
  <c r="R408" i="9"/>
  <c r="Q404" i="9"/>
  <c r="S403" i="9"/>
  <c r="S407" i="9"/>
  <c r="Q410" i="9"/>
  <c r="Y405" i="9"/>
  <c r="AA409" i="9"/>
  <c r="Z409" i="9"/>
  <c r="L18" i="12"/>
  <c r="AA399" i="9"/>
  <c r="O398" i="9"/>
  <c r="S399" i="9" s="1"/>
  <c r="N398" i="9"/>
  <c r="M398" i="9"/>
  <c r="J398" i="9"/>
  <c r="I398" i="9"/>
  <c r="K398" i="9"/>
  <c r="M397" i="9"/>
  <c r="O397" i="9"/>
  <c r="N397" i="9"/>
  <c r="K397" i="9"/>
  <c r="J397" i="9"/>
  <c r="I397" i="9"/>
  <c r="M396" i="9"/>
  <c r="N396" i="9"/>
  <c r="O396" i="9"/>
  <c r="O395" i="9"/>
  <c r="N395" i="9"/>
  <c r="M395" i="9"/>
  <c r="Z397" i="9" l="1"/>
  <c r="Z398" i="9"/>
  <c r="S398" i="9"/>
  <c r="Y398" i="9"/>
  <c r="Y399" i="9"/>
  <c r="Q398" i="9"/>
  <c r="Q399" i="9"/>
  <c r="Z399" i="9"/>
  <c r="Y397" i="9"/>
  <c r="R397" i="9"/>
  <c r="R398" i="9"/>
  <c r="AA398" i="9"/>
  <c r="R399" i="9"/>
  <c r="S397" i="9"/>
  <c r="Q397" i="9"/>
  <c r="AA397" i="9"/>
  <c r="Y395" i="9"/>
  <c r="Z395" i="9"/>
  <c r="AA395" i="9"/>
  <c r="M394" i="9"/>
  <c r="Q395" i="9" s="1"/>
  <c r="N394" i="9"/>
  <c r="R395" i="9" s="1"/>
  <c r="O394" i="9"/>
  <c r="S395" i="9" s="1"/>
  <c r="Y394" i="9"/>
  <c r="M393" i="9"/>
  <c r="N393" i="9"/>
  <c r="O393" i="9"/>
  <c r="I393" i="9"/>
  <c r="J393" i="9"/>
  <c r="K393" i="9"/>
  <c r="I394" i="9"/>
  <c r="J394" i="9"/>
  <c r="K394" i="9"/>
  <c r="I395" i="9"/>
  <c r="J395" i="9"/>
  <c r="K395" i="9"/>
  <c r="I396" i="9"/>
  <c r="J396" i="9"/>
  <c r="K396" i="9"/>
  <c r="M392" i="9"/>
  <c r="N392" i="9"/>
  <c r="O392" i="9"/>
  <c r="M391" i="9"/>
  <c r="N391" i="9"/>
  <c r="O391" i="9"/>
  <c r="I391" i="9"/>
  <c r="J391" i="9"/>
  <c r="K391" i="9"/>
  <c r="M389" i="9"/>
  <c r="N389" i="9"/>
  <c r="O389" i="9"/>
  <c r="O390" i="9"/>
  <c r="N390" i="9"/>
  <c r="M390" i="9"/>
  <c r="I390" i="9"/>
  <c r="J390" i="9"/>
  <c r="K390" i="9"/>
  <c r="I392" i="9"/>
  <c r="J392" i="9"/>
  <c r="K392" i="9"/>
  <c r="AA396" i="9"/>
  <c r="Y396" i="9"/>
  <c r="Q396" i="9"/>
  <c r="Z396" i="9"/>
  <c r="S396" i="9"/>
  <c r="R396" i="9"/>
  <c r="K389" i="9"/>
  <c r="J389" i="9"/>
  <c r="I389" i="9"/>
  <c r="N18" i="12"/>
  <c r="N58" i="12"/>
  <c r="N38" i="12"/>
  <c r="M38" i="12"/>
  <c r="M18" i="12"/>
  <c r="O388" i="9"/>
  <c r="N388" i="9"/>
  <c r="M388" i="9"/>
  <c r="K388" i="9"/>
  <c r="J388" i="9"/>
  <c r="I388" i="9"/>
  <c r="O387" i="9"/>
  <c r="N387" i="9"/>
  <c r="M387" i="9"/>
  <c r="K387" i="9"/>
  <c r="J387" i="9"/>
  <c r="I387" i="9"/>
  <c r="I386" i="9"/>
  <c r="J386" i="9"/>
  <c r="K386" i="9"/>
  <c r="M58" i="12"/>
  <c r="M386" i="9"/>
  <c r="N386" i="9"/>
  <c r="O386" i="9"/>
  <c r="L58" i="12"/>
  <c r="L38" i="12"/>
  <c r="O385" i="9"/>
  <c r="N385" i="9"/>
  <c r="M385" i="9"/>
  <c r="I385" i="9"/>
  <c r="J385" i="9"/>
  <c r="K385" i="9"/>
  <c r="K18" i="12"/>
  <c r="K38" i="12"/>
  <c r="K58" i="12"/>
  <c r="I384" i="9"/>
  <c r="J384" i="9"/>
  <c r="K384" i="9"/>
  <c r="M384" i="9"/>
  <c r="N384" i="9"/>
  <c r="O384" i="9"/>
  <c r="J18" i="12"/>
  <c r="J38" i="12"/>
  <c r="J58" i="12"/>
  <c r="T421" i="9"/>
  <c r="T422" i="9"/>
  <c r="T423" i="9"/>
  <c r="O383" i="9"/>
  <c r="N383" i="9"/>
  <c r="M383" i="9"/>
  <c r="O382" i="9"/>
  <c r="N382" i="9"/>
  <c r="M382" i="9"/>
  <c r="K383" i="9"/>
  <c r="J383" i="9"/>
  <c r="I383" i="9"/>
  <c r="K382" i="9"/>
  <c r="J382" i="9"/>
  <c r="I382" i="9"/>
  <c r="I58" i="12"/>
  <c r="I38" i="12"/>
  <c r="I18" i="12"/>
  <c r="T418" i="9"/>
  <c r="T419" i="9"/>
  <c r="T420" i="9"/>
  <c r="H58" i="12"/>
  <c r="H38" i="12"/>
  <c r="G38" i="12"/>
  <c r="H18" i="12"/>
  <c r="G18" i="12"/>
  <c r="G58" i="12"/>
  <c r="M380" i="9"/>
  <c r="N380" i="9"/>
  <c r="O380" i="9"/>
  <c r="M381" i="9"/>
  <c r="N381" i="9"/>
  <c r="O381" i="9"/>
  <c r="I380" i="9"/>
  <c r="J380" i="9"/>
  <c r="K380" i="9"/>
  <c r="I381" i="9"/>
  <c r="J381" i="9"/>
  <c r="K381" i="9"/>
  <c r="F58" i="12"/>
  <c r="F38" i="12"/>
  <c r="F18" i="12"/>
  <c r="E18" i="12"/>
  <c r="E38" i="12"/>
  <c r="E58" i="12"/>
  <c r="I378" i="9"/>
  <c r="J378" i="9"/>
  <c r="K378" i="9"/>
  <c r="I379" i="9"/>
  <c r="J379" i="9"/>
  <c r="K379" i="9"/>
  <c r="D10" i="1"/>
  <c r="A1" i="16" s="1"/>
  <c r="D18" i="12"/>
  <c r="D58" i="12"/>
  <c r="D38" i="12"/>
  <c r="C38" i="12"/>
  <c r="C58" i="12"/>
  <c r="I377" i="9"/>
  <c r="J377" i="9"/>
  <c r="K377" i="9"/>
  <c r="B14" i="4"/>
  <c r="C18" i="12"/>
  <c r="O379" i="9"/>
  <c r="N379" i="9"/>
  <c r="M379" i="9"/>
  <c r="M378" i="9"/>
  <c r="O378" i="9"/>
  <c r="N378" i="9"/>
  <c r="O377" i="9"/>
  <c r="N377" i="9"/>
  <c r="N376" i="9"/>
  <c r="M377" i="9"/>
  <c r="M376" i="9"/>
  <c r="O376" i="9"/>
  <c r="O375" i="9"/>
  <c r="N375" i="9"/>
  <c r="M375" i="9"/>
  <c r="K376" i="9"/>
  <c r="J376" i="9"/>
  <c r="I376" i="9"/>
  <c r="N57" i="12"/>
  <c r="N37" i="12"/>
  <c r="N17" i="12"/>
  <c r="I375" i="9"/>
  <c r="J375" i="9"/>
  <c r="K375" i="9"/>
  <c r="M374" i="9"/>
  <c r="I374" i="9"/>
  <c r="J374" i="9"/>
  <c r="K374" i="9"/>
  <c r="M373" i="9"/>
  <c r="N374" i="9"/>
  <c r="O374" i="9"/>
  <c r="M57" i="12"/>
  <c r="M37" i="12"/>
  <c r="M17" i="12"/>
  <c r="L57" i="12"/>
  <c r="L37" i="12"/>
  <c r="L17" i="12"/>
  <c r="I373" i="9"/>
  <c r="J373" i="9"/>
  <c r="K373" i="9"/>
  <c r="M372" i="9"/>
  <c r="N373" i="9"/>
  <c r="O373" i="9"/>
  <c r="I372" i="9"/>
  <c r="J372" i="9"/>
  <c r="K372" i="9"/>
  <c r="M371" i="9"/>
  <c r="N372" i="9"/>
  <c r="N371" i="9"/>
  <c r="O372" i="9"/>
  <c r="K57" i="12"/>
  <c r="K37" i="12"/>
  <c r="K17" i="12"/>
  <c r="I371" i="9"/>
  <c r="J371" i="9"/>
  <c r="K371" i="9"/>
  <c r="M370" i="9"/>
  <c r="N370" i="9"/>
  <c r="O371" i="9"/>
  <c r="O370" i="9"/>
  <c r="J57" i="12"/>
  <c r="J37" i="12"/>
  <c r="J17" i="12"/>
  <c r="I370" i="9"/>
  <c r="J370" i="9"/>
  <c r="K370" i="9"/>
  <c r="I57" i="12"/>
  <c r="I37" i="12"/>
  <c r="I17" i="12"/>
  <c r="I369" i="9"/>
  <c r="J369" i="9"/>
  <c r="K369" i="9"/>
  <c r="M369" i="9"/>
  <c r="N369" i="9"/>
  <c r="O369" i="9"/>
  <c r="O368" i="9"/>
  <c r="H57" i="12"/>
  <c r="H37" i="12"/>
  <c r="H17" i="12"/>
  <c r="G17" i="12"/>
  <c r="I368" i="9"/>
  <c r="J368" i="9"/>
  <c r="K368" i="9"/>
  <c r="M368" i="9"/>
  <c r="M367" i="9"/>
  <c r="N368" i="9"/>
  <c r="G57" i="12"/>
  <c r="G37" i="12"/>
  <c r="I367" i="9"/>
  <c r="J367" i="9"/>
  <c r="K367" i="9"/>
  <c r="N367" i="9"/>
  <c r="O367" i="9"/>
  <c r="F57" i="12"/>
  <c r="F37" i="12"/>
  <c r="F17" i="12"/>
  <c r="I366" i="9"/>
  <c r="J366" i="9"/>
  <c r="K366" i="9"/>
  <c r="M366" i="9"/>
  <c r="N366" i="9"/>
  <c r="O366" i="9"/>
  <c r="E57" i="12"/>
  <c r="E37" i="12"/>
  <c r="E17" i="12"/>
  <c r="I365" i="9"/>
  <c r="J365" i="9"/>
  <c r="K365" i="9"/>
  <c r="M365" i="9"/>
  <c r="N365" i="9"/>
  <c r="N364" i="9"/>
  <c r="O365" i="9"/>
  <c r="D57" i="12"/>
  <c r="D37" i="12"/>
  <c r="D17" i="12"/>
  <c r="N363" i="9"/>
  <c r="C57" i="12"/>
  <c r="C37" i="12"/>
  <c r="C17" i="12"/>
  <c r="C6" i="12"/>
  <c r="D6" i="12"/>
  <c r="E6" i="12"/>
  <c r="F6" i="12"/>
  <c r="G6" i="12"/>
  <c r="H6" i="12"/>
  <c r="I6" i="12"/>
  <c r="J6" i="12"/>
  <c r="K6" i="12"/>
  <c r="L6" i="12"/>
  <c r="M6" i="12"/>
  <c r="N6" i="12"/>
  <c r="C7" i="12"/>
  <c r="D7" i="12"/>
  <c r="E7" i="12"/>
  <c r="F7" i="12"/>
  <c r="G7" i="12"/>
  <c r="H7" i="12"/>
  <c r="I7" i="12"/>
  <c r="J7" i="12"/>
  <c r="K7" i="12"/>
  <c r="L7" i="12"/>
  <c r="M7" i="12"/>
  <c r="N7" i="12"/>
  <c r="C8" i="12"/>
  <c r="D8" i="12"/>
  <c r="E8" i="12"/>
  <c r="F8" i="12"/>
  <c r="G8" i="12"/>
  <c r="H8" i="12"/>
  <c r="I8" i="12"/>
  <c r="J8" i="12"/>
  <c r="K8" i="12"/>
  <c r="L8" i="12"/>
  <c r="M8" i="12"/>
  <c r="N8" i="12"/>
  <c r="C9" i="12"/>
  <c r="D9" i="12"/>
  <c r="E9" i="12"/>
  <c r="F9" i="12"/>
  <c r="G9" i="12"/>
  <c r="H9" i="12"/>
  <c r="I9" i="12"/>
  <c r="J9" i="12"/>
  <c r="K9" i="12"/>
  <c r="L9" i="12"/>
  <c r="M9" i="12"/>
  <c r="N9" i="12"/>
  <c r="C10" i="12"/>
  <c r="D10" i="12"/>
  <c r="E10" i="12"/>
  <c r="F10" i="12"/>
  <c r="G10" i="12"/>
  <c r="H10" i="12"/>
  <c r="I10" i="12"/>
  <c r="J10" i="12"/>
  <c r="K10" i="12"/>
  <c r="L10" i="12"/>
  <c r="M10" i="12"/>
  <c r="N10" i="12"/>
  <c r="C11" i="12"/>
  <c r="D11" i="12"/>
  <c r="E11" i="12"/>
  <c r="F11" i="12"/>
  <c r="G11" i="12"/>
  <c r="H11" i="12"/>
  <c r="I11" i="12"/>
  <c r="J11" i="12"/>
  <c r="K11" i="12"/>
  <c r="L11" i="12"/>
  <c r="M11" i="12"/>
  <c r="N11" i="12"/>
  <c r="C12" i="12"/>
  <c r="D12" i="12"/>
  <c r="E12" i="12"/>
  <c r="F12" i="12"/>
  <c r="G12" i="12"/>
  <c r="H12" i="12"/>
  <c r="I12" i="12"/>
  <c r="J12" i="12"/>
  <c r="K12" i="12"/>
  <c r="L12" i="12"/>
  <c r="M12" i="12"/>
  <c r="N12" i="12"/>
  <c r="C13" i="12"/>
  <c r="D13" i="12"/>
  <c r="E13" i="12"/>
  <c r="F13" i="12"/>
  <c r="G13" i="12"/>
  <c r="H13" i="12"/>
  <c r="I13" i="12"/>
  <c r="J13" i="12"/>
  <c r="K13" i="12"/>
  <c r="L13" i="12"/>
  <c r="M13" i="12"/>
  <c r="N13" i="12"/>
  <c r="C14" i="12"/>
  <c r="D14" i="12"/>
  <c r="E14" i="12"/>
  <c r="F14" i="12"/>
  <c r="G14" i="12"/>
  <c r="H14" i="12"/>
  <c r="I14" i="12"/>
  <c r="J14" i="12"/>
  <c r="K14" i="12"/>
  <c r="L14" i="12"/>
  <c r="M14" i="12"/>
  <c r="N14" i="12"/>
  <c r="C15" i="12"/>
  <c r="D15" i="12"/>
  <c r="E15" i="12"/>
  <c r="F15" i="12"/>
  <c r="G15" i="12"/>
  <c r="H15" i="12"/>
  <c r="I15" i="12"/>
  <c r="J15" i="12"/>
  <c r="K15" i="12"/>
  <c r="L15" i="12"/>
  <c r="M15" i="12"/>
  <c r="N15" i="12"/>
  <c r="I364" i="9"/>
  <c r="J364" i="9"/>
  <c r="K364" i="9"/>
  <c r="M364" i="9"/>
  <c r="M363" i="9"/>
  <c r="O364" i="9"/>
  <c r="I363" i="9"/>
  <c r="J363" i="9"/>
  <c r="K363" i="9"/>
  <c r="O363" i="9"/>
  <c r="N56" i="12"/>
  <c r="N36" i="12"/>
  <c r="N16" i="12"/>
  <c r="M56" i="12"/>
  <c r="M36" i="12"/>
  <c r="M16" i="12"/>
  <c r="I362" i="9"/>
  <c r="J362" i="9"/>
  <c r="K362" i="9"/>
  <c r="M362" i="9"/>
  <c r="N362" i="9"/>
  <c r="O362" i="9"/>
  <c r="I361" i="9"/>
  <c r="J361" i="9"/>
  <c r="K361" i="9"/>
  <c r="M361" i="9"/>
  <c r="N361" i="9"/>
  <c r="O361" i="9"/>
  <c r="L56" i="12"/>
  <c r="L36" i="12"/>
  <c r="L16" i="12"/>
  <c r="I360" i="9"/>
  <c r="J360" i="9"/>
  <c r="K360" i="9"/>
  <c r="M360" i="9"/>
  <c r="N360" i="9"/>
  <c r="O360" i="9"/>
  <c r="O359" i="9"/>
  <c r="K56" i="12"/>
  <c r="K36" i="12"/>
  <c r="K16" i="12"/>
  <c r="I359" i="9"/>
  <c r="J359" i="9"/>
  <c r="K359" i="9"/>
  <c r="M359" i="9"/>
  <c r="N359" i="9"/>
  <c r="J56" i="12"/>
  <c r="J36" i="12"/>
  <c r="J16" i="12"/>
  <c r="I358" i="9"/>
  <c r="J358" i="9"/>
  <c r="K358" i="9"/>
  <c r="M358" i="9"/>
  <c r="N358" i="9"/>
  <c r="O358" i="9"/>
  <c r="O357" i="9"/>
  <c r="I56" i="12"/>
  <c r="I36" i="12"/>
  <c r="I16" i="12"/>
  <c r="I357" i="9"/>
  <c r="J357" i="9"/>
  <c r="K357" i="9"/>
  <c r="M357" i="9"/>
  <c r="N357" i="9"/>
  <c r="O356" i="9"/>
  <c r="H56" i="12"/>
  <c r="H36" i="12"/>
  <c r="H16" i="12"/>
  <c r="I356" i="9"/>
  <c r="J356" i="9"/>
  <c r="K356" i="9"/>
  <c r="M356" i="9"/>
  <c r="N356" i="9"/>
  <c r="O355" i="9"/>
  <c r="G56" i="12"/>
  <c r="G36" i="12"/>
  <c r="G16" i="12"/>
  <c r="I355" i="9"/>
  <c r="J355" i="9"/>
  <c r="K355" i="9"/>
  <c r="M355" i="9"/>
  <c r="N355" i="9"/>
  <c r="F56" i="12"/>
  <c r="F36" i="12"/>
  <c r="F16" i="12"/>
  <c r="I354" i="9"/>
  <c r="J354" i="9"/>
  <c r="K354" i="9"/>
  <c r="M354" i="9"/>
  <c r="N354" i="9"/>
  <c r="O354" i="9"/>
  <c r="E56" i="12"/>
  <c r="E36" i="12"/>
  <c r="E16" i="12"/>
  <c r="D56" i="12"/>
  <c r="D36" i="12"/>
  <c r="D16" i="12"/>
  <c r="I353" i="9"/>
  <c r="J353" i="9"/>
  <c r="K353" i="9"/>
  <c r="M353" i="9"/>
  <c r="M352" i="9"/>
  <c r="N353" i="9"/>
  <c r="O353" i="9"/>
  <c r="I297" i="9"/>
  <c r="J297" i="9"/>
  <c r="K297" i="9"/>
  <c r="M297" i="9"/>
  <c r="N297" i="9"/>
  <c r="O297" i="9"/>
  <c r="I298" i="9"/>
  <c r="J298" i="9"/>
  <c r="K298" i="9"/>
  <c r="M298" i="9"/>
  <c r="N298" i="9"/>
  <c r="O298" i="9"/>
  <c r="I299" i="9"/>
  <c r="J299" i="9"/>
  <c r="K299" i="9"/>
  <c r="M299" i="9"/>
  <c r="N299" i="9"/>
  <c r="O299" i="9"/>
  <c r="I300" i="9"/>
  <c r="J300" i="9"/>
  <c r="K300" i="9"/>
  <c r="M300" i="9"/>
  <c r="N300" i="9"/>
  <c r="O300" i="9"/>
  <c r="I301" i="9"/>
  <c r="J301" i="9"/>
  <c r="K301" i="9"/>
  <c r="M301" i="9"/>
  <c r="N301" i="9"/>
  <c r="O301" i="9"/>
  <c r="I302" i="9"/>
  <c r="J302" i="9"/>
  <c r="K302" i="9"/>
  <c r="M302" i="9"/>
  <c r="N302" i="9"/>
  <c r="O302" i="9"/>
  <c r="I303" i="9"/>
  <c r="J303" i="9"/>
  <c r="K303" i="9"/>
  <c r="M303" i="9"/>
  <c r="N303" i="9"/>
  <c r="O303" i="9"/>
  <c r="I304" i="9"/>
  <c r="J304" i="9"/>
  <c r="K304" i="9"/>
  <c r="M304" i="9"/>
  <c r="N304" i="9"/>
  <c r="N305" i="9"/>
  <c r="O304" i="9"/>
  <c r="I305" i="9"/>
  <c r="J305" i="9"/>
  <c r="K305" i="9"/>
  <c r="M305" i="9"/>
  <c r="O305" i="9"/>
  <c r="I306" i="9"/>
  <c r="J306" i="9"/>
  <c r="K306" i="9"/>
  <c r="M306" i="9"/>
  <c r="N306" i="9"/>
  <c r="O306" i="9"/>
  <c r="I307" i="9"/>
  <c r="J307" i="9"/>
  <c r="K307" i="9"/>
  <c r="M307" i="9"/>
  <c r="N307" i="9"/>
  <c r="N308" i="9"/>
  <c r="O307" i="9"/>
  <c r="I308" i="9"/>
  <c r="J308" i="9"/>
  <c r="K308" i="9"/>
  <c r="M308" i="9"/>
  <c r="O308" i="9"/>
  <c r="I309" i="9"/>
  <c r="J309" i="9"/>
  <c r="K309" i="9"/>
  <c r="M309" i="9"/>
  <c r="N309" i="9"/>
  <c r="O309" i="9"/>
  <c r="I310" i="9"/>
  <c r="J310" i="9"/>
  <c r="K310" i="9"/>
  <c r="M310" i="9"/>
  <c r="N310" i="9"/>
  <c r="O310" i="9"/>
  <c r="I311" i="9"/>
  <c r="J311" i="9"/>
  <c r="K311" i="9"/>
  <c r="M311" i="9"/>
  <c r="N311" i="9"/>
  <c r="O311" i="9"/>
  <c r="I312" i="9"/>
  <c r="J312" i="9"/>
  <c r="K312" i="9"/>
  <c r="M312" i="9"/>
  <c r="N312" i="9"/>
  <c r="O312" i="9"/>
  <c r="I313" i="9"/>
  <c r="J313" i="9"/>
  <c r="K313" i="9"/>
  <c r="M313" i="9"/>
  <c r="N313" i="9"/>
  <c r="O313" i="9"/>
  <c r="I314" i="9"/>
  <c r="J314" i="9"/>
  <c r="K314" i="9"/>
  <c r="M314" i="9"/>
  <c r="N314" i="9"/>
  <c r="O314" i="9"/>
  <c r="I315" i="9"/>
  <c r="J315" i="9"/>
  <c r="K315" i="9"/>
  <c r="M315" i="9"/>
  <c r="N315" i="9"/>
  <c r="O315" i="9"/>
  <c r="I316" i="9"/>
  <c r="J316" i="9"/>
  <c r="K316" i="9"/>
  <c r="M316" i="9"/>
  <c r="N316" i="9"/>
  <c r="O316" i="9"/>
  <c r="I317" i="9"/>
  <c r="J317" i="9"/>
  <c r="K317" i="9"/>
  <c r="M317" i="9"/>
  <c r="N317" i="9"/>
  <c r="O317" i="9"/>
  <c r="I318" i="9"/>
  <c r="J318" i="9"/>
  <c r="K318" i="9"/>
  <c r="M318" i="9"/>
  <c r="N318" i="9"/>
  <c r="O318" i="9"/>
  <c r="I319" i="9"/>
  <c r="J319" i="9"/>
  <c r="K319" i="9"/>
  <c r="M319" i="9"/>
  <c r="N319" i="9"/>
  <c r="N320" i="9"/>
  <c r="O319" i="9"/>
  <c r="AA319" i="9"/>
  <c r="I320" i="9"/>
  <c r="J320" i="9"/>
  <c r="K320" i="9"/>
  <c r="M320" i="9"/>
  <c r="O320" i="9"/>
  <c r="I321" i="9"/>
  <c r="J321" i="9"/>
  <c r="K321" i="9"/>
  <c r="M321" i="9"/>
  <c r="N321" i="9"/>
  <c r="O321" i="9"/>
  <c r="O322" i="9"/>
  <c r="I322" i="9"/>
  <c r="J322" i="9"/>
  <c r="K322" i="9"/>
  <c r="M322" i="9"/>
  <c r="N322" i="9"/>
  <c r="I323" i="9"/>
  <c r="J323" i="9"/>
  <c r="K323" i="9"/>
  <c r="M323" i="9"/>
  <c r="N323" i="9"/>
  <c r="O323" i="9"/>
  <c r="I324" i="9"/>
  <c r="J324" i="9"/>
  <c r="K324" i="9"/>
  <c r="M324" i="9"/>
  <c r="N324" i="9"/>
  <c r="O324" i="9"/>
  <c r="I325" i="9"/>
  <c r="J325" i="9"/>
  <c r="K325" i="9"/>
  <c r="M325" i="9"/>
  <c r="N325" i="9"/>
  <c r="O325" i="9"/>
  <c r="I326" i="9"/>
  <c r="J326" i="9"/>
  <c r="K326" i="9"/>
  <c r="M326" i="9"/>
  <c r="N326" i="9"/>
  <c r="O326" i="9"/>
  <c r="I327" i="9"/>
  <c r="J327" i="9"/>
  <c r="K327" i="9"/>
  <c r="M327" i="9"/>
  <c r="N327" i="9"/>
  <c r="O327" i="9"/>
  <c r="I328" i="9"/>
  <c r="J328" i="9"/>
  <c r="K328" i="9"/>
  <c r="M328" i="9"/>
  <c r="N328" i="9"/>
  <c r="O328" i="9"/>
  <c r="I329" i="9"/>
  <c r="J329" i="9"/>
  <c r="K329" i="9"/>
  <c r="M329" i="9"/>
  <c r="N329" i="9"/>
  <c r="O329" i="9"/>
  <c r="I330" i="9"/>
  <c r="J330" i="9"/>
  <c r="K330" i="9"/>
  <c r="M330" i="9"/>
  <c r="N330" i="9"/>
  <c r="O330" i="9"/>
  <c r="I331" i="9"/>
  <c r="J331" i="9"/>
  <c r="K331" i="9"/>
  <c r="M331" i="9"/>
  <c r="N331" i="9"/>
  <c r="O331" i="9"/>
  <c r="I332" i="9"/>
  <c r="J332" i="9"/>
  <c r="K332" i="9"/>
  <c r="M332" i="9"/>
  <c r="N332" i="9"/>
  <c r="O332" i="9"/>
  <c r="I333" i="9"/>
  <c r="J333" i="9"/>
  <c r="K333" i="9"/>
  <c r="M333" i="9"/>
  <c r="N333" i="9"/>
  <c r="O333" i="9"/>
  <c r="I334" i="9"/>
  <c r="J334" i="9"/>
  <c r="K334" i="9"/>
  <c r="M334" i="9"/>
  <c r="N334" i="9"/>
  <c r="O334" i="9"/>
  <c r="I335" i="9"/>
  <c r="J335" i="9"/>
  <c r="K335" i="9"/>
  <c r="M335" i="9"/>
  <c r="N335" i="9"/>
  <c r="O335" i="9"/>
  <c r="I336" i="9"/>
  <c r="J336" i="9"/>
  <c r="K336" i="9"/>
  <c r="M336" i="9"/>
  <c r="N336" i="9"/>
  <c r="O336" i="9"/>
  <c r="I337" i="9"/>
  <c r="J337" i="9"/>
  <c r="K337" i="9"/>
  <c r="M337" i="9"/>
  <c r="N337" i="9"/>
  <c r="O337" i="9"/>
  <c r="I338" i="9"/>
  <c r="J338" i="9"/>
  <c r="K338" i="9"/>
  <c r="M338" i="9"/>
  <c r="N338" i="9"/>
  <c r="O338" i="9"/>
  <c r="I339" i="9"/>
  <c r="J339" i="9"/>
  <c r="K339" i="9"/>
  <c r="M339" i="9"/>
  <c r="N339" i="9"/>
  <c r="N340" i="9"/>
  <c r="O339" i="9"/>
  <c r="I340" i="9"/>
  <c r="J340" i="9"/>
  <c r="K340" i="9"/>
  <c r="M340" i="9"/>
  <c r="O340" i="9"/>
  <c r="I341" i="9"/>
  <c r="J341" i="9"/>
  <c r="K341" i="9"/>
  <c r="M341" i="9"/>
  <c r="N341" i="9"/>
  <c r="O341" i="9"/>
  <c r="I342" i="9"/>
  <c r="J342" i="9"/>
  <c r="K342" i="9"/>
  <c r="M342" i="9"/>
  <c r="N342" i="9"/>
  <c r="O342" i="9"/>
  <c r="I343" i="9"/>
  <c r="J343" i="9"/>
  <c r="K343" i="9"/>
  <c r="M343" i="9"/>
  <c r="N343" i="9"/>
  <c r="O343" i="9"/>
  <c r="O344" i="9"/>
  <c r="I344" i="9"/>
  <c r="J344" i="9"/>
  <c r="K344" i="9"/>
  <c r="M344" i="9"/>
  <c r="N344" i="9"/>
  <c r="I345" i="9"/>
  <c r="J345" i="9"/>
  <c r="K345" i="9"/>
  <c r="M345" i="9"/>
  <c r="N345" i="9"/>
  <c r="O345" i="9"/>
  <c r="I346" i="9"/>
  <c r="J346" i="9"/>
  <c r="K346" i="9"/>
  <c r="M346" i="9"/>
  <c r="N346" i="9"/>
  <c r="O346" i="9"/>
  <c r="I347" i="9"/>
  <c r="J347" i="9"/>
  <c r="K347" i="9"/>
  <c r="M347" i="9"/>
  <c r="N347" i="9"/>
  <c r="O347" i="9"/>
  <c r="I348" i="9"/>
  <c r="J348" i="9"/>
  <c r="K348" i="9"/>
  <c r="M348" i="9"/>
  <c r="N348" i="9"/>
  <c r="O348" i="9"/>
  <c r="I349" i="9"/>
  <c r="J349" i="9"/>
  <c r="K349" i="9"/>
  <c r="M349" i="9"/>
  <c r="N349" i="9"/>
  <c r="O349" i="9"/>
  <c r="I350" i="9"/>
  <c r="J350" i="9"/>
  <c r="K350" i="9"/>
  <c r="M350" i="9"/>
  <c r="N350" i="9"/>
  <c r="N351" i="9"/>
  <c r="O350" i="9"/>
  <c r="I351" i="9"/>
  <c r="J351" i="9"/>
  <c r="K351" i="9"/>
  <c r="M351" i="9"/>
  <c r="O351" i="9"/>
  <c r="O352" i="9"/>
  <c r="I352" i="9"/>
  <c r="J352" i="9"/>
  <c r="K352" i="9"/>
  <c r="N352" i="9"/>
  <c r="N55" i="12"/>
  <c r="M55" i="12"/>
  <c r="L55" i="12"/>
  <c r="K55" i="12"/>
  <c r="J55" i="12"/>
  <c r="I55" i="12"/>
  <c r="H55" i="12"/>
  <c r="G55" i="12"/>
  <c r="F55" i="12"/>
  <c r="E55" i="12"/>
  <c r="D55" i="12"/>
  <c r="C55" i="12"/>
  <c r="N35" i="12"/>
  <c r="M35" i="12"/>
  <c r="L35" i="12"/>
  <c r="K35" i="12"/>
  <c r="J35" i="12"/>
  <c r="I35" i="12"/>
  <c r="H35" i="12"/>
  <c r="G35" i="12"/>
  <c r="F35" i="12"/>
  <c r="E35" i="12"/>
  <c r="D35" i="12"/>
  <c r="C35" i="12"/>
  <c r="C16" i="12"/>
  <c r="N54" i="12"/>
  <c r="C56" i="12"/>
  <c r="M54" i="12"/>
  <c r="L54" i="12"/>
  <c r="K54" i="12"/>
  <c r="J54" i="12"/>
  <c r="I54" i="12"/>
  <c r="H54" i="12"/>
  <c r="G54" i="12"/>
  <c r="F54" i="12"/>
  <c r="E54" i="12"/>
  <c r="D54" i="12"/>
  <c r="C54" i="12"/>
  <c r="C36" i="12"/>
  <c r="N34" i="12"/>
  <c r="M34" i="12"/>
  <c r="L34" i="12"/>
  <c r="K34" i="12"/>
  <c r="J34" i="12"/>
  <c r="I34" i="12"/>
  <c r="H34" i="12"/>
  <c r="G34" i="12"/>
  <c r="F34" i="12"/>
  <c r="E34" i="12"/>
  <c r="D34" i="12"/>
  <c r="C34" i="12"/>
  <c r="I269" i="9"/>
  <c r="J269" i="9"/>
  <c r="K269" i="9"/>
  <c r="I270" i="9"/>
  <c r="J270" i="9"/>
  <c r="K270" i="9"/>
  <c r="I271" i="9"/>
  <c r="J271" i="9"/>
  <c r="K271" i="9"/>
  <c r="I272" i="9"/>
  <c r="J272" i="9"/>
  <c r="K272" i="9"/>
  <c r="I273" i="9"/>
  <c r="J273" i="9"/>
  <c r="K273" i="9"/>
  <c r="I274" i="9"/>
  <c r="J274" i="9"/>
  <c r="K274" i="9"/>
  <c r="I275" i="9"/>
  <c r="J275" i="9"/>
  <c r="K275" i="9"/>
  <c r="I276" i="9"/>
  <c r="J276" i="9"/>
  <c r="K276" i="9"/>
  <c r="I277" i="9"/>
  <c r="J277" i="9"/>
  <c r="K277" i="9"/>
  <c r="I278" i="9"/>
  <c r="J278" i="9"/>
  <c r="K278" i="9"/>
  <c r="I279" i="9"/>
  <c r="J279" i="9"/>
  <c r="K279" i="9"/>
  <c r="I280" i="9"/>
  <c r="J280" i="9"/>
  <c r="K280" i="9"/>
  <c r="I281" i="9"/>
  <c r="J281" i="9"/>
  <c r="K281" i="9"/>
  <c r="I282" i="9"/>
  <c r="J282" i="9"/>
  <c r="K282" i="9"/>
  <c r="I283" i="9"/>
  <c r="J283" i="9"/>
  <c r="K283" i="9"/>
  <c r="I284" i="9"/>
  <c r="J284" i="9"/>
  <c r="K284" i="9"/>
  <c r="I285" i="9"/>
  <c r="J285" i="9"/>
  <c r="K285" i="9"/>
  <c r="I286" i="9"/>
  <c r="J286" i="9"/>
  <c r="K286" i="9"/>
  <c r="I287" i="9"/>
  <c r="J287" i="9"/>
  <c r="K287" i="9"/>
  <c r="I288" i="9"/>
  <c r="J288" i="9"/>
  <c r="K288" i="9"/>
  <c r="I289" i="9"/>
  <c r="J289" i="9"/>
  <c r="K289" i="9"/>
  <c r="I290" i="9"/>
  <c r="J290" i="9"/>
  <c r="K290" i="9"/>
  <c r="I291" i="9"/>
  <c r="J291" i="9"/>
  <c r="K291" i="9"/>
  <c r="I292" i="9"/>
  <c r="J292" i="9"/>
  <c r="K292" i="9"/>
  <c r="I293" i="9"/>
  <c r="J293" i="9"/>
  <c r="K293" i="9"/>
  <c r="I294" i="9"/>
  <c r="J294" i="9"/>
  <c r="K294" i="9"/>
  <c r="I295" i="9"/>
  <c r="J295" i="9"/>
  <c r="K295" i="9"/>
  <c r="I296" i="9"/>
  <c r="J296" i="9"/>
  <c r="K296" i="9"/>
  <c r="O296" i="9"/>
  <c r="N296" i="9"/>
  <c r="M296" i="9"/>
  <c r="O295" i="9"/>
  <c r="N295" i="9"/>
  <c r="M295" i="9"/>
  <c r="O294" i="9"/>
  <c r="N294" i="9"/>
  <c r="N293" i="9"/>
  <c r="M294" i="9"/>
  <c r="O293" i="9"/>
  <c r="M293" i="9"/>
  <c r="O292" i="9"/>
  <c r="N292" i="9"/>
  <c r="M292" i="9"/>
  <c r="N53" i="12"/>
  <c r="M53" i="12"/>
  <c r="L53" i="12"/>
  <c r="K53" i="12"/>
  <c r="J53" i="12"/>
  <c r="I53" i="12"/>
  <c r="H53" i="12"/>
  <c r="G53" i="12"/>
  <c r="F53" i="12"/>
  <c r="E53" i="12"/>
  <c r="D53" i="12"/>
  <c r="C53" i="12"/>
  <c r="N33" i="12"/>
  <c r="M33" i="12"/>
  <c r="L33" i="12"/>
  <c r="K33" i="12"/>
  <c r="J33" i="12"/>
  <c r="I33" i="12"/>
  <c r="H33" i="12"/>
  <c r="G33" i="12"/>
  <c r="F33" i="12"/>
  <c r="E33" i="12"/>
  <c r="D33" i="12"/>
  <c r="C33" i="12"/>
  <c r="O256" i="9"/>
  <c r="N256" i="9"/>
  <c r="M256" i="9"/>
  <c r="O289" i="9"/>
  <c r="N289" i="9"/>
  <c r="N290" i="9"/>
  <c r="N288" i="9"/>
  <c r="M288" i="9"/>
  <c r="M287" i="9"/>
  <c r="M280" i="9"/>
  <c r="N280" i="9"/>
  <c r="O280" i="9"/>
  <c r="M281" i="9"/>
  <c r="N281" i="9"/>
  <c r="O281" i="9"/>
  <c r="M282" i="9"/>
  <c r="N282" i="9"/>
  <c r="O282" i="9"/>
  <c r="M283" i="9"/>
  <c r="N283" i="9"/>
  <c r="O283" i="9"/>
  <c r="M284" i="9"/>
  <c r="N284" i="9"/>
  <c r="O284" i="9"/>
  <c r="M285" i="9"/>
  <c r="N285" i="9"/>
  <c r="O285" i="9"/>
  <c r="M286" i="9"/>
  <c r="N286" i="9"/>
  <c r="O286" i="9"/>
  <c r="N287" i="9"/>
  <c r="O287" i="9"/>
  <c r="N275" i="9"/>
  <c r="N274" i="9"/>
  <c r="N272" i="9"/>
  <c r="N271" i="9"/>
  <c r="N270" i="9"/>
  <c r="N269" i="9"/>
  <c r="N268" i="9"/>
  <c r="O268" i="9"/>
  <c r="O269" i="9"/>
  <c r="O270" i="9"/>
  <c r="O271" i="9"/>
  <c r="O272" i="9"/>
  <c r="N273" i="9"/>
  <c r="O273" i="9"/>
  <c r="M275" i="9"/>
  <c r="M274" i="9"/>
  <c r="M273" i="9"/>
  <c r="M272" i="9"/>
  <c r="M271" i="9"/>
  <c r="M270" i="9"/>
  <c r="M269" i="9"/>
  <c r="M268" i="9"/>
  <c r="M276" i="9"/>
  <c r="M267" i="9"/>
  <c r="M266" i="9"/>
  <c r="M265" i="9"/>
  <c r="M264" i="9"/>
  <c r="M263" i="9"/>
  <c r="M262" i="9"/>
  <c r="M261" i="9"/>
  <c r="M260" i="9"/>
  <c r="M259" i="9"/>
  <c r="M258" i="9"/>
  <c r="M257" i="9"/>
  <c r="M255" i="9"/>
  <c r="M254" i="9"/>
  <c r="M291" i="9"/>
  <c r="N43" i="12"/>
  <c r="N23" i="12"/>
  <c r="N3" i="12"/>
  <c r="K5" i="4"/>
  <c r="K17" i="4"/>
  <c r="L11" i="2"/>
  <c r="N52" i="12"/>
  <c r="M52" i="12"/>
  <c r="L52" i="12"/>
  <c r="K52" i="12"/>
  <c r="J52" i="12"/>
  <c r="I52" i="12"/>
  <c r="H52" i="12"/>
  <c r="G52" i="12"/>
  <c r="F52" i="12"/>
  <c r="E52" i="12"/>
  <c r="D52" i="12"/>
  <c r="C52" i="12"/>
  <c r="N32" i="12"/>
  <c r="M32" i="12"/>
  <c r="L32" i="12"/>
  <c r="K32" i="12"/>
  <c r="J32" i="12"/>
  <c r="I32" i="12"/>
  <c r="H32" i="12"/>
  <c r="G32" i="12"/>
  <c r="F32" i="12"/>
  <c r="E32" i="12"/>
  <c r="D32" i="12"/>
  <c r="C32" i="12"/>
  <c r="N51" i="12"/>
  <c r="M51" i="12"/>
  <c r="L51" i="12"/>
  <c r="K51" i="12"/>
  <c r="J51" i="12"/>
  <c r="I51" i="12"/>
  <c r="H51" i="12"/>
  <c r="G51" i="12"/>
  <c r="F51" i="12"/>
  <c r="E51" i="12"/>
  <c r="D51" i="12"/>
  <c r="C51" i="12"/>
  <c r="M31" i="12"/>
  <c r="L31" i="12"/>
  <c r="K31" i="12"/>
  <c r="J31" i="12"/>
  <c r="I31" i="12"/>
  <c r="H31" i="12"/>
  <c r="G31" i="12"/>
  <c r="F31" i="12"/>
  <c r="E31" i="12"/>
  <c r="N31" i="12"/>
  <c r="D31" i="12"/>
  <c r="C31" i="12"/>
  <c r="N50" i="12"/>
  <c r="M50" i="12"/>
  <c r="L50" i="12"/>
  <c r="K50" i="12"/>
  <c r="J50" i="12"/>
  <c r="I50" i="12"/>
  <c r="H50" i="12"/>
  <c r="G50" i="12"/>
  <c r="F50" i="12"/>
  <c r="E50" i="12"/>
  <c r="D50" i="12"/>
  <c r="C50" i="12"/>
  <c r="N30" i="12"/>
  <c r="M30" i="12"/>
  <c r="L30" i="12"/>
  <c r="K30" i="12"/>
  <c r="J30" i="12"/>
  <c r="I30" i="12"/>
  <c r="H30" i="12"/>
  <c r="G30" i="12"/>
  <c r="F30" i="12"/>
  <c r="E30" i="12"/>
  <c r="D30" i="12"/>
  <c r="C30" i="12"/>
  <c r="O291" i="9"/>
  <c r="N291" i="9"/>
  <c r="O290" i="9"/>
  <c r="M290" i="9"/>
  <c r="M289" i="9"/>
  <c r="O288" i="9"/>
  <c r="M279" i="9"/>
  <c r="K268" i="9"/>
  <c r="J268" i="9"/>
  <c r="I268" i="9"/>
  <c r="N49" i="12"/>
  <c r="M49" i="12"/>
  <c r="L49" i="12"/>
  <c r="K49" i="12"/>
  <c r="J49" i="12"/>
  <c r="I49" i="12"/>
  <c r="H49" i="12"/>
  <c r="G49" i="12"/>
  <c r="F49" i="12"/>
  <c r="E49" i="12"/>
  <c r="D49" i="12"/>
  <c r="C49" i="12"/>
  <c r="N29" i="12"/>
  <c r="M29" i="12"/>
  <c r="L29" i="12"/>
  <c r="K29" i="12"/>
  <c r="J29" i="12"/>
  <c r="I29" i="12"/>
  <c r="H29" i="12"/>
  <c r="G29" i="12"/>
  <c r="F29" i="12"/>
  <c r="E29" i="12"/>
  <c r="D29" i="12"/>
  <c r="C29" i="12"/>
  <c r="O279" i="9"/>
  <c r="N279" i="9"/>
  <c r="O278" i="9"/>
  <c r="N278" i="9"/>
  <c r="M278" i="9"/>
  <c r="O277" i="9"/>
  <c r="N277" i="9"/>
  <c r="M277" i="9"/>
  <c r="O276" i="9"/>
  <c r="N276" i="9"/>
  <c r="O275" i="9"/>
  <c r="O274" i="9"/>
  <c r="AA268" i="9"/>
  <c r="I267" i="9"/>
  <c r="J267" i="9"/>
  <c r="K267" i="9"/>
  <c r="N257" i="9"/>
  <c r="O257" i="9"/>
  <c r="N258" i="9"/>
  <c r="O258" i="9"/>
  <c r="N259" i="9"/>
  <c r="O259" i="9"/>
  <c r="N260" i="9"/>
  <c r="O260" i="9"/>
  <c r="N261" i="9"/>
  <c r="O261" i="9"/>
  <c r="N262" i="9"/>
  <c r="O262" i="9"/>
  <c r="N263" i="9"/>
  <c r="O263" i="9"/>
  <c r="N264" i="9"/>
  <c r="O264" i="9"/>
  <c r="N265" i="9"/>
  <c r="O265" i="9"/>
  <c r="N266" i="9"/>
  <c r="O266" i="9"/>
  <c r="N267" i="9"/>
  <c r="O267" i="9"/>
  <c r="I257" i="9"/>
  <c r="J257" i="9"/>
  <c r="K257" i="9"/>
  <c r="I258" i="9"/>
  <c r="J258" i="9"/>
  <c r="K258" i="9"/>
  <c r="I259" i="9"/>
  <c r="J259" i="9"/>
  <c r="K259" i="9"/>
  <c r="I260" i="9"/>
  <c r="J260" i="9"/>
  <c r="K260" i="9"/>
  <c r="I261" i="9"/>
  <c r="J261" i="9"/>
  <c r="K261" i="9"/>
  <c r="I262" i="9"/>
  <c r="J262" i="9"/>
  <c r="K262" i="9"/>
  <c r="I263" i="9"/>
  <c r="J263" i="9"/>
  <c r="K263" i="9"/>
  <c r="I264" i="9"/>
  <c r="J264" i="9"/>
  <c r="K264" i="9"/>
  <c r="I265" i="9"/>
  <c r="J265" i="9"/>
  <c r="K265" i="9"/>
  <c r="I266" i="9"/>
  <c r="J266" i="9"/>
  <c r="K266" i="9"/>
  <c r="K256" i="9"/>
  <c r="J256" i="9"/>
  <c r="I256" i="9"/>
  <c r="I63" i="9"/>
  <c r="J63" i="9"/>
  <c r="K63" i="9"/>
  <c r="I64" i="9"/>
  <c r="J64" i="9"/>
  <c r="K64" i="9"/>
  <c r="I65" i="9"/>
  <c r="J65" i="9"/>
  <c r="K65" i="9"/>
  <c r="I66" i="9"/>
  <c r="J66" i="9"/>
  <c r="K66" i="9"/>
  <c r="I67" i="9"/>
  <c r="J67" i="9"/>
  <c r="K67" i="9"/>
  <c r="I68" i="9"/>
  <c r="J68" i="9"/>
  <c r="K68" i="9"/>
  <c r="I69" i="9"/>
  <c r="J69" i="9"/>
  <c r="K69" i="9"/>
  <c r="I70" i="9"/>
  <c r="J70" i="9"/>
  <c r="K70" i="9"/>
  <c r="I71" i="9"/>
  <c r="J71" i="9"/>
  <c r="K71" i="9"/>
  <c r="I72" i="9"/>
  <c r="J72" i="9"/>
  <c r="K72" i="9"/>
  <c r="I73" i="9"/>
  <c r="J73" i="9"/>
  <c r="K73" i="9"/>
  <c r="I74" i="9"/>
  <c r="J74" i="9"/>
  <c r="K74" i="9"/>
  <c r="I75" i="9"/>
  <c r="J75" i="9"/>
  <c r="K75" i="9"/>
  <c r="I76" i="9"/>
  <c r="J76" i="9"/>
  <c r="K76" i="9"/>
  <c r="I77" i="9"/>
  <c r="J77" i="9"/>
  <c r="K77" i="9"/>
  <c r="I78" i="9"/>
  <c r="J78" i="9"/>
  <c r="K78" i="9"/>
  <c r="I79" i="9"/>
  <c r="J79" i="9"/>
  <c r="K79" i="9"/>
  <c r="I80" i="9"/>
  <c r="J80" i="9"/>
  <c r="K80" i="9"/>
  <c r="I81" i="9"/>
  <c r="J81" i="9"/>
  <c r="K81" i="9"/>
  <c r="I82" i="9"/>
  <c r="J82" i="9"/>
  <c r="K82" i="9"/>
  <c r="I83" i="9"/>
  <c r="J83" i="9"/>
  <c r="K83" i="9"/>
  <c r="I84" i="9"/>
  <c r="J84" i="9"/>
  <c r="K84" i="9"/>
  <c r="I85" i="9"/>
  <c r="J85" i="9"/>
  <c r="K85" i="9"/>
  <c r="I86" i="9"/>
  <c r="J86" i="9"/>
  <c r="K86" i="9"/>
  <c r="I87" i="9"/>
  <c r="J87" i="9"/>
  <c r="K87" i="9"/>
  <c r="I88" i="9"/>
  <c r="J88" i="9"/>
  <c r="K88" i="9"/>
  <c r="I89" i="9"/>
  <c r="J89" i="9"/>
  <c r="K89" i="9"/>
  <c r="I90" i="9"/>
  <c r="J90" i="9"/>
  <c r="K90" i="9"/>
  <c r="I91" i="9"/>
  <c r="J91" i="9"/>
  <c r="K91" i="9"/>
  <c r="I92" i="9"/>
  <c r="J92" i="9"/>
  <c r="K92" i="9"/>
  <c r="I93" i="9"/>
  <c r="J93" i="9"/>
  <c r="K93" i="9"/>
  <c r="I94" i="9"/>
  <c r="J94" i="9"/>
  <c r="K94" i="9"/>
  <c r="I95" i="9"/>
  <c r="J95" i="9"/>
  <c r="K95" i="9"/>
  <c r="I96" i="9"/>
  <c r="J96" i="9"/>
  <c r="K96" i="9"/>
  <c r="I97" i="9"/>
  <c r="J97" i="9"/>
  <c r="K97" i="9"/>
  <c r="I98" i="9"/>
  <c r="J98" i="9"/>
  <c r="K98" i="9"/>
  <c r="I99" i="9"/>
  <c r="J99" i="9"/>
  <c r="K99" i="9"/>
  <c r="I100" i="9"/>
  <c r="J100" i="9"/>
  <c r="K100" i="9"/>
  <c r="I101" i="9"/>
  <c r="J101" i="9"/>
  <c r="K101" i="9"/>
  <c r="I102" i="9"/>
  <c r="J102" i="9"/>
  <c r="K102" i="9"/>
  <c r="I103" i="9"/>
  <c r="J103" i="9"/>
  <c r="K103" i="9"/>
  <c r="I104" i="9"/>
  <c r="J104" i="9"/>
  <c r="K104" i="9"/>
  <c r="I105" i="9"/>
  <c r="J105" i="9"/>
  <c r="K105" i="9"/>
  <c r="I106" i="9"/>
  <c r="J106" i="9"/>
  <c r="K106" i="9"/>
  <c r="I107" i="9"/>
  <c r="J107" i="9"/>
  <c r="K107" i="9"/>
  <c r="I108" i="9"/>
  <c r="J108" i="9"/>
  <c r="K108" i="9"/>
  <c r="I109" i="9"/>
  <c r="J109" i="9"/>
  <c r="K109" i="9"/>
  <c r="I110" i="9"/>
  <c r="J110" i="9"/>
  <c r="K110" i="9"/>
  <c r="I111" i="9"/>
  <c r="J111" i="9"/>
  <c r="K111" i="9"/>
  <c r="I112" i="9"/>
  <c r="J112" i="9"/>
  <c r="K112" i="9"/>
  <c r="I113" i="9"/>
  <c r="J113" i="9"/>
  <c r="K113" i="9"/>
  <c r="I114" i="9"/>
  <c r="J114" i="9"/>
  <c r="K114" i="9"/>
  <c r="I115" i="9"/>
  <c r="J115" i="9"/>
  <c r="K115" i="9"/>
  <c r="I116" i="9"/>
  <c r="J116" i="9"/>
  <c r="K116" i="9"/>
  <c r="I117" i="9"/>
  <c r="J117" i="9"/>
  <c r="K117" i="9"/>
  <c r="I118" i="9"/>
  <c r="J118" i="9"/>
  <c r="K118" i="9"/>
  <c r="I119" i="9"/>
  <c r="J119" i="9"/>
  <c r="K119" i="9"/>
  <c r="I120" i="9"/>
  <c r="J120" i="9"/>
  <c r="K120" i="9"/>
  <c r="I121" i="9"/>
  <c r="J121" i="9"/>
  <c r="K121" i="9"/>
  <c r="I122" i="9"/>
  <c r="J122" i="9"/>
  <c r="K122" i="9"/>
  <c r="I123" i="9"/>
  <c r="J123" i="9"/>
  <c r="K123" i="9"/>
  <c r="I124" i="9"/>
  <c r="J124" i="9"/>
  <c r="K124" i="9"/>
  <c r="I125" i="9"/>
  <c r="J125" i="9"/>
  <c r="K125" i="9"/>
  <c r="I126" i="9"/>
  <c r="J126" i="9"/>
  <c r="K126" i="9"/>
  <c r="I127" i="9"/>
  <c r="J127" i="9"/>
  <c r="K127" i="9"/>
  <c r="I128" i="9"/>
  <c r="J128" i="9"/>
  <c r="K128" i="9"/>
  <c r="I129" i="9"/>
  <c r="J129" i="9"/>
  <c r="K129" i="9"/>
  <c r="I130" i="9"/>
  <c r="J130" i="9"/>
  <c r="K130" i="9"/>
  <c r="I131" i="9"/>
  <c r="J131" i="9"/>
  <c r="K131" i="9"/>
  <c r="I132" i="9"/>
  <c r="J132" i="9"/>
  <c r="K132" i="9"/>
  <c r="I133" i="9"/>
  <c r="J133" i="9"/>
  <c r="K133" i="9"/>
  <c r="I134" i="9"/>
  <c r="J134" i="9"/>
  <c r="K134" i="9"/>
  <c r="I135" i="9"/>
  <c r="J135" i="9"/>
  <c r="K135" i="9"/>
  <c r="I136" i="9"/>
  <c r="J136" i="9"/>
  <c r="K136" i="9"/>
  <c r="I137" i="9"/>
  <c r="J137" i="9"/>
  <c r="K137" i="9"/>
  <c r="I138" i="9"/>
  <c r="J138" i="9"/>
  <c r="K138" i="9"/>
  <c r="I139" i="9"/>
  <c r="J139" i="9"/>
  <c r="K139" i="9"/>
  <c r="I140" i="9"/>
  <c r="J140" i="9"/>
  <c r="K140" i="9"/>
  <c r="I141" i="9"/>
  <c r="J141" i="9"/>
  <c r="K141" i="9"/>
  <c r="I142" i="9"/>
  <c r="J142" i="9"/>
  <c r="K142" i="9"/>
  <c r="I143" i="9"/>
  <c r="J143" i="9"/>
  <c r="K143" i="9"/>
  <c r="I144" i="9"/>
  <c r="J144" i="9"/>
  <c r="K144" i="9"/>
  <c r="I145" i="9"/>
  <c r="J145" i="9"/>
  <c r="K145" i="9"/>
  <c r="I146" i="9"/>
  <c r="J146" i="9"/>
  <c r="K146" i="9"/>
  <c r="I147" i="9"/>
  <c r="J147" i="9"/>
  <c r="K147" i="9"/>
  <c r="I148" i="9"/>
  <c r="J148" i="9"/>
  <c r="K148" i="9"/>
  <c r="I149" i="9"/>
  <c r="J149" i="9"/>
  <c r="K149" i="9"/>
  <c r="I150" i="9"/>
  <c r="J150" i="9"/>
  <c r="K150" i="9"/>
  <c r="I151" i="9"/>
  <c r="J151" i="9"/>
  <c r="K151" i="9"/>
  <c r="I152" i="9"/>
  <c r="J152" i="9"/>
  <c r="K152" i="9"/>
  <c r="I153" i="9"/>
  <c r="J153" i="9"/>
  <c r="K153" i="9"/>
  <c r="I154" i="9"/>
  <c r="J154" i="9"/>
  <c r="K154" i="9"/>
  <c r="I155" i="9"/>
  <c r="J155" i="9"/>
  <c r="K155" i="9"/>
  <c r="I156" i="9"/>
  <c r="J156" i="9"/>
  <c r="K156" i="9"/>
  <c r="I157" i="9"/>
  <c r="J157" i="9"/>
  <c r="K157" i="9"/>
  <c r="I158" i="9"/>
  <c r="J158" i="9"/>
  <c r="K158" i="9"/>
  <c r="I159" i="9"/>
  <c r="J159" i="9"/>
  <c r="K159" i="9"/>
  <c r="I160" i="9"/>
  <c r="J160" i="9"/>
  <c r="K160" i="9"/>
  <c r="I161" i="9"/>
  <c r="J161" i="9"/>
  <c r="K161" i="9"/>
  <c r="I162" i="9"/>
  <c r="J162" i="9"/>
  <c r="K162" i="9"/>
  <c r="I163" i="9"/>
  <c r="J163" i="9"/>
  <c r="K163" i="9"/>
  <c r="I164" i="9"/>
  <c r="J164" i="9"/>
  <c r="K164" i="9"/>
  <c r="I165" i="9"/>
  <c r="J165" i="9"/>
  <c r="K165" i="9"/>
  <c r="I166" i="9"/>
  <c r="J166" i="9"/>
  <c r="K166" i="9"/>
  <c r="I167" i="9"/>
  <c r="J167" i="9"/>
  <c r="K167" i="9"/>
  <c r="I168" i="9"/>
  <c r="J168" i="9"/>
  <c r="K168" i="9"/>
  <c r="I169" i="9"/>
  <c r="J169" i="9"/>
  <c r="K169" i="9"/>
  <c r="I170" i="9"/>
  <c r="J170" i="9"/>
  <c r="K170" i="9"/>
  <c r="I171" i="9"/>
  <c r="J171" i="9"/>
  <c r="K171" i="9"/>
  <c r="I172" i="9"/>
  <c r="J172" i="9"/>
  <c r="K172" i="9"/>
  <c r="I173" i="9"/>
  <c r="J173" i="9"/>
  <c r="K173" i="9"/>
  <c r="I174" i="9"/>
  <c r="J174" i="9"/>
  <c r="K174" i="9"/>
  <c r="I175" i="9"/>
  <c r="J175" i="9"/>
  <c r="K175" i="9"/>
  <c r="I176" i="9"/>
  <c r="J176" i="9"/>
  <c r="K176" i="9"/>
  <c r="I177" i="9"/>
  <c r="J177" i="9"/>
  <c r="K177" i="9"/>
  <c r="I178" i="9"/>
  <c r="J178" i="9"/>
  <c r="K178" i="9"/>
  <c r="I179" i="9"/>
  <c r="J179" i="9"/>
  <c r="K179" i="9"/>
  <c r="I180" i="9"/>
  <c r="J180" i="9"/>
  <c r="K180" i="9"/>
  <c r="I181" i="9"/>
  <c r="J181" i="9"/>
  <c r="K181" i="9"/>
  <c r="I182" i="9"/>
  <c r="J182" i="9"/>
  <c r="K182" i="9"/>
  <c r="I183" i="9"/>
  <c r="J183" i="9"/>
  <c r="K183" i="9"/>
  <c r="I184" i="9"/>
  <c r="J184" i="9"/>
  <c r="K184" i="9"/>
  <c r="I185" i="9"/>
  <c r="J185" i="9"/>
  <c r="K185" i="9"/>
  <c r="I186" i="9"/>
  <c r="J186" i="9"/>
  <c r="K186" i="9"/>
  <c r="I187" i="9"/>
  <c r="J187" i="9"/>
  <c r="K187" i="9"/>
  <c r="I188" i="9"/>
  <c r="J188" i="9"/>
  <c r="K188" i="9"/>
  <c r="I189" i="9"/>
  <c r="J189" i="9"/>
  <c r="K189" i="9"/>
  <c r="I190" i="9"/>
  <c r="J190" i="9"/>
  <c r="K190" i="9"/>
  <c r="I191" i="9"/>
  <c r="J191" i="9"/>
  <c r="K191" i="9"/>
  <c r="I192" i="9"/>
  <c r="J192" i="9"/>
  <c r="K192" i="9"/>
  <c r="I193" i="9"/>
  <c r="J193" i="9"/>
  <c r="K193" i="9"/>
  <c r="I194" i="9"/>
  <c r="J194" i="9"/>
  <c r="K194" i="9"/>
  <c r="I195" i="9"/>
  <c r="J195" i="9"/>
  <c r="K195" i="9"/>
  <c r="I196" i="9"/>
  <c r="J196" i="9"/>
  <c r="K196" i="9"/>
  <c r="I197" i="9"/>
  <c r="J197" i="9"/>
  <c r="K197" i="9"/>
  <c r="I198" i="9"/>
  <c r="J198" i="9"/>
  <c r="K198" i="9"/>
  <c r="I199" i="9"/>
  <c r="J199" i="9"/>
  <c r="K199" i="9"/>
  <c r="I200" i="9"/>
  <c r="J200" i="9"/>
  <c r="K200" i="9"/>
  <c r="I201" i="9"/>
  <c r="J201" i="9"/>
  <c r="K201" i="9"/>
  <c r="I202" i="9"/>
  <c r="J202" i="9"/>
  <c r="K202" i="9"/>
  <c r="I203" i="9"/>
  <c r="J203" i="9"/>
  <c r="K203" i="9"/>
  <c r="I204" i="9"/>
  <c r="J204" i="9"/>
  <c r="K204" i="9"/>
  <c r="I205" i="9"/>
  <c r="J205" i="9"/>
  <c r="K205" i="9"/>
  <c r="I206" i="9"/>
  <c r="J206" i="9"/>
  <c r="K206" i="9"/>
  <c r="I207" i="9"/>
  <c r="J207" i="9"/>
  <c r="K207" i="9"/>
  <c r="I208" i="9"/>
  <c r="J208" i="9"/>
  <c r="K208" i="9"/>
  <c r="I209" i="9"/>
  <c r="J209" i="9"/>
  <c r="K209" i="9"/>
  <c r="I210" i="9"/>
  <c r="J210" i="9"/>
  <c r="K210" i="9"/>
  <c r="I211" i="9"/>
  <c r="J211" i="9"/>
  <c r="K211" i="9"/>
  <c r="I212" i="9"/>
  <c r="J212" i="9"/>
  <c r="K212" i="9"/>
  <c r="I213" i="9"/>
  <c r="J213" i="9"/>
  <c r="K213" i="9"/>
  <c r="I214" i="9"/>
  <c r="J214" i="9"/>
  <c r="K214" i="9"/>
  <c r="I215" i="9"/>
  <c r="J215" i="9"/>
  <c r="K215" i="9"/>
  <c r="I216" i="9"/>
  <c r="J216" i="9"/>
  <c r="K216" i="9"/>
  <c r="I217" i="9"/>
  <c r="J217" i="9"/>
  <c r="K217" i="9"/>
  <c r="I218" i="9"/>
  <c r="J218" i="9"/>
  <c r="K218" i="9"/>
  <c r="I219" i="9"/>
  <c r="J219" i="9"/>
  <c r="K219" i="9"/>
  <c r="I220" i="9"/>
  <c r="J220" i="9"/>
  <c r="K220" i="9"/>
  <c r="I221" i="9"/>
  <c r="J221" i="9"/>
  <c r="K221" i="9"/>
  <c r="I222" i="9"/>
  <c r="J222" i="9"/>
  <c r="K222" i="9"/>
  <c r="I223" i="9"/>
  <c r="J223" i="9"/>
  <c r="K223" i="9"/>
  <c r="I224" i="9"/>
  <c r="J224" i="9"/>
  <c r="K224" i="9"/>
  <c r="I225" i="9"/>
  <c r="J225" i="9"/>
  <c r="K225" i="9"/>
  <c r="I226" i="9"/>
  <c r="J226" i="9"/>
  <c r="K226" i="9"/>
  <c r="I227" i="9"/>
  <c r="J227" i="9"/>
  <c r="K227" i="9"/>
  <c r="I228" i="9"/>
  <c r="J228" i="9"/>
  <c r="K228" i="9"/>
  <c r="I229" i="9"/>
  <c r="J229" i="9"/>
  <c r="K229" i="9"/>
  <c r="I230" i="9"/>
  <c r="J230" i="9"/>
  <c r="K230" i="9"/>
  <c r="I231" i="9"/>
  <c r="J231" i="9"/>
  <c r="K231" i="9"/>
  <c r="I232" i="9"/>
  <c r="J232" i="9"/>
  <c r="K232" i="9"/>
  <c r="I233" i="9"/>
  <c r="J233" i="9"/>
  <c r="K233" i="9"/>
  <c r="I234" i="9"/>
  <c r="J234" i="9"/>
  <c r="K234" i="9"/>
  <c r="I235" i="9"/>
  <c r="J235" i="9"/>
  <c r="K235" i="9"/>
  <c r="I236" i="9"/>
  <c r="J236" i="9"/>
  <c r="K236" i="9"/>
  <c r="I237" i="9"/>
  <c r="J237" i="9"/>
  <c r="K237" i="9"/>
  <c r="I238" i="9"/>
  <c r="J238" i="9"/>
  <c r="K238" i="9"/>
  <c r="I239" i="9"/>
  <c r="J239" i="9"/>
  <c r="K239" i="9"/>
  <c r="I240" i="9"/>
  <c r="J240" i="9"/>
  <c r="K240" i="9"/>
  <c r="I241" i="9"/>
  <c r="J241" i="9"/>
  <c r="K241" i="9"/>
  <c r="I242" i="9"/>
  <c r="J242" i="9"/>
  <c r="K242" i="9"/>
  <c r="I243" i="9"/>
  <c r="J243" i="9"/>
  <c r="K243" i="9"/>
  <c r="I244" i="9"/>
  <c r="J244" i="9"/>
  <c r="K244" i="9"/>
  <c r="I245" i="9"/>
  <c r="J245" i="9"/>
  <c r="K245" i="9"/>
  <c r="I246" i="9"/>
  <c r="J246" i="9"/>
  <c r="K246" i="9"/>
  <c r="I247" i="9"/>
  <c r="J247" i="9"/>
  <c r="K247" i="9"/>
  <c r="I248" i="9"/>
  <c r="J248" i="9"/>
  <c r="K248" i="9"/>
  <c r="I249" i="9"/>
  <c r="J249" i="9"/>
  <c r="K249" i="9"/>
  <c r="I250" i="9"/>
  <c r="J250" i="9"/>
  <c r="K250" i="9"/>
  <c r="I251" i="9"/>
  <c r="J251" i="9"/>
  <c r="K251" i="9"/>
  <c r="I252" i="9"/>
  <c r="J252" i="9"/>
  <c r="K252" i="9"/>
  <c r="I253" i="9"/>
  <c r="J253" i="9"/>
  <c r="K253" i="9"/>
  <c r="I254" i="9"/>
  <c r="J254" i="9"/>
  <c r="K254" i="9"/>
  <c r="I255" i="9"/>
  <c r="J255" i="9"/>
  <c r="K255" i="9"/>
  <c r="N48" i="12"/>
  <c r="M48" i="12"/>
  <c r="L48" i="12"/>
  <c r="K48" i="12"/>
  <c r="J48" i="12"/>
  <c r="I48" i="12"/>
  <c r="H48" i="12"/>
  <c r="G48" i="12"/>
  <c r="F48" i="12"/>
  <c r="E48" i="12"/>
  <c r="D48" i="12"/>
  <c r="C48" i="12"/>
  <c r="N28" i="12"/>
  <c r="M28" i="12"/>
  <c r="L28" i="12"/>
  <c r="K28" i="12"/>
  <c r="J28" i="12"/>
  <c r="I28" i="12"/>
  <c r="H28" i="12"/>
  <c r="G28" i="12"/>
  <c r="F28" i="12"/>
  <c r="E28" i="12"/>
  <c r="D28" i="12"/>
  <c r="C28" i="12"/>
  <c r="N47" i="12"/>
  <c r="N27" i="12"/>
  <c r="N255" i="9"/>
  <c r="O255" i="9"/>
  <c r="C26" i="12"/>
  <c r="D26" i="12"/>
  <c r="E26" i="12"/>
  <c r="F26" i="12"/>
  <c r="G26" i="12"/>
  <c r="H26" i="12"/>
  <c r="I26" i="12"/>
  <c r="J26" i="12"/>
  <c r="K26" i="12"/>
  <c r="L26" i="12"/>
  <c r="M26" i="12"/>
  <c r="N26" i="12"/>
  <c r="C27" i="12"/>
  <c r="D27" i="12"/>
  <c r="E27" i="12"/>
  <c r="F27" i="12"/>
  <c r="G27" i="12"/>
  <c r="H27" i="12"/>
  <c r="I27" i="12"/>
  <c r="J27" i="12"/>
  <c r="K27" i="12"/>
  <c r="L27" i="12"/>
  <c r="M27" i="12"/>
  <c r="M47" i="12"/>
  <c r="N254" i="9"/>
  <c r="O254" i="9"/>
  <c r="L47" i="12"/>
  <c r="M253" i="9"/>
  <c r="N253" i="9"/>
  <c r="O253" i="9"/>
  <c r="K47" i="12"/>
  <c r="M252" i="9"/>
  <c r="N252" i="9"/>
  <c r="O252" i="9"/>
  <c r="J47" i="12"/>
  <c r="M251" i="9"/>
  <c r="N251" i="9"/>
  <c r="O251" i="9"/>
  <c r="I47" i="12"/>
  <c r="M250" i="9"/>
  <c r="N250" i="9"/>
  <c r="O250" i="9"/>
  <c r="M249" i="9"/>
  <c r="N249" i="9"/>
  <c r="O249" i="9"/>
  <c r="H47" i="12"/>
  <c r="G47" i="12"/>
  <c r="M248" i="9"/>
  <c r="N248" i="9"/>
  <c r="O248" i="9"/>
  <c r="O247" i="9"/>
  <c r="N247" i="9"/>
  <c r="M247" i="9"/>
  <c r="O246" i="9"/>
  <c r="N246" i="9"/>
  <c r="M246" i="9"/>
  <c r="O245" i="9"/>
  <c r="N245" i="9"/>
  <c r="M245" i="9"/>
  <c r="O244" i="9"/>
  <c r="N244" i="9"/>
  <c r="M244" i="9"/>
  <c r="F47" i="12"/>
  <c r="E47" i="12"/>
  <c r="D47" i="12"/>
  <c r="C47" i="12"/>
  <c r="N46" i="12"/>
  <c r="M242" i="9"/>
  <c r="N242" i="9"/>
  <c r="O242" i="9"/>
  <c r="M243" i="9"/>
  <c r="N243" i="9"/>
  <c r="O243" i="9"/>
  <c r="N241" i="9"/>
  <c r="O241" i="9"/>
  <c r="M46" i="12"/>
  <c r="L46" i="12"/>
  <c r="M241" i="9"/>
  <c r="M240" i="9"/>
  <c r="N240" i="9"/>
  <c r="O240" i="9"/>
  <c r="K46" i="12"/>
  <c r="M239" i="9"/>
  <c r="N239" i="9"/>
  <c r="O239" i="9"/>
  <c r="J46" i="12"/>
  <c r="M238" i="9"/>
  <c r="N238" i="9"/>
  <c r="O238" i="9"/>
  <c r="I46" i="12"/>
  <c r="N237" i="9"/>
  <c r="O237" i="9"/>
  <c r="M237" i="9"/>
  <c r="H46" i="12"/>
  <c r="G46" i="12"/>
  <c r="M236" i="9"/>
  <c r="N236" i="9"/>
  <c r="O236" i="9"/>
  <c r="J5" i="24"/>
  <c r="K5" i="24"/>
  <c r="L5" i="24"/>
  <c r="G6" i="24"/>
  <c r="H6" i="24"/>
  <c r="K6" i="24" s="1"/>
  <c r="I6" i="24"/>
  <c r="L6" i="24" s="1"/>
  <c r="I5" i="9"/>
  <c r="J5" i="9"/>
  <c r="K5" i="9"/>
  <c r="I6" i="9"/>
  <c r="J6" i="9"/>
  <c r="K6" i="9"/>
  <c r="M6" i="9"/>
  <c r="N6" i="9"/>
  <c r="O6" i="9"/>
  <c r="I7" i="9"/>
  <c r="J7" i="9"/>
  <c r="K7" i="9"/>
  <c r="M7" i="9"/>
  <c r="Q7" i="9" s="1"/>
  <c r="N7" i="9"/>
  <c r="R7" i="9" s="1"/>
  <c r="O7" i="9"/>
  <c r="S7" i="9" s="1"/>
  <c r="I8" i="9"/>
  <c r="J8" i="9"/>
  <c r="K8" i="9"/>
  <c r="M8" i="9"/>
  <c r="N8" i="9"/>
  <c r="O8" i="9"/>
  <c r="S8" i="9" s="1"/>
  <c r="I9" i="9"/>
  <c r="J9" i="9"/>
  <c r="K9" i="9"/>
  <c r="M9" i="9"/>
  <c r="Q9" i="9"/>
  <c r="N9" i="9"/>
  <c r="R9" i="9" s="1"/>
  <c r="O9" i="9"/>
  <c r="I10" i="9"/>
  <c r="J10" i="9"/>
  <c r="K10" i="9"/>
  <c r="M10" i="9"/>
  <c r="Q10" i="9"/>
  <c r="N10" i="9"/>
  <c r="O10" i="9"/>
  <c r="AA11" i="9"/>
  <c r="I11" i="9"/>
  <c r="J11" i="9"/>
  <c r="K11" i="9"/>
  <c r="M11" i="9"/>
  <c r="Q11" i="9" s="1"/>
  <c r="N11" i="9"/>
  <c r="O11" i="9"/>
  <c r="Y11" i="9"/>
  <c r="I12" i="9"/>
  <c r="J12" i="9"/>
  <c r="K12" i="9"/>
  <c r="M12" i="9"/>
  <c r="Q12" i="9" s="1"/>
  <c r="N12" i="9"/>
  <c r="R12" i="9"/>
  <c r="O12" i="9"/>
  <c r="S12" i="9" s="1"/>
  <c r="Z12" i="9"/>
  <c r="AA12" i="9"/>
  <c r="I13" i="9"/>
  <c r="J13" i="9"/>
  <c r="K13" i="9"/>
  <c r="M13" i="9"/>
  <c r="N13" i="9"/>
  <c r="R13" i="9" s="1"/>
  <c r="O13" i="9"/>
  <c r="S13" i="9" s="1"/>
  <c r="I14" i="9"/>
  <c r="J14" i="9"/>
  <c r="K14" i="9"/>
  <c r="M14" i="9"/>
  <c r="Q14" i="9" s="1"/>
  <c r="N14" i="9"/>
  <c r="O14" i="9"/>
  <c r="Z15" i="9"/>
  <c r="I15" i="9"/>
  <c r="J15" i="9"/>
  <c r="K15" i="9"/>
  <c r="M15" i="9"/>
  <c r="N15" i="9"/>
  <c r="R16" i="9" s="1"/>
  <c r="O15" i="9"/>
  <c r="S16" i="9" s="1"/>
  <c r="AA15" i="9"/>
  <c r="I16" i="9"/>
  <c r="J16" i="9"/>
  <c r="K16" i="9"/>
  <c r="M16" i="9"/>
  <c r="N16" i="9"/>
  <c r="O16" i="9"/>
  <c r="AA16" i="9"/>
  <c r="I17" i="9"/>
  <c r="J17" i="9"/>
  <c r="K17" i="9"/>
  <c r="M17" i="9"/>
  <c r="N17" i="9"/>
  <c r="O17" i="9"/>
  <c r="Y17" i="9"/>
  <c r="I18" i="9"/>
  <c r="J18" i="9"/>
  <c r="K18" i="9"/>
  <c r="M18" i="9"/>
  <c r="Q18" i="9" s="1"/>
  <c r="N18" i="9"/>
  <c r="O18" i="9"/>
  <c r="S18" i="9" s="1"/>
  <c r="Y18" i="9"/>
  <c r="I19" i="9"/>
  <c r="J19" i="9"/>
  <c r="K19" i="9"/>
  <c r="M19" i="9"/>
  <c r="N19" i="9"/>
  <c r="R20" i="9" s="1"/>
  <c r="O19" i="9"/>
  <c r="I20" i="9"/>
  <c r="J20" i="9"/>
  <c r="K20" i="9"/>
  <c r="M20" i="9"/>
  <c r="N20" i="9"/>
  <c r="O20" i="9"/>
  <c r="Y21" i="9"/>
  <c r="Z20" i="9"/>
  <c r="I21" i="9"/>
  <c r="J21" i="9"/>
  <c r="K21" i="9"/>
  <c r="M21" i="9"/>
  <c r="Q22" i="9" s="1"/>
  <c r="N21" i="9"/>
  <c r="R21" i="9" s="1"/>
  <c r="O21" i="9"/>
  <c r="Z21" i="9"/>
  <c r="I22" i="9"/>
  <c r="J22" i="9"/>
  <c r="K22" i="9"/>
  <c r="M22" i="9"/>
  <c r="N22" i="9"/>
  <c r="R22" i="9" s="1"/>
  <c r="O22" i="9"/>
  <c r="Y22" i="9"/>
  <c r="I23" i="9"/>
  <c r="J23" i="9"/>
  <c r="K23" i="9"/>
  <c r="M23" i="9"/>
  <c r="Q23" i="9" s="1"/>
  <c r="N23" i="9"/>
  <c r="R23" i="9" s="1"/>
  <c r="O23" i="9"/>
  <c r="I24" i="9"/>
  <c r="J24" i="9"/>
  <c r="K24" i="9"/>
  <c r="M24" i="9"/>
  <c r="N24" i="9"/>
  <c r="O24" i="9"/>
  <c r="I25" i="9"/>
  <c r="J25" i="9"/>
  <c r="K25" i="9"/>
  <c r="M25" i="9"/>
  <c r="Q25" i="9" s="1"/>
  <c r="N25" i="9"/>
  <c r="R25" i="9" s="1"/>
  <c r="O25" i="9"/>
  <c r="I26" i="9"/>
  <c r="J26" i="9"/>
  <c r="K26" i="9"/>
  <c r="M26" i="9"/>
  <c r="N26" i="9"/>
  <c r="R26" i="9" s="1"/>
  <c r="O26" i="9"/>
  <c r="Y27" i="9"/>
  <c r="Z26" i="9"/>
  <c r="I27" i="9"/>
  <c r="J27" i="9"/>
  <c r="K27" i="9"/>
  <c r="M27" i="9"/>
  <c r="Q28" i="9" s="1"/>
  <c r="N27" i="9"/>
  <c r="R28" i="9" s="1"/>
  <c r="O27" i="9"/>
  <c r="Z27" i="9"/>
  <c r="I28" i="9"/>
  <c r="J28" i="9"/>
  <c r="K28" i="9"/>
  <c r="M28" i="9"/>
  <c r="N28" i="9"/>
  <c r="O28" i="9"/>
  <c r="Z28" i="9"/>
  <c r="I29" i="9"/>
  <c r="J29" i="9"/>
  <c r="K29" i="9"/>
  <c r="M29" i="9"/>
  <c r="Q29" i="9" s="1"/>
  <c r="N29" i="9"/>
  <c r="O29" i="9"/>
  <c r="I30" i="9"/>
  <c r="J30" i="9"/>
  <c r="K30" i="9"/>
  <c r="M30" i="9"/>
  <c r="N30" i="9"/>
  <c r="R30" i="9" s="1"/>
  <c r="O30" i="9"/>
  <c r="Z30" i="9"/>
  <c r="I31" i="9"/>
  <c r="J31" i="9"/>
  <c r="K31" i="9"/>
  <c r="M31" i="9"/>
  <c r="Q31" i="9" s="1"/>
  <c r="N31" i="9"/>
  <c r="R32" i="9" s="1"/>
  <c r="O31" i="9"/>
  <c r="Y31" i="9"/>
  <c r="I32" i="9"/>
  <c r="J32" i="9"/>
  <c r="K32" i="9"/>
  <c r="M32" i="9"/>
  <c r="N32" i="9"/>
  <c r="O32" i="9"/>
  <c r="S32" i="9" s="1"/>
  <c r="Y32" i="9"/>
  <c r="I33" i="9"/>
  <c r="J33" i="9"/>
  <c r="K33" i="9"/>
  <c r="M33" i="9"/>
  <c r="Q33" i="9" s="1"/>
  <c r="N33" i="9"/>
  <c r="O33" i="9"/>
  <c r="AA34" i="9"/>
  <c r="I34" i="9"/>
  <c r="J34" i="9"/>
  <c r="K34" i="9"/>
  <c r="M34" i="9"/>
  <c r="N34" i="9"/>
  <c r="R35" i="9" s="1"/>
  <c r="O34" i="9"/>
  <c r="S34" i="9" s="1"/>
  <c r="Z34" i="9"/>
  <c r="I35" i="9"/>
  <c r="J35" i="9"/>
  <c r="K35" i="9"/>
  <c r="M35" i="9"/>
  <c r="Q35" i="9" s="1"/>
  <c r="N35" i="9"/>
  <c r="O35" i="9"/>
  <c r="I36" i="9"/>
  <c r="J36" i="9"/>
  <c r="K36" i="9"/>
  <c r="M36" i="9"/>
  <c r="N36" i="9"/>
  <c r="R37" i="9" s="1"/>
  <c r="O36" i="9"/>
  <c r="S36" i="9" s="1"/>
  <c r="AA36" i="9"/>
  <c r="I37" i="9"/>
  <c r="J37" i="9"/>
  <c r="K37" i="9"/>
  <c r="M37" i="9"/>
  <c r="N37" i="9"/>
  <c r="O37" i="9"/>
  <c r="S37" i="9" s="1"/>
  <c r="Z38" i="9"/>
  <c r="AA37" i="9"/>
  <c r="I38" i="9"/>
  <c r="J38" i="9"/>
  <c r="K38" i="9"/>
  <c r="M38" i="9"/>
  <c r="N38" i="9"/>
  <c r="R39" i="9" s="1"/>
  <c r="O38" i="9"/>
  <c r="I39" i="9"/>
  <c r="J39" i="9"/>
  <c r="K39" i="9"/>
  <c r="M39" i="9"/>
  <c r="N39" i="9"/>
  <c r="O39" i="9"/>
  <c r="S39" i="9" s="1"/>
  <c r="AA40" i="9"/>
  <c r="I40" i="9"/>
  <c r="J40" i="9"/>
  <c r="K40" i="9"/>
  <c r="M40" i="9"/>
  <c r="N40" i="9"/>
  <c r="O40" i="9"/>
  <c r="S40" i="9" s="1"/>
  <c r="I41" i="9"/>
  <c r="J41" i="9"/>
  <c r="K41" i="9"/>
  <c r="M41" i="9"/>
  <c r="N41" i="9"/>
  <c r="R41" i="9" s="1"/>
  <c r="O41" i="9"/>
  <c r="Y41" i="9"/>
  <c r="Z41" i="9"/>
  <c r="AA42" i="9"/>
  <c r="I42" i="9"/>
  <c r="J42" i="9"/>
  <c r="K42" i="9"/>
  <c r="M42" i="9"/>
  <c r="Q43" i="9" s="1"/>
  <c r="N42" i="9"/>
  <c r="R43" i="9" s="1"/>
  <c r="O42" i="9"/>
  <c r="S42" i="9" s="1"/>
  <c r="Z42" i="9"/>
  <c r="I43" i="9"/>
  <c r="J43" i="9"/>
  <c r="K43" i="9"/>
  <c r="M43" i="9"/>
  <c r="N43" i="9"/>
  <c r="O43" i="9"/>
  <c r="Z43" i="9"/>
  <c r="I44" i="9"/>
  <c r="J44" i="9"/>
  <c r="K44" i="9"/>
  <c r="M44" i="9"/>
  <c r="N44" i="9"/>
  <c r="O44" i="9"/>
  <c r="I45" i="9"/>
  <c r="J45" i="9"/>
  <c r="K45" i="9"/>
  <c r="M45" i="9"/>
  <c r="N45" i="9"/>
  <c r="O45" i="9"/>
  <c r="Y45" i="9"/>
  <c r="Z45" i="9"/>
  <c r="AA45" i="9"/>
  <c r="I46" i="9"/>
  <c r="J46" i="9"/>
  <c r="K46" i="9"/>
  <c r="M46" i="9"/>
  <c r="Q46" i="9" s="1"/>
  <c r="N46" i="9"/>
  <c r="R47" i="9" s="1"/>
  <c r="O46" i="9"/>
  <c r="S46" i="9" s="1"/>
  <c r="Y46" i="9"/>
  <c r="I47" i="9"/>
  <c r="J47" i="9"/>
  <c r="K47" i="9"/>
  <c r="M47" i="9"/>
  <c r="Q47" i="9" s="1"/>
  <c r="N47" i="9"/>
  <c r="O47" i="9"/>
  <c r="AA48" i="9"/>
  <c r="I48" i="9"/>
  <c r="J48" i="9"/>
  <c r="K48" i="9"/>
  <c r="M48" i="9"/>
  <c r="N48" i="9"/>
  <c r="O48" i="9"/>
  <c r="S49" i="9" s="1"/>
  <c r="Y48" i="9"/>
  <c r="I49" i="9"/>
  <c r="J49" i="9"/>
  <c r="K49" i="9"/>
  <c r="M49" i="9"/>
  <c r="Q50" i="9" s="1"/>
  <c r="N49" i="9"/>
  <c r="O49" i="9"/>
  <c r="I50" i="9"/>
  <c r="J50" i="9"/>
  <c r="K50" i="9"/>
  <c r="M50" i="9"/>
  <c r="N50" i="9"/>
  <c r="O50" i="9"/>
  <c r="I51" i="9"/>
  <c r="J51" i="9"/>
  <c r="K51" i="9"/>
  <c r="M51" i="9"/>
  <c r="N51" i="9"/>
  <c r="R51" i="9" s="1"/>
  <c r="O51" i="9"/>
  <c r="I52" i="9"/>
  <c r="J52" i="9"/>
  <c r="K52" i="9"/>
  <c r="M52" i="9"/>
  <c r="N52" i="9"/>
  <c r="O52" i="9"/>
  <c r="Y53" i="9"/>
  <c r="Z52" i="9"/>
  <c r="I53" i="9"/>
  <c r="J53" i="9"/>
  <c r="K53" i="9"/>
  <c r="M53" i="9"/>
  <c r="Q53" i="9" s="1"/>
  <c r="N53" i="9"/>
  <c r="O53" i="9"/>
  <c r="I54" i="9"/>
  <c r="J54" i="9"/>
  <c r="K54" i="9"/>
  <c r="M54" i="9"/>
  <c r="N54" i="9"/>
  <c r="R54" i="9" s="1"/>
  <c r="O54" i="9"/>
  <c r="Z54" i="9"/>
  <c r="I55" i="9"/>
  <c r="J55" i="9"/>
  <c r="K55" i="9"/>
  <c r="M55" i="9"/>
  <c r="Q55" i="9" s="1"/>
  <c r="N55" i="9"/>
  <c r="O55" i="9"/>
  <c r="I56" i="9"/>
  <c r="J56" i="9"/>
  <c r="K56" i="9"/>
  <c r="M56" i="9"/>
  <c r="N56" i="9"/>
  <c r="O56" i="9"/>
  <c r="Y56" i="9"/>
  <c r="Z57" i="9"/>
  <c r="I57" i="9"/>
  <c r="J57" i="9"/>
  <c r="K57" i="9"/>
  <c r="M57" i="9"/>
  <c r="Q57" i="9"/>
  <c r="N57" i="9"/>
  <c r="O57" i="9"/>
  <c r="Y57" i="9"/>
  <c r="I58" i="9"/>
  <c r="J58" i="9"/>
  <c r="K58" i="9"/>
  <c r="M58" i="9"/>
  <c r="N58" i="9"/>
  <c r="O58" i="9"/>
  <c r="S58" i="9" s="1"/>
  <c r="Y58" i="9"/>
  <c r="I59" i="9"/>
  <c r="J59" i="9"/>
  <c r="K59" i="9"/>
  <c r="M59" i="9"/>
  <c r="Q59" i="9" s="1"/>
  <c r="N59" i="9"/>
  <c r="O59" i="9"/>
  <c r="S60" i="9" s="1"/>
  <c r="Z59" i="9"/>
  <c r="AA60" i="9"/>
  <c r="I60" i="9"/>
  <c r="J60" i="9"/>
  <c r="K60" i="9"/>
  <c r="M60" i="9"/>
  <c r="Q61" i="9" s="1"/>
  <c r="N60" i="9"/>
  <c r="R60" i="9" s="1"/>
  <c r="O60" i="9"/>
  <c r="Z60" i="9"/>
  <c r="I61" i="9"/>
  <c r="J61" i="9"/>
  <c r="K61" i="9"/>
  <c r="M61" i="9"/>
  <c r="N61" i="9"/>
  <c r="O61" i="9"/>
  <c r="Z62" i="9"/>
  <c r="I62" i="9"/>
  <c r="J62" i="9"/>
  <c r="K62" i="9"/>
  <c r="M62" i="9"/>
  <c r="N62" i="9"/>
  <c r="R62" i="9" s="1"/>
  <c r="O62" i="9"/>
  <c r="Y62" i="9"/>
  <c r="M63" i="9"/>
  <c r="Q63" i="9" s="1"/>
  <c r="N63" i="9"/>
  <c r="O63" i="9"/>
  <c r="S63" i="9" s="1"/>
  <c r="Y63" i="9"/>
  <c r="Z63" i="9"/>
  <c r="M64" i="9"/>
  <c r="Q64" i="9" s="1"/>
  <c r="N64" i="9"/>
  <c r="R64" i="9" s="1"/>
  <c r="O64" i="9"/>
  <c r="S64" i="9" s="1"/>
  <c r="AA64" i="9"/>
  <c r="M65" i="9"/>
  <c r="N65" i="9"/>
  <c r="O65" i="9"/>
  <c r="S65" i="9" s="1"/>
  <c r="AA65" i="9"/>
  <c r="M66" i="9"/>
  <c r="N66" i="9"/>
  <c r="O66" i="9"/>
  <c r="M67" i="9"/>
  <c r="Q67" i="9" s="1"/>
  <c r="N67" i="9"/>
  <c r="O67" i="9"/>
  <c r="S67" i="9" s="1"/>
  <c r="Z67" i="9"/>
  <c r="AA67" i="9"/>
  <c r="M68" i="9"/>
  <c r="Q68" i="9" s="1"/>
  <c r="N68" i="9"/>
  <c r="O68" i="9"/>
  <c r="Y68" i="9"/>
  <c r="Z68" i="9"/>
  <c r="M69" i="9"/>
  <c r="Q69" i="9" s="1"/>
  <c r="N69" i="9"/>
  <c r="R69" i="9" s="1"/>
  <c r="O69" i="9"/>
  <c r="Y69" i="9"/>
  <c r="Z69" i="9"/>
  <c r="AA69" i="9"/>
  <c r="M70" i="9"/>
  <c r="Q70" i="9" s="1"/>
  <c r="N70" i="9"/>
  <c r="O70" i="9"/>
  <c r="Y70" i="9"/>
  <c r="AA70" i="9"/>
  <c r="M71" i="9"/>
  <c r="Q71" i="9" s="1"/>
  <c r="N71" i="9"/>
  <c r="O71" i="9"/>
  <c r="Z71" i="9"/>
  <c r="M72" i="9"/>
  <c r="N72" i="9"/>
  <c r="O72" i="9"/>
  <c r="S72" i="9" s="1"/>
  <c r="Y72" i="9"/>
  <c r="AA72" i="9"/>
  <c r="M73" i="9"/>
  <c r="N73" i="9"/>
  <c r="O73" i="9"/>
  <c r="S73" i="9" s="1"/>
  <c r="Z73" i="9"/>
  <c r="AA73" i="9"/>
  <c r="M74" i="9"/>
  <c r="Q74" i="9" s="1"/>
  <c r="N74" i="9"/>
  <c r="O74" i="9"/>
  <c r="Z74" i="9"/>
  <c r="M75" i="9"/>
  <c r="Q75" i="9" s="1"/>
  <c r="N75" i="9"/>
  <c r="R75" i="9" s="1"/>
  <c r="O75" i="9"/>
  <c r="S75" i="9" s="1"/>
  <c r="AA75" i="9"/>
  <c r="M76" i="9"/>
  <c r="Q76" i="9" s="1"/>
  <c r="N76" i="9"/>
  <c r="R76" i="9" s="1"/>
  <c r="O76" i="9"/>
  <c r="Z76" i="9"/>
  <c r="AA76" i="9"/>
  <c r="M77" i="9"/>
  <c r="N77" i="9"/>
  <c r="O77" i="9"/>
  <c r="M78" i="9"/>
  <c r="Q78" i="9" s="1"/>
  <c r="N78" i="9"/>
  <c r="O78" i="9"/>
  <c r="M79" i="9"/>
  <c r="Q79" i="9" s="1"/>
  <c r="N79" i="9"/>
  <c r="R79" i="9" s="1"/>
  <c r="O79" i="9"/>
  <c r="S79" i="9" s="1"/>
  <c r="Z79" i="9"/>
  <c r="AA79" i="9"/>
  <c r="M80" i="9"/>
  <c r="Q80" i="9" s="1"/>
  <c r="N80" i="9"/>
  <c r="O80" i="9"/>
  <c r="S80" i="9" s="1"/>
  <c r="Y80" i="9"/>
  <c r="M81" i="9"/>
  <c r="N81" i="9"/>
  <c r="R81" i="9" s="1"/>
  <c r="O81" i="9"/>
  <c r="Y81" i="9"/>
  <c r="Z81" i="9"/>
  <c r="M82" i="9"/>
  <c r="Q82" i="9" s="1"/>
  <c r="N82" i="9"/>
  <c r="R82" i="9" s="1"/>
  <c r="O82" i="9"/>
  <c r="Y82" i="9"/>
  <c r="Z82" i="9"/>
  <c r="AA82" i="9"/>
  <c r="M83" i="9"/>
  <c r="Q83" i="9" s="1"/>
  <c r="N83" i="9"/>
  <c r="O83" i="9"/>
  <c r="S83" i="9" s="1"/>
  <c r="AA83" i="9"/>
  <c r="M84" i="9"/>
  <c r="N84" i="9"/>
  <c r="O84" i="9"/>
  <c r="S84" i="9" s="1"/>
  <c r="Z84" i="9"/>
  <c r="AA84" i="9"/>
  <c r="M85" i="9"/>
  <c r="Q85" i="9" s="1"/>
  <c r="N85" i="9"/>
  <c r="R85" i="9" s="1"/>
  <c r="O85" i="9"/>
  <c r="S85" i="9" s="1"/>
  <c r="AA85" i="9"/>
  <c r="M86" i="9"/>
  <c r="N86" i="9"/>
  <c r="O86" i="9"/>
  <c r="S86" i="9" s="1"/>
  <c r="Y86" i="9"/>
  <c r="AA86" i="9"/>
  <c r="M87" i="9"/>
  <c r="N87" i="9"/>
  <c r="R87" i="9" s="1"/>
  <c r="O87" i="9"/>
  <c r="Z87" i="9"/>
  <c r="AA87" i="9"/>
  <c r="M88" i="9"/>
  <c r="N88" i="9"/>
  <c r="R88" i="9" s="1"/>
  <c r="O88" i="9"/>
  <c r="S88" i="9" s="1"/>
  <c r="Z88" i="9"/>
  <c r="M89" i="9"/>
  <c r="Q89" i="9" s="1"/>
  <c r="N89" i="9"/>
  <c r="O89" i="9"/>
  <c r="S89" i="9" s="1"/>
  <c r="Y89" i="9"/>
  <c r="AA89" i="9"/>
  <c r="M90" i="9"/>
  <c r="N90" i="9"/>
  <c r="O90" i="9"/>
  <c r="Z90" i="9"/>
  <c r="M91" i="9"/>
  <c r="N91" i="9"/>
  <c r="O91" i="9"/>
  <c r="Z91" i="9"/>
  <c r="AA91" i="9"/>
  <c r="M92" i="9"/>
  <c r="Q92" i="9" s="1"/>
  <c r="N92" i="9"/>
  <c r="O92" i="9"/>
  <c r="S92" i="9" s="1"/>
  <c r="Y92" i="9"/>
  <c r="AA92" i="9"/>
  <c r="M93" i="9"/>
  <c r="N93" i="9"/>
  <c r="O93" i="9"/>
  <c r="S93" i="9" s="1"/>
  <c r="M94" i="9"/>
  <c r="N94" i="9"/>
  <c r="R94" i="9" s="1"/>
  <c r="O94" i="9"/>
  <c r="S94" i="9" s="1"/>
  <c r="Y94" i="9"/>
  <c r="Z94" i="9"/>
  <c r="AA94" i="9"/>
  <c r="M95" i="9"/>
  <c r="Q95" i="9" s="1"/>
  <c r="N95" i="9"/>
  <c r="O95" i="9"/>
  <c r="S95" i="9" s="1"/>
  <c r="Y95" i="9"/>
  <c r="AA95" i="9"/>
  <c r="M96" i="9"/>
  <c r="N96" i="9"/>
  <c r="O96" i="9"/>
  <c r="S96" i="9" s="1"/>
  <c r="Y96" i="9"/>
  <c r="Z96" i="9"/>
  <c r="M97" i="9"/>
  <c r="Q97" i="9" s="1"/>
  <c r="N97" i="9"/>
  <c r="R97" i="9" s="1"/>
  <c r="O97" i="9"/>
  <c r="S97" i="9" s="1"/>
  <c r="Z97" i="9"/>
  <c r="AA97" i="9"/>
  <c r="M98" i="9"/>
  <c r="Q98" i="9" s="1"/>
  <c r="N98" i="9"/>
  <c r="O98" i="9"/>
  <c r="S98" i="9" s="1"/>
  <c r="AA98" i="9"/>
  <c r="M99" i="9"/>
  <c r="N99" i="9"/>
  <c r="R99" i="9" s="1"/>
  <c r="O99" i="9"/>
  <c r="Z99" i="9"/>
  <c r="M100" i="9"/>
  <c r="Q100" i="9" s="1"/>
  <c r="N100" i="9"/>
  <c r="R100" i="9" s="1"/>
  <c r="O100" i="9"/>
  <c r="S100" i="9" s="1"/>
  <c r="Y100" i="9"/>
  <c r="Z100" i="9"/>
  <c r="M101" i="9"/>
  <c r="N101" i="9"/>
  <c r="R101" i="9" s="1"/>
  <c r="O101" i="9"/>
  <c r="S101" i="9" s="1"/>
  <c r="Y101" i="9"/>
  <c r="AA101" i="9"/>
  <c r="M102" i="9"/>
  <c r="N102" i="9"/>
  <c r="O102" i="9"/>
  <c r="AA102" i="9"/>
  <c r="M103" i="9"/>
  <c r="N103" i="9"/>
  <c r="R103" i="9" s="1"/>
  <c r="O103" i="9"/>
  <c r="S103" i="9" s="1"/>
  <c r="M104" i="9"/>
  <c r="N104" i="9"/>
  <c r="O104" i="9"/>
  <c r="S104" i="9" s="1"/>
  <c r="Z104" i="9"/>
  <c r="M105" i="9"/>
  <c r="N105" i="9"/>
  <c r="O105" i="9"/>
  <c r="AA105" i="9"/>
  <c r="M106" i="9"/>
  <c r="N106" i="9"/>
  <c r="R106" i="9" s="1"/>
  <c r="O106" i="9"/>
  <c r="Z106" i="9"/>
  <c r="AA106" i="9"/>
  <c r="M107" i="9"/>
  <c r="Q107" i="9" s="1"/>
  <c r="N107" i="9"/>
  <c r="R107" i="9" s="1"/>
  <c r="O107" i="9"/>
  <c r="Z107" i="9"/>
  <c r="M108" i="9"/>
  <c r="N108" i="9"/>
  <c r="R108" i="9" s="1"/>
  <c r="O108" i="9"/>
  <c r="S108" i="9" s="1"/>
  <c r="AA108" i="9"/>
  <c r="M109" i="9"/>
  <c r="Q109" i="9" s="1"/>
  <c r="N109" i="9"/>
  <c r="R109" i="9" s="1"/>
  <c r="O109" i="9"/>
  <c r="S109" i="9" s="1"/>
  <c r="Y109" i="9"/>
  <c r="Z109" i="9"/>
  <c r="AA109" i="9"/>
  <c r="M110" i="9"/>
  <c r="Q110" i="9" s="1"/>
  <c r="N110" i="9"/>
  <c r="O110" i="9"/>
  <c r="S110" i="9" s="1"/>
  <c r="Z110" i="9"/>
  <c r="M111" i="9"/>
  <c r="N111" i="9"/>
  <c r="O111" i="9"/>
  <c r="Y111" i="9"/>
  <c r="M112" i="9"/>
  <c r="N112" i="9"/>
  <c r="R112" i="9" s="1"/>
  <c r="O112" i="9"/>
  <c r="S112" i="9" s="1"/>
  <c r="Z112" i="9"/>
  <c r="AA112" i="9"/>
  <c r="M113" i="9"/>
  <c r="Q113" i="9" s="1"/>
  <c r="N113" i="9"/>
  <c r="O113" i="9"/>
  <c r="Y113" i="9"/>
  <c r="Z113" i="9"/>
  <c r="M114" i="9"/>
  <c r="Q114" i="9" s="1"/>
  <c r="N114" i="9"/>
  <c r="R114" i="9" s="1"/>
  <c r="O114" i="9"/>
  <c r="Y114" i="9"/>
  <c r="Z114" i="9"/>
  <c r="AA114" i="9"/>
  <c r="M115" i="9"/>
  <c r="N115" i="9"/>
  <c r="R115" i="9" s="1"/>
  <c r="O115" i="9"/>
  <c r="S115" i="9" s="1"/>
  <c r="Z115" i="9"/>
  <c r="AA115" i="9"/>
  <c r="M116" i="9"/>
  <c r="N116" i="9"/>
  <c r="O116" i="9"/>
  <c r="Y116" i="9"/>
  <c r="Z116" i="9"/>
  <c r="AA116" i="9"/>
  <c r="M117" i="9"/>
  <c r="Q117" i="9" s="1"/>
  <c r="N117" i="9"/>
  <c r="R117" i="9" s="1"/>
  <c r="O117" i="9"/>
  <c r="S117" i="9" s="1"/>
  <c r="Z117" i="9"/>
  <c r="M118" i="9"/>
  <c r="N118" i="9"/>
  <c r="R118" i="9" s="1"/>
  <c r="O118" i="9"/>
  <c r="S118" i="9" s="1"/>
  <c r="Z118" i="9"/>
  <c r="AA118" i="9"/>
  <c r="M119" i="9"/>
  <c r="Q119" i="9" s="1"/>
  <c r="N119" i="9"/>
  <c r="O119" i="9"/>
  <c r="S119" i="9" s="1"/>
  <c r="Y119" i="9"/>
  <c r="Z119" i="9"/>
  <c r="AA119" i="9"/>
  <c r="M120" i="9"/>
  <c r="Q120" i="9" s="1"/>
  <c r="N120" i="9"/>
  <c r="R120" i="9" s="1"/>
  <c r="O120" i="9"/>
  <c r="S120" i="9" s="1"/>
  <c r="Y120" i="9"/>
  <c r="AA120" i="9"/>
  <c r="M121" i="9"/>
  <c r="Q121" i="9" s="1"/>
  <c r="N121" i="9"/>
  <c r="O121" i="9"/>
  <c r="S121" i="9" s="1"/>
  <c r="Y121" i="9"/>
  <c r="Z121" i="9"/>
  <c r="AA121" i="9"/>
  <c r="M122" i="9"/>
  <c r="N122" i="9"/>
  <c r="O122" i="9"/>
  <c r="Y122" i="9"/>
  <c r="Z122" i="9"/>
  <c r="M123" i="9"/>
  <c r="N123" i="9"/>
  <c r="O123" i="9"/>
  <c r="M124" i="9"/>
  <c r="Q124" i="9" s="1"/>
  <c r="N124" i="9"/>
  <c r="R124" i="9" s="1"/>
  <c r="O124" i="9"/>
  <c r="S124" i="9" s="1"/>
  <c r="Z124" i="9"/>
  <c r="AA124" i="9"/>
  <c r="M125" i="9"/>
  <c r="N125" i="9"/>
  <c r="O125" i="9"/>
  <c r="Y125" i="9"/>
  <c r="M126" i="9"/>
  <c r="Q126" i="9" s="1"/>
  <c r="N126" i="9"/>
  <c r="O126" i="9"/>
  <c r="M127" i="9"/>
  <c r="N127" i="9"/>
  <c r="R127" i="9" s="1"/>
  <c r="O127" i="9"/>
  <c r="Y127" i="9"/>
  <c r="Z127" i="9"/>
  <c r="AA127" i="9"/>
  <c r="M128" i="9"/>
  <c r="N128" i="9"/>
  <c r="R128" i="9" s="1"/>
  <c r="O128" i="9"/>
  <c r="Z128" i="9"/>
  <c r="AA128" i="9"/>
  <c r="M129" i="9"/>
  <c r="N129" i="9"/>
  <c r="O129" i="9"/>
  <c r="S129" i="9" s="1"/>
  <c r="Y129" i="9"/>
  <c r="M130" i="9"/>
  <c r="N130" i="9"/>
  <c r="O130" i="9"/>
  <c r="Z130" i="9"/>
  <c r="M131" i="9"/>
  <c r="N131" i="9"/>
  <c r="O131" i="9"/>
  <c r="Z131" i="9"/>
  <c r="AA131" i="9"/>
  <c r="M132" i="9"/>
  <c r="N132" i="9"/>
  <c r="O132" i="9"/>
  <c r="S132" i="9" s="1"/>
  <c r="AA132" i="9"/>
  <c r="M133" i="9"/>
  <c r="N133" i="9"/>
  <c r="R133" i="9" s="1"/>
  <c r="O133" i="9"/>
  <c r="S133" i="9" s="1"/>
  <c r="Z133" i="9"/>
  <c r="AA133" i="9"/>
  <c r="M134" i="9"/>
  <c r="N134" i="9"/>
  <c r="R134" i="9" s="1"/>
  <c r="O134" i="9"/>
  <c r="S134" i="9" s="1"/>
  <c r="Z134" i="9"/>
  <c r="AA134" i="9"/>
  <c r="M135" i="9"/>
  <c r="N135" i="9"/>
  <c r="R135" i="9" s="1"/>
  <c r="O135" i="9"/>
  <c r="S135" i="9" s="1"/>
  <c r="Y135" i="9"/>
  <c r="AA135" i="9"/>
  <c r="M136" i="9"/>
  <c r="Q136" i="9" s="1"/>
  <c r="N136" i="9"/>
  <c r="O136" i="9"/>
  <c r="S136" i="9" s="1"/>
  <c r="Z136" i="9"/>
  <c r="AA136" i="9"/>
  <c r="M137" i="9"/>
  <c r="Q137" i="9" s="1"/>
  <c r="N137" i="9"/>
  <c r="R137" i="9" s="1"/>
  <c r="O137" i="9"/>
  <c r="S137" i="9" s="1"/>
  <c r="Y137" i="9"/>
  <c r="Z137" i="9"/>
  <c r="AA137" i="9"/>
  <c r="M138" i="9"/>
  <c r="N138" i="9"/>
  <c r="O138" i="9"/>
  <c r="S138" i="9" s="1"/>
  <c r="Z138" i="9"/>
  <c r="AA138" i="9"/>
  <c r="M139" i="9"/>
  <c r="Q139" i="9" s="1"/>
  <c r="N139" i="9"/>
  <c r="R139" i="9" s="1"/>
  <c r="O139" i="9"/>
  <c r="Z139" i="9"/>
  <c r="AA139" i="9"/>
  <c r="M140" i="9"/>
  <c r="N140" i="9"/>
  <c r="R140" i="9" s="1"/>
  <c r="O140" i="9"/>
  <c r="Z140" i="9"/>
  <c r="AA140" i="9"/>
  <c r="M141" i="9"/>
  <c r="N141" i="9"/>
  <c r="R141" i="9" s="1"/>
  <c r="O141" i="9"/>
  <c r="S141" i="9" s="1"/>
  <c r="Z141" i="9"/>
  <c r="AA141" i="9"/>
  <c r="M142" i="9"/>
  <c r="Q142" i="9" s="1"/>
  <c r="N142" i="9"/>
  <c r="O142" i="9"/>
  <c r="Y142" i="9"/>
  <c r="Z142" i="9"/>
  <c r="M143" i="9"/>
  <c r="Q143" i="9" s="1"/>
  <c r="N143" i="9"/>
  <c r="R143" i="9" s="1"/>
  <c r="O143" i="9"/>
  <c r="Z143" i="9"/>
  <c r="AA143" i="9"/>
  <c r="M144" i="9"/>
  <c r="N144" i="9"/>
  <c r="O144" i="9"/>
  <c r="S144" i="9" s="1"/>
  <c r="Z144" i="9"/>
  <c r="M145" i="9"/>
  <c r="Q145" i="9" s="1"/>
  <c r="N145" i="9"/>
  <c r="R145" i="9" s="1"/>
  <c r="O145" i="9"/>
  <c r="Z145" i="9"/>
  <c r="AA145" i="9"/>
  <c r="M146" i="9"/>
  <c r="Q146" i="9" s="1"/>
  <c r="N146" i="9"/>
  <c r="R146" i="9" s="1"/>
  <c r="O146" i="9"/>
  <c r="Y146" i="9"/>
  <c r="Z146" i="9"/>
  <c r="AA146" i="9"/>
  <c r="M147" i="9"/>
  <c r="N147" i="9"/>
  <c r="O147" i="9"/>
  <c r="Z147" i="9"/>
  <c r="AA147" i="9"/>
  <c r="M148" i="9"/>
  <c r="N148" i="9"/>
  <c r="O148" i="9"/>
  <c r="Z148" i="9"/>
  <c r="AA148" i="9"/>
  <c r="M149" i="9"/>
  <c r="Q149" i="9" s="1"/>
  <c r="N149" i="9"/>
  <c r="R149" i="9" s="1"/>
  <c r="O149" i="9"/>
  <c r="S149" i="9" s="1"/>
  <c r="AA149" i="9"/>
  <c r="M150" i="9"/>
  <c r="N150" i="9"/>
  <c r="O150" i="9"/>
  <c r="Y150" i="9"/>
  <c r="Z150" i="9"/>
  <c r="AA150" i="9"/>
  <c r="M151" i="9"/>
  <c r="N151" i="9"/>
  <c r="O151" i="9"/>
  <c r="Z151" i="9"/>
  <c r="AA151" i="9"/>
  <c r="M152" i="9"/>
  <c r="Q152" i="9" s="1"/>
  <c r="N152" i="9"/>
  <c r="R152" i="9" s="1"/>
  <c r="O152" i="9"/>
  <c r="Y152" i="9"/>
  <c r="AA152" i="9"/>
  <c r="M153" i="9"/>
  <c r="N153" i="9"/>
  <c r="R153" i="9" s="1"/>
  <c r="O153" i="9"/>
  <c r="Z153" i="9"/>
  <c r="AA153" i="9"/>
  <c r="M154" i="9"/>
  <c r="N154" i="9"/>
  <c r="O154" i="9"/>
  <c r="S154" i="9" s="1"/>
  <c r="Z154" i="9"/>
  <c r="AA154" i="9"/>
  <c r="M155" i="9"/>
  <c r="Q155" i="9" s="1"/>
  <c r="N155" i="9"/>
  <c r="O155" i="9"/>
  <c r="Y155" i="9"/>
  <c r="AA155" i="9"/>
  <c r="M156" i="9"/>
  <c r="N156" i="9"/>
  <c r="R156" i="9" s="1"/>
  <c r="O156" i="9"/>
  <c r="Y156" i="9"/>
  <c r="Z156" i="9"/>
  <c r="AA156" i="9"/>
  <c r="M157" i="9"/>
  <c r="N157" i="9"/>
  <c r="R157" i="9" s="1"/>
  <c r="O157" i="9"/>
  <c r="S157" i="9" s="1"/>
  <c r="Z157" i="9"/>
  <c r="M158" i="9"/>
  <c r="N158" i="9"/>
  <c r="R158" i="9" s="1"/>
  <c r="O158" i="9"/>
  <c r="Z158" i="9"/>
  <c r="AA158" i="9"/>
  <c r="M159" i="9"/>
  <c r="N159" i="9"/>
  <c r="R159" i="9" s="1"/>
  <c r="O159" i="9"/>
  <c r="S159" i="9" s="1"/>
  <c r="Y159" i="9"/>
  <c r="Z159" i="9"/>
  <c r="AA159" i="9"/>
  <c r="M160" i="9"/>
  <c r="N160" i="9"/>
  <c r="O160" i="9"/>
  <c r="Z160" i="9"/>
  <c r="M161" i="9"/>
  <c r="N161" i="9"/>
  <c r="O161" i="9"/>
  <c r="S161" i="9" s="1"/>
  <c r="Z161" i="9"/>
  <c r="AA161" i="9"/>
  <c r="M162" i="9"/>
  <c r="N162" i="9"/>
  <c r="R162" i="9" s="1"/>
  <c r="O162" i="9"/>
  <c r="Z162" i="9"/>
  <c r="AA162" i="9"/>
  <c r="M163" i="9"/>
  <c r="N163" i="9"/>
  <c r="O163" i="9"/>
  <c r="S163" i="9" s="1"/>
  <c r="M164" i="9"/>
  <c r="N164" i="9"/>
  <c r="R164" i="9" s="1"/>
  <c r="O164" i="9"/>
  <c r="S164" i="9" s="1"/>
  <c r="AA164" i="9"/>
  <c r="M165" i="9"/>
  <c r="N165" i="9"/>
  <c r="O165" i="9"/>
  <c r="AA165" i="9"/>
  <c r="M166" i="9"/>
  <c r="Q166" i="9" s="1"/>
  <c r="N166" i="9"/>
  <c r="O166" i="9"/>
  <c r="AA166" i="9"/>
  <c r="M167" i="9"/>
  <c r="N167" i="9"/>
  <c r="O167" i="9"/>
  <c r="S167" i="9" s="1"/>
  <c r="Y167" i="9"/>
  <c r="M168" i="9"/>
  <c r="N168" i="9"/>
  <c r="O168" i="9"/>
  <c r="AA168" i="9"/>
  <c r="M169" i="9"/>
  <c r="N169" i="9"/>
  <c r="O169" i="9"/>
  <c r="Z169" i="9"/>
  <c r="M170" i="9"/>
  <c r="Q170" i="9" s="1"/>
  <c r="N170" i="9"/>
  <c r="O170" i="9"/>
  <c r="M171" i="9"/>
  <c r="N171" i="9"/>
  <c r="R171" i="9" s="1"/>
  <c r="O171" i="9"/>
  <c r="S171" i="9" s="1"/>
  <c r="AA171" i="9"/>
  <c r="M172" i="9"/>
  <c r="N172" i="9"/>
  <c r="R172" i="9" s="1"/>
  <c r="O172" i="9"/>
  <c r="S172" i="9" s="1"/>
  <c r="M173" i="9"/>
  <c r="Q173" i="9" s="1"/>
  <c r="N173" i="9"/>
  <c r="O173" i="9"/>
  <c r="S173" i="9" s="1"/>
  <c r="Z173" i="9"/>
  <c r="AA173" i="9"/>
  <c r="M174" i="9"/>
  <c r="N174" i="9"/>
  <c r="O174" i="9"/>
  <c r="AA174" i="9"/>
  <c r="M175" i="9"/>
  <c r="N175" i="9"/>
  <c r="O175" i="9"/>
  <c r="Z175" i="9"/>
  <c r="AA175" i="9"/>
  <c r="M176" i="9"/>
  <c r="N176" i="9"/>
  <c r="R176" i="9" s="1"/>
  <c r="O176" i="9"/>
  <c r="Z176" i="9"/>
  <c r="AA176" i="9"/>
  <c r="M177" i="9"/>
  <c r="N177" i="9"/>
  <c r="O177" i="9"/>
  <c r="S177" i="9" s="1"/>
  <c r="AA177" i="9"/>
  <c r="M178" i="9"/>
  <c r="N178" i="9"/>
  <c r="O178" i="9"/>
  <c r="Z178" i="9"/>
  <c r="AA178" i="9"/>
  <c r="M179" i="9"/>
  <c r="Q179" i="9" s="1"/>
  <c r="N179" i="9"/>
  <c r="O179" i="9"/>
  <c r="Z179" i="9"/>
  <c r="M180" i="9"/>
  <c r="N180" i="9"/>
  <c r="O180" i="9"/>
  <c r="S180" i="9" s="1"/>
  <c r="AA180" i="9"/>
  <c r="M181" i="9"/>
  <c r="N181" i="9"/>
  <c r="O181" i="9"/>
  <c r="Z181" i="9"/>
  <c r="AA181" i="9"/>
  <c r="M182" i="9"/>
  <c r="Q182" i="9" s="1"/>
  <c r="N182" i="9"/>
  <c r="R182" i="9" s="1"/>
  <c r="O182" i="9"/>
  <c r="S182" i="9" s="1"/>
  <c r="Z182" i="9"/>
  <c r="AA182" i="9"/>
  <c r="M183" i="9"/>
  <c r="N183" i="9"/>
  <c r="O183" i="9"/>
  <c r="Y183" i="9"/>
  <c r="M184" i="9"/>
  <c r="Q184" i="9" s="1"/>
  <c r="N184" i="9"/>
  <c r="O184" i="9"/>
  <c r="Z184" i="9"/>
  <c r="M185" i="9"/>
  <c r="N185" i="9"/>
  <c r="O185" i="9"/>
  <c r="S185" i="9" s="1"/>
  <c r="Z185" i="9"/>
  <c r="AA185" i="9"/>
  <c r="M186" i="9"/>
  <c r="N186" i="9"/>
  <c r="O186" i="9"/>
  <c r="S186" i="9" s="1"/>
  <c r="AA186" i="9"/>
  <c r="M187" i="9"/>
  <c r="Q187" i="9" s="1"/>
  <c r="N187" i="9"/>
  <c r="R187" i="9" s="1"/>
  <c r="O187" i="9"/>
  <c r="Y187" i="9"/>
  <c r="AA187" i="9"/>
  <c r="M188" i="9"/>
  <c r="N188" i="9"/>
  <c r="R188" i="9" s="1"/>
  <c r="O188" i="9"/>
  <c r="AA188" i="9"/>
  <c r="M189" i="9"/>
  <c r="N189" i="9"/>
  <c r="O189" i="9"/>
  <c r="M190" i="9"/>
  <c r="N190" i="9"/>
  <c r="O190" i="9"/>
  <c r="M191" i="9"/>
  <c r="N191" i="9"/>
  <c r="O191" i="9"/>
  <c r="S191" i="9" s="1"/>
  <c r="Z191" i="9"/>
  <c r="AA191" i="9"/>
  <c r="M192" i="9"/>
  <c r="N192" i="9"/>
  <c r="O192" i="9"/>
  <c r="S192" i="9" s="1"/>
  <c r="M193" i="9"/>
  <c r="N193" i="9"/>
  <c r="R193" i="9" s="1"/>
  <c r="O193" i="9"/>
  <c r="M194" i="9"/>
  <c r="N194" i="9"/>
  <c r="O194" i="9"/>
  <c r="S194" i="9" s="1"/>
  <c r="Z194" i="9"/>
  <c r="AA194" i="9"/>
  <c r="M195" i="9"/>
  <c r="N195" i="9"/>
  <c r="R195" i="9" s="1"/>
  <c r="O195" i="9"/>
  <c r="M196" i="9"/>
  <c r="N196" i="9"/>
  <c r="O196" i="9"/>
  <c r="Z196" i="9"/>
  <c r="AA196" i="9"/>
  <c r="M197" i="9"/>
  <c r="Q197" i="9" s="1"/>
  <c r="N197" i="9"/>
  <c r="O197" i="9"/>
  <c r="S197" i="9" s="1"/>
  <c r="Z197" i="9"/>
  <c r="M198" i="9"/>
  <c r="N198" i="9"/>
  <c r="O198" i="9"/>
  <c r="M199" i="9"/>
  <c r="N199" i="9"/>
  <c r="O199" i="9"/>
  <c r="S199" i="9" s="1"/>
  <c r="M200" i="9"/>
  <c r="N200" i="9"/>
  <c r="O200" i="9"/>
  <c r="M201" i="9"/>
  <c r="N201" i="9"/>
  <c r="O201" i="9"/>
  <c r="S201" i="9" s="1"/>
  <c r="M202" i="9"/>
  <c r="N202" i="9"/>
  <c r="R202" i="9" s="1"/>
  <c r="O202" i="9"/>
  <c r="Z202" i="9"/>
  <c r="AA202" i="9"/>
  <c r="M203" i="9"/>
  <c r="Q203" i="9" s="1"/>
  <c r="N203" i="9"/>
  <c r="R203" i="9" s="1"/>
  <c r="O203" i="9"/>
  <c r="M204" i="9"/>
  <c r="N204" i="9"/>
  <c r="O204" i="9"/>
  <c r="Y204" i="9"/>
  <c r="M205" i="9"/>
  <c r="N205" i="9"/>
  <c r="O205" i="9"/>
  <c r="M206" i="9"/>
  <c r="N206" i="9"/>
  <c r="O206" i="9"/>
  <c r="S206" i="9" s="1"/>
  <c r="M207" i="9"/>
  <c r="N207" i="9"/>
  <c r="O207" i="9"/>
  <c r="M208" i="9"/>
  <c r="N208" i="9"/>
  <c r="O208" i="9"/>
  <c r="M209" i="9"/>
  <c r="N209" i="9"/>
  <c r="O209" i="9"/>
  <c r="S209" i="9" s="1"/>
  <c r="M210" i="9"/>
  <c r="N210" i="9"/>
  <c r="O210" i="9"/>
  <c r="Z210" i="9"/>
  <c r="M211" i="9"/>
  <c r="N211" i="9"/>
  <c r="O211" i="9"/>
  <c r="M212" i="9"/>
  <c r="N212" i="9"/>
  <c r="R212" i="9" s="1"/>
  <c r="O212" i="9"/>
  <c r="Z212" i="9"/>
  <c r="M213" i="9"/>
  <c r="N213" i="9"/>
  <c r="O213" i="9"/>
  <c r="M214" i="9"/>
  <c r="N214" i="9"/>
  <c r="R214" i="9" s="1"/>
  <c r="O214" i="9"/>
  <c r="S214" i="9" s="1"/>
  <c r="AA214" i="9"/>
  <c r="M215" i="9"/>
  <c r="N215" i="9"/>
  <c r="O215" i="9"/>
  <c r="Y215" i="9"/>
  <c r="Z215" i="9"/>
  <c r="M216" i="9"/>
  <c r="N216" i="9"/>
  <c r="O216" i="9"/>
  <c r="S216" i="9" s="1"/>
  <c r="M217" i="9"/>
  <c r="N217" i="9"/>
  <c r="O217" i="9"/>
  <c r="M218" i="9"/>
  <c r="N218" i="9"/>
  <c r="O218" i="9"/>
  <c r="M219" i="9"/>
  <c r="N219" i="9"/>
  <c r="O219" i="9"/>
  <c r="AA219" i="9"/>
  <c r="M220" i="9"/>
  <c r="N220" i="9"/>
  <c r="R220" i="9" s="1"/>
  <c r="O220" i="9"/>
  <c r="M221" i="9"/>
  <c r="N221" i="9"/>
  <c r="O221" i="9"/>
  <c r="M222" i="9"/>
  <c r="N222" i="9"/>
  <c r="O222" i="9"/>
  <c r="AA222" i="9"/>
  <c r="M223" i="9"/>
  <c r="Q223" i="9" s="1"/>
  <c r="N223" i="9"/>
  <c r="O223" i="9"/>
  <c r="S223" i="9" s="1"/>
  <c r="M224" i="9"/>
  <c r="N224" i="9"/>
  <c r="O224" i="9"/>
  <c r="M225" i="9"/>
  <c r="N225" i="9"/>
  <c r="R225" i="9" s="1"/>
  <c r="O225" i="9"/>
  <c r="M226" i="9"/>
  <c r="N226" i="9"/>
  <c r="O226" i="9"/>
  <c r="S226" i="9" s="1"/>
  <c r="AA226" i="9"/>
  <c r="M227" i="9"/>
  <c r="N227" i="9"/>
  <c r="O227" i="9"/>
  <c r="Y227" i="9"/>
  <c r="Z227" i="9"/>
  <c r="M228" i="9"/>
  <c r="N228" i="9"/>
  <c r="O228" i="9"/>
  <c r="S228" i="9" s="1"/>
  <c r="M229" i="9"/>
  <c r="Q229" i="9" s="1"/>
  <c r="N229" i="9"/>
  <c r="O229" i="9"/>
  <c r="Z229" i="9"/>
  <c r="M230" i="9"/>
  <c r="N230" i="9"/>
  <c r="O230" i="9"/>
  <c r="Y230" i="9"/>
  <c r="AA230" i="9"/>
  <c r="M231" i="9"/>
  <c r="N231" i="9"/>
  <c r="R231" i="9" s="1"/>
  <c r="O231" i="9"/>
  <c r="M232" i="9"/>
  <c r="Q232" i="9" s="1"/>
  <c r="N232" i="9"/>
  <c r="O232" i="9"/>
  <c r="S232" i="9" s="1"/>
  <c r="Y232" i="9"/>
  <c r="M233" i="9"/>
  <c r="N233" i="9"/>
  <c r="O233" i="9"/>
  <c r="AA233" i="9"/>
  <c r="M234" i="9"/>
  <c r="N234" i="9"/>
  <c r="O234" i="9"/>
  <c r="Z234" i="9"/>
  <c r="M235" i="9"/>
  <c r="N235" i="9"/>
  <c r="O235" i="9"/>
  <c r="C46" i="12"/>
  <c r="D46" i="12"/>
  <c r="E46" i="12"/>
  <c r="F46" i="12"/>
  <c r="F9" i="4"/>
  <c r="I9" i="4"/>
  <c r="L9" i="4"/>
  <c r="F10" i="4"/>
  <c r="I10" i="4"/>
  <c r="L10" i="4"/>
  <c r="F11" i="4"/>
  <c r="I11" i="4"/>
  <c r="L11" i="4"/>
  <c r="K9" i="1"/>
  <c r="B10" i="1"/>
  <c r="Y16" i="9"/>
  <c r="Y40" i="9"/>
  <c r="S31" i="9"/>
  <c r="Z58" i="9"/>
  <c r="R15" i="9"/>
  <c r="Q8" i="9"/>
  <c r="Q16" i="9"/>
  <c r="S30" i="9"/>
  <c r="S54" i="9"/>
  <c r="S53" i="9"/>
  <c r="R44" i="9"/>
  <c r="AA20" i="9"/>
  <c r="S22" i="9"/>
  <c r="Y43" i="9"/>
  <c r="R8" i="9"/>
  <c r="AA19" i="9"/>
  <c r="R58" i="9"/>
  <c r="S52" i="9"/>
  <c r="Z40" i="9"/>
  <c r="Z33" i="9"/>
  <c r="Y13" i="9"/>
  <c r="Z47" i="9"/>
  <c r="S21" i="9"/>
  <c r="H7" i="24"/>
  <c r="AA41" i="9"/>
  <c r="H8" i="24"/>
  <c r="K7" i="24"/>
  <c r="AA62" i="9"/>
  <c r="I7" i="24"/>
  <c r="I8" i="24" s="1"/>
  <c r="Q58" i="9"/>
  <c r="S45" i="9"/>
  <c r="Y30" i="9"/>
  <c r="S20" i="9"/>
  <c r="J6" i="24"/>
  <c r="G7" i="24"/>
  <c r="R57" i="9"/>
  <c r="Y36" i="9"/>
  <c r="Z11" i="9"/>
  <c r="R10" i="9"/>
  <c r="R11" i="9"/>
  <c r="S57" i="9"/>
  <c r="Y51" i="9"/>
  <c r="S354" i="9"/>
  <c r="R370" i="9"/>
  <c r="R372" i="9"/>
  <c r="S24" i="9"/>
  <c r="R367" i="9"/>
  <c r="AA43" i="9"/>
  <c r="Y49" i="9"/>
  <c r="S14" i="9"/>
  <c r="Y15" i="9"/>
  <c r="Q54" i="9"/>
  <c r="Q17" i="9"/>
  <c r="Q62" i="9"/>
  <c r="S35" i="9"/>
  <c r="R17" i="9"/>
  <c r="Q26" i="9"/>
  <c r="S44" i="9"/>
  <c r="Q37" i="9"/>
  <c r="R33" i="9"/>
  <c r="AA23" i="9"/>
  <c r="Q15" i="9"/>
  <c r="Z335" i="9"/>
  <c r="R371" i="9"/>
  <c r="Z353" i="9"/>
  <c r="AA81" i="9"/>
  <c r="S56" i="9"/>
  <c r="AA50" i="9"/>
  <c r="AA51" i="9"/>
  <c r="Y47" i="9"/>
  <c r="R29" i="9"/>
  <c r="Z16" i="9"/>
  <c r="Y60" i="9"/>
  <c r="AA46" i="9"/>
  <c r="Y44" i="9"/>
  <c r="AA25" i="9"/>
  <c r="AA26" i="9"/>
  <c r="Q384" i="9"/>
  <c r="S59" i="9"/>
  <c r="Q49" i="9"/>
  <c r="AA30" i="9"/>
  <c r="AA31" i="9"/>
  <c r="S10" i="9"/>
  <c r="S11" i="9"/>
  <c r="R48" i="9"/>
  <c r="R59" i="9"/>
  <c r="AA33" i="9"/>
  <c r="Z14" i="9"/>
  <c r="R52" i="9"/>
  <c r="S50" i="9"/>
  <c r="AA49" i="9"/>
  <c r="Y39" i="9"/>
  <c r="Y28" i="9"/>
  <c r="AA21" i="9"/>
  <c r="AA56" i="9"/>
  <c r="Y55" i="9"/>
  <c r="Z37" i="9"/>
  <c r="Z29" i="9"/>
  <c r="S43" i="9"/>
  <c r="Y290" i="9"/>
  <c r="Q345" i="9"/>
  <c r="Y322" i="9"/>
  <c r="Y382" i="9"/>
  <c r="Y304" i="9"/>
  <c r="Y321" i="9"/>
  <c r="Q256" i="9"/>
  <c r="R382" i="9"/>
  <c r="R323" i="9"/>
  <c r="S381" i="9"/>
  <c r="Q374" i="9"/>
  <c r="R288" i="9"/>
  <c r="Z310" i="9"/>
  <c r="AA113" i="9"/>
  <c r="S359" i="9"/>
  <c r="R356" i="9"/>
  <c r="AA372" i="9"/>
  <c r="AA107" i="9"/>
  <c r="S358" i="9"/>
  <c r="S387" i="9"/>
  <c r="Q377" i="9"/>
  <c r="Q385" i="9"/>
  <c r="Z379" i="9"/>
  <c r="AA78" i="9"/>
  <c r="Z385" i="9"/>
  <c r="S91" i="9"/>
  <c r="AA142" i="9"/>
  <c r="R302" i="9"/>
  <c r="S389" i="9"/>
  <c r="AA99" i="9"/>
  <c r="Y288" i="9"/>
  <c r="Y350" i="9"/>
  <c r="AA111" i="9"/>
  <c r="Y380" i="9"/>
  <c r="S364" i="9"/>
  <c r="S365" i="9"/>
  <c r="Y283" i="9"/>
  <c r="Y284" i="9"/>
  <c r="R332" i="9"/>
  <c r="AA299" i="9"/>
  <c r="Z123" i="9"/>
  <c r="R248" i="9"/>
  <c r="Q276" i="9"/>
  <c r="R272" i="9"/>
  <c r="R297" i="9"/>
  <c r="Z313" i="9"/>
  <c r="S70" i="9"/>
  <c r="Q287" i="9"/>
  <c r="AA157" i="9"/>
  <c r="S360" i="9"/>
  <c r="Z382" i="9"/>
  <c r="Y294" i="9"/>
  <c r="Y293" i="9"/>
  <c r="Y269" i="9"/>
  <c r="AA63" i="9"/>
  <c r="S361" i="9"/>
  <c r="AA361" i="9"/>
  <c r="AA362" i="9"/>
  <c r="Q340" i="9"/>
  <c r="AA261" i="9"/>
  <c r="AA386" i="9"/>
  <c r="AA218" i="9" l="1"/>
  <c r="Z217" i="9"/>
  <c r="Z214" i="9"/>
  <c r="Y229" i="9"/>
  <c r="Y214" i="9"/>
  <c r="Y185" i="9"/>
  <c r="R68" i="9"/>
  <c r="AA232" i="9"/>
  <c r="AA227" i="9"/>
  <c r="AA210" i="9"/>
  <c r="Z232" i="9"/>
  <c r="Y212" i="9"/>
  <c r="R163" i="9"/>
  <c r="AA179" i="9"/>
  <c r="AA199" i="9"/>
  <c r="AA183" i="9"/>
  <c r="Z223" i="9"/>
  <c r="Z213" i="9"/>
  <c r="Z207" i="9"/>
  <c r="Y169" i="9"/>
  <c r="Y105" i="9"/>
  <c r="R392" i="9"/>
  <c r="AA203" i="9"/>
  <c r="Z203" i="9"/>
  <c r="Y180" i="9"/>
  <c r="D58" i="18"/>
  <c r="D39" i="18"/>
  <c r="D20" i="18"/>
  <c r="S222" i="9"/>
  <c r="S190" i="9"/>
  <c r="S183" i="9"/>
  <c r="S179" i="9"/>
  <c r="S148" i="9"/>
  <c r="S140" i="9"/>
  <c r="S99" i="9"/>
  <c r="S87" i="9"/>
  <c r="S78" i="9"/>
  <c r="S74" i="9"/>
  <c r="S71" i="9"/>
  <c r="Y163" i="9"/>
  <c r="Y147" i="9"/>
  <c r="S210" i="9"/>
  <c r="S196" i="9"/>
  <c r="S168" i="9"/>
  <c r="S122" i="9"/>
  <c r="Y268" i="9"/>
  <c r="Y276" i="9"/>
  <c r="R269" i="9"/>
  <c r="T429" i="9"/>
  <c r="S220" i="9"/>
  <c r="Y145" i="9"/>
  <c r="Y132" i="9"/>
  <c r="S204" i="9"/>
  <c r="S265" i="9"/>
  <c r="Z273" i="9"/>
  <c r="S290" i="9"/>
  <c r="Z325" i="9"/>
  <c r="Q205" i="9"/>
  <c r="Q188" i="9"/>
  <c r="Q176" i="9"/>
  <c r="Q172" i="9"/>
  <c r="AA217" i="9"/>
  <c r="Y207" i="9"/>
  <c r="Y158" i="9"/>
  <c r="Y153" i="9"/>
  <c r="Y139" i="9"/>
  <c r="Q335" i="9"/>
  <c r="Q135" i="9"/>
  <c r="Q130" i="9"/>
  <c r="Q214" i="9"/>
  <c r="Q183" i="9"/>
  <c r="Q178" i="9"/>
  <c r="Q132" i="9"/>
  <c r="AA234" i="9"/>
  <c r="AA213" i="9"/>
  <c r="AA195" i="9"/>
  <c r="AA189" i="9"/>
  <c r="AA172" i="9"/>
  <c r="AA170" i="9"/>
  <c r="AA160" i="9"/>
  <c r="AA144" i="9"/>
  <c r="AA129" i="9"/>
  <c r="AA122" i="9"/>
  <c r="AA117" i="9"/>
  <c r="AA110" i="9"/>
  <c r="AA100" i="9"/>
  <c r="AA96" i="9"/>
  <c r="AA80" i="9"/>
  <c r="AA74" i="9"/>
  <c r="AA71" i="9"/>
  <c r="AA68" i="9"/>
  <c r="Q233" i="9"/>
  <c r="Q162" i="9"/>
  <c r="AA223" i="9"/>
  <c r="Y197" i="9"/>
  <c r="Y128" i="9"/>
  <c r="Y123" i="9"/>
  <c r="Y97" i="9"/>
  <c r="Y90" i="9"/>
  <c r="Y79" i="9"/>
  <c r="Y76" i="9"/>
  <c r="Y71" i="9"/>
  <c r="Y65" i="9"/>
  <c r="Y228" i="9"/>
  <c r="Y184" i="9"/>
  <c r="Y177" i="9"/>
  <c r="Y175" i="9"/>
  <c r="S221" i="9"/>
  <c r="S215" i="9"/>
  <c r="S187" i="9"/>
  <c r="S184" i="9"/>
  <c r="S174" i="9"/>
  <c r="Y224" i="9"/>
  <c r="AA322" i="9"/>
  <c r="Q376" i="9"/>
  <c r="Y377" i="9"/>
  <c r="Q235" i="9"/>
  <c r="Q226" i="9"/>
  <c r="Q215" i="9"/>
  <c r="Q186" i="9"/>
  <c r="Q181" i="9"/>
  <c r="Q174" i="9"/>
  <c r="Q169" i="9"/>
  <c r="Q154" i="9"/>
  <c r="Y218" i="9"/>
  <c r="Y173" i="9"/>
  <c r="Q289" i="9"/>
  <c r="R358" i="9"/>
  <c r="R366" i="9"/>
  <c r="R222" i="9"/>
  <c r="R185" i="9"/>
  <c r="R168" i="9"/>
  <c r="R194" i="9"/>
  <c r="S254" i="9"/>
  <c r="R275" i="9"/>
  <c r="R350" i="9"/>
  <c r="R347" i="9"/>
  <c r="R387" i="9"/>
  <c r="R219" i="9"/>
  <c r="R65" i="9"/>
  <c r="Q171" i="9"/>
  <c r="Q158" i="9"/>
  <c r="R151" i="9"/>
  <c r="Q206" i="9"/>
  <c r="Q165" i="9"/>
  <c r="Z252" i="9"/>
  <c r="AA347" i="9"/>
  <c r="AA305" i="9"/>
  <c r="R228" i="9"/>
  <c r="R217" i="9"/>
  <c r="Y223" i="9"/>
  <c r="Y219" i="9"/>
  <c r="Y202" i="9"/>
  <c r="Y192" i="9"/>
  <c r="Y182" i="9"/>
  <c r="Y178" i="9"/>
  <c r="Y168" i="9"/>
  <c r="Y157" i="9"/>
  <c r="Y140" i="9"/>
  <c r="Y134" i="9"/>
  <c r="Y118" i="9"/>
  <c r="Y115" i="9"/>
  <c r="Y106" i="9"/>
  <c r="Y102" i="9"/>
  <c r="Y98" i="9"/>
  <c r="Q227" i="9"/>
  <c r="Q213" i="9"/>
  <c r="S211" i="9"/>
  <c r="S202" i="9"/>
  <c r="S195" i="9"/>
  <c r="S178" i="9"/>
  <c r="S176" i="9"/>
  <c r="S169" i="9"/>
  <c r="S162" i="9"/>
  <c r="S155" i="9"/>
  <c r="S152" i="9"/>
  <c r="S139" i="9"/>
  <c r="S131" i="9"/>
  <c r="S125" i="9"/>
  <c r="Q217" i="9"/>
  <c r="R260" i="9"/>
  <c r="AA273" i="9"/>
  <c r="Q291" i="9"/>
  <c r="AA344" i="9"/>
  <c r="Z377" i="9"/>
  <c r="Q204" i="9"/>
  <c r="Q196" i="9"/>
  <c r="Q191" i="9"/>
  <c r="Q180" i="9"/>
  <c r="Q177" i="9"/>
  <c r="Q163" i="9"/>
  <c r="Q159" i="9"/>
  <c r="Q156" i="9"/>
  <c r="Q147" i="9"/>
  <c r="Q140" i="9"/>
  <c r="Q134" i="9"/>
  <c r="Q129" i="9"/>
  <c r="Q118" i="9"/>
  <c r="Q108" i="9"/>
  <c r="Q105" i="9"/>
  <c r="Q99" i="9"/>
  <c r="Q93" i="9"/>
  <c r="Q91" i="9"/>
  <c r="Q88" i="9"/>
  <c r="Q81" i="9"/>
  <c r="Q65" i="9"/>
  <c r="Q218" i="9"/>
  <c r="Q199" i="9"/>
  <c r="Z211" i="9"/>
  <c r="Z208" i="9"/>
  <c r="Z183" i="9"/>
  <c r="Z180" i="9"/>
  <c r="Z172" i="9"/>
  <c r="Z170" i="9"/>
  <c r="Z168" i="9"/>
  <c r="Z165" i="9"/>
  <c r="Z152" i="9"/>
  <c r="Z135" i="9"/>
  <c r="Z132" i="9"/>
  <c r="Z126" i="9"/>
  <c r="Z120" i="9"/>
  <c r="Z108" i="9"/>
  <c r="Z105" i="9"/>
  <c r="Z101" i="9"/>
  <c r="Z98" i="9"/>
  <c r="Z92" i="9"/>
  <c r="Z89" i="9"/>
  <c r="Z83" i="9"/>
  <c r="Z78" i="9"/>
  <c r="Z75" i="9"/>
  <c r="Z70" i="9"/>
  <c r="Y273" i="9"/>
  <c r="Q269" i="9"/>
  <c r="S271" i="9"/>
  <c r="R271" i="9"/>
  <c r="R294" i="9"/>
  <c r="Y353" i="9"/>
  <c r="Y343" i="9"/>
  <c r="AA313" i="9"/>
  <c r="AA297" i="9"/>
  <c r="Q357" i="9"/>
  <c r="R360" i="9"/>
  <c r="Q361" i="9"/>
  <c r="Q370" i="9"/>
  <c r="Y371" i="9"/>
  <c r="Q371" i="9"/>
  <c r="S376" i="9"/>
  <c r="R376" i="9"/>
  <c r="AA377" i="9"/>
  <c r="Q386" i="9"/>
  <c r="S390" i="9"/>
  <c r="Y392" i="9"/>
  <c r="S107" i="9"/>
  <c r="C357" i="24"/>
  <c r="C58" i="18"/>
  <c r="C39" i="18"/>
  <c r="C20" i="18"/>
  <c r="Z326" i="9"/>
  <c r="Y110" i="9"/>
  <c r="Y83" i="9"/>
  <c r="Y64" i="9"/>
  <c r="S231" i="9"/>
  <c r="S225" i="9"/>
  <c r="S207" i="9"/>
  <c r="S203" i="9"/>
  <c r="Q369" i="9"/>
  <c r="Y91" i="9"/>
  <c r="AA376" i="9"/>
  <c r="R255" i="9"/>
  <c r="S288" i="9"/>
  <c r="S337" i="9"/>
  <c r="AA337" i="9"/>
  <c r="S317" i="9"/>
  <c r="AA314" i="9"/>
  <c r="AA312" i="9"/>
  <c r="AA300" i="9"/>
  <c r="S297" i="9"/>
  <c r="S374" i="9"/>
  <c r="Z386" i="9"/>
  <c r="Y201" i="9"/>
  <c r="Y160" i="9"/>
  <c r="Y117" i="9"/>
  <c r="Y99" i="9"/>
  <c r="Y220" i="9"/>
  <c r="Y199" i="9"/>
  <c r="Y174" i="9"/>
  <c r="Y143" i="9"/>
  <c r="Y133" i="9"/>
  <c r="Y124" i="9"/>
  <c r="Y107" i="9"/>
  <c r="Y93" i="9"/>
  <c r="Y77" i="9"/>
  <c r="AA366" i="9"/>
  <c r="AA373" i="9"/>
  <c r="A3" i="2"/>
  <c r="C420" i="24"/>
  <c r="C470" i="24"/>
  <c r="P471" i="24" s="1"/>
  <c r="C506" i="24"/>
  <c r="C486" i="24"/>
  <c r="C535" i="24"/>
  <c r="P536" i="24" s="1"/>
  <c r="B22" i="15"/>
  <c r="B46" i="13"/>
  <c r="B46" i="14"/>
  <c r="B22" i="13"/>
  <c r="B46" i="15"/>
  <c r="B10" i="14"/>
  <c r="B34" i="13"/>
  <c r="B34" i="14"/>
  <c r="B10" i="13"/>
  <c r="B22" i="14"/>
  <c r="B34" i="15"/>
  <c r="B10" i="15"/>
  <c r="C386" i="24"/>
  <c r="P387" i="24" s="1"/>
  <c r="C559" i="24"/>
  <c r="P560" i="24" s="1"/>
  <c r="C433" i="24"/>
  <c r="C484" i="24"/>
  <c r="N497" i="24" s="1"/>
  <c r="C424" i="24"/>
  <c r="N437" i="24" s="1"/>
  <c r="C544" i="24"/>
  <c r="C451" i="24"/>
  <c r="P452" i="24" s="1"/>
  <c r="C438" i="24"/>
  <c r="C524" i="24"/>
  <c r="N525" i="24" s="1"/>
  <c r="C485" i="24"/>
  <c r="N486" i="24" s="1"/>
  <c r="C416" i="24"/>
  <c r="P417" i="24" s="1"/>
  <c r="C472" i="24"/>
  <c r="N473" i="24" s="1"/>
  <c r="C406" i="24"/>
  <c r="N407" i="24" s="1"/>
  <c r="C459" i="24"/>
  <c r="N460" i="24" s="1"/>
  <c r="C478" i="24"/>
  <c r="C455" i="24"/>
  <c r="D12" i="2"/>
  <c r="D6" i="4" s="1"/>
  <c r="C565" i="24"/>
  <c r="N566" i="24" s="1"/>
  <c r="C393" i="24"/>
  <c r="N394" i="24" s="1"/>
  <c r="C408" i="24"/>
  <c r="P409" i="24" s="1"/>
  <c r="C446" i="24"/>
  <c r="C507" i="24"/>
  <c r="P508" i="24" s="1"/>
  <c r="C497" i="24"/>
  <c r="P498" i="24" s="1"/>
  <c r="C359" i="24"/>
  <c r="C384" i="24"/>
  <c r="P385" i="24" s="1"/>
  <c r="C381" i="24"/>
  <c r="P382" i="24" s="1"/>
  <c r="C398" i="24"/>
  <c r="N399" i="24" s="1"/>
  <c r="C355" i="24"/>
  <c r="C434" i="24"/>
  <c r="C542" i="24"/>
  <c r="N543" i="24" s="1"/>
  <c r="C372" i="24"/>
  <c r="P373" i="24" s="1"/>
  <c r="C495" i="24"/>
  <c r="N496" i="24" s="1"/>
  <c r="C481" i="24"/>
  <c r="C425" i="24"/>
  <c r="C545" i="24"/>
  <c r="P546" i="24" s="1"/>
  <c r="C552" i="24"/>
  <c r="N553" i="24" s="1"/>
  <c r="C396" i="24"/>
  <c r="C461" i="24"/>
  <c r="N462" i="24" s="1"/>
  <c r="C554" i="24"/>
  <c r="C548" i="24"/>
  <c r="C364" i="24"/>
  <c r="C369" i="24"/>
  <c r="P370" i="24" s="1"/>
  <c r="C360" i="24"/>
  <c r="C405" i="24"/>
  <c r="C371" i="24"/>
  <c r="P372" i="24" s="1"/>
  <c r="C435" i="24"/>
  <c r="N436" i="24" s="1"/>
  <c r="C421" i="24"/>
  <c r="C550" i="24"/>
  <c r="N551" i="24" s="1"/>
  <c r="C404" i="24"/>
  <c r="P405" i="24" s="1"/>
  <c r="C477" i="24"/>
  <c r="P478" i="24" s="1"/>
  <c r="C413" i="24"/>
  <c r="P414" i="24" s="1"/>
  <c r="C556" i="24"/>
  <c r="C508" i="24"/>
  <c r="C442" i="24"/>
  <c r="C560" i="24"/>
  <c r="N561" i="24" s="1"/>
  <c r="C526" i="24"/>
  <c r="P527" i="24" s="1"/>
  <c r="C533" i="24"/>
  <c r="N534" i="24" s="1"/>
  <c r="C452" i="24"/>
  <c r="N453" i="24" s="1"/>
  <c r="C419" i="24"/>
  <c r="C493" i="24"/>
  <c r="N494" i="24" s="1"/>
  <c r="C498" i="24"/>
  <c r="N499" i="24" s="1"/>
  <c r="C407" i="24"/>
  <c r="N408" i="24" s="1"/>
  <c r="C356" i="24"/>
  <c r="C467" i="24"/>
  <c r="C505" i="24"/>
  <c r="C376" i="24"/>
  <c r="N377" i="24" s="1"/>
  <c r="C490" i="24"/>
  <c r="N491" i="24" s="1"/>
  <c r="C367" i="24"/>
  <c r="C430" i="24"/>
  <c r="N431" i="24" s="1"/>
  <c r="C394" i="24"/>
  <c r="P395" i="24" s="1"/>
  <c r="C445" i="24"/>
  <c r="C476" i="24"/>
  <c r="P477" i="24" s="1"/>
  <c r="C471" i="24"/>
  <c r="P472" i="24" s="1"/>
  <c r="C562" i="24"/>
  <c r="P563" i="24" s="1"/>
  <c r="C365" i="24"/>
  <c r="C515" i="24"/>
  <c r="N516" i="24" s="1"/>
  <c r="C546" i="24"/>
  <c r="P485" i="24"/>
  <c r="C366" i="24"/>
  <c r="C549" i="24"/>
  <c r="N550" i="24" s="1"/>
  <c r="C504" i="24"/>
  <c r="N505" i="24" s="1"/>
  <c r="C566" i="24"/>
  <c r="C530" i="24"/>
  <c r="P531" i="24" s="1"/>
  <c r="C429" i="24"/>
  <c r="P430" i="24" s="1"/>
  <c r="C501" i="24"/>
  <c r="P502" i="24" s="1"/>
  <c r="C353" i="24"/>
  <c r="C423" i="24"/>
  <c r="C483" i="24"/>
  <c r="P484" i="24" s="1"/>
  <c r="C385" i="24"/>
  <c r="N386" i="24" s="1"/>
  <c r="C414" i="24"/>
  <c r="P415" i="24" s="1"/>
  <c r="C410" i="24"/>
  <c r="C480" i="24"/>
  <c r="C499" i="24"/>
  <c r="C492" i="24"/>
  <c r="C482" i="24"/>
  <c r="N483" i="24" s="1"/>
  <c r="C363" i="24"/>
  <c r="C558" i="24"/>
  <c r="P559" i="24" s="1"/>
  <c r="C568" i="24"/>
  <c r="C439" i="24"/>
  <c r="P440" i="24" s="1"/>
  <c r="C479" i="24"/>
  <c r="C374" i="24"/>
  <c r="C569" i="24"/>
  <c r="C575" i="24"/>
  <c r="C578" i="24"/>
  <c r="C573" i="24"/>
  <c r="C570" i="24"/>
  <c r="C576" i="24"/>
  <c r="C577" i="24"/>
  <c r="C574" i="24"/>
  <c r="C580" i="24"/>
  <c r="C571" i="24"/>
  <c r="C572" i="24"/>
  <c r="C579" i="24"/>
  <c r="C379" i="24"/>
  <c r="N380" i="24" s="1"/>
  <c r="C389" i="24"/>
  <c r="N390" i="24" s="1"/>
  <c r="C529" i="24"/>
  <c r="N530" i="24" s="1"/>
  <c r="C503" i="24"/>
  <c r="P504" i="24" s="1"/>
  <c r="C448" i="24"/>
  <c r="C370" i="24"/>
  <c r="P371" i="24" s="1"/>
  <c r="C525" i="24"/>
  <c r="P526" i="24" s="1"/>
  <c r="C457" i="24"/>
  <c r="C463" i="24"/>
  <c r="N464" i="24" s="1"/>
  <c r="C453" i="24"/>
  <c r="P454" i="24" s="1"/>
  <c r="C516" i="24"/>
  <c r="N517" i="24" s="1"/>
  <c r="C426" i="24"/>
  <c r="N427" i="24" s="1"/>
  <c r="C468" i="24"/>
  <c r="P469" i="24" s="1"/>
  <c r="C447" i="24"/>
  <c r="N448" i="24" s="1"/>
  <c r="C527" i="24"/>
  <c r="C519" i="24"/>
  <c r="N520" i="24" s="1"/>
  <c r="C460" i="24"/>
  <c r="C441" i="24"/>
  <c r="P442" i="24" s="1"/>
  <c r="C514" i="24"/>
  <c r="C443" i="24"/>
  <c r="N444" i="24" s="1"/>
  <c r="C469" i="24"/>
  <c r="P470" i="24" s="1"/>
  <c r="C513" i="24"/>
  <c r="N514" i="24" s="1"/>
  <c r="C551" i="24"/>
  <c r="P552" i="24" s="1"/>
  <c r="C436" i="24"/>
  <c r="C437" i="24"/>
  <c r="N438" i="24" s="1"/>
  <c r="C509" i="24"/>
  <c r="P510" i="24" s="1"/>
  <c r="C540" i="24"/>
  <c r="N541" i="24" s="1"/>
  <c r="C518" i="24"/>
  <c r="P519" i="24" s="1"/>
  <c r="C391" i="24"/>
  <c r="C454" i="24"/>
  <c r="N455" i="24" s="1"/>
  <c r="C500" i="24"/>
  <c r="N501" i="24" s="1"/>
  <c r="C462" i="24"/>
  <c r="P463" i="24" s="1"/>
  <c r="C444" i="24"/>
  <c r="C415" i="24"/>
  <c r="N416" i="24" s="1"/>
  <c r="C547" i="24"/>
  <c r="P548" i="24" s="1"/>
  <c r="C387" i="24"/>
  <c r="N388" i="24" s="1"/>
  <c r="Q125" i="9"/>
  <c r="Q116" i="9"/>
  <c r="Y12" i="9"/>
  <c r="R27" i="9"/>
  <c r="Q13" i="9"/>
  <c r="S41" i="9"/>
  <c r="Y59" i="9"/>
  <c r="AA13" i="9"/>
  <c r="Z44" i="9"/>
  <c r="AA39" i="9"/>
  <c r="R24" i="9"/>
  <c r="AA17" i="9"/>
  <c r="S15" i="9"/>
  <c r="Q56" i="9"/>
  <c r="Q48" i="9"/>
  <c r="Q34" i="9"/>
  <c r="Z56" i="9"/>
  <c r="S19" i="9"/>
  <c r="R19" i="9"/>
  <c r="Y26" i="9"/>
  <c r="AA58" i="9"/>
  <c r="Y54" i="9"/>
  <c r="Y42" i="9"/>
  <c r="Q42" i="9"/>
  <c r="R40" i="9"/>
  <c r="R36" i="9"/>
  <c r="Q30" i="9"/>
  <c r="Y29" i="9"/>
  <c r="Q27" i="9"/>
  <c r="R18" i="9"/>
  <c r="Z17" i="9"/>
  <c r="Z55" i="9"/>
  <c r="Y33" i="9"/>
  <c r="R53" i="9"/>
  <c r="R45" i="9"/>
  <c r="AA35" i="9"/>
  <c r="Z23" i="9"/>
  <c r="Z22" i="9"/>
  <c r="S17" i="9"/>
  <c r="R359" i="9"/>
  <c r="R42" i="9"/>
  <c r="AA38" i="9"/>
  <c r="Y52" i="9"/>
  <c r="R63" i="9"/>
  <c r="AA59" i="9"/>
  <c r="AA57" i="9"/>
  <c r="Y34" i="9"/>
  <c r="R31" i="9"/>
  <c r="AA384" i="9"/>
  <c r="R391" i="9"/>
  <c r="AA18" i="9"/>
  <c r="Q220" i="9"/>
  <c r="Q207" i="9"/>
  <c r="Q161" i="9"/>
  <c r="Q60" i="9"/>
  <c r="AA47" i="9"/>
  <c r="Q288" i="9"/>
  <c r="Q21" i="9"/>
  <c r="S62" i="9"/>
  <c r="AA61" i="9"/>
  <c r="S55" i="9"/>
  <c r="AA52" i="9"/>
  <c r="S51" i="9"/>
  <c r="Z46" i="9"/>
  <c r="AA44" i="9"/>
  <c r="Y38" i="9"/>
  <c r="Q36" i="9"/>
  <c r="Y35" i="9"/>
  <c r="AA24" i="9"/>
  <c r="Y14" i="9"/>
  <c r="P380" i="24"/>
  <c r="Q202" i="9"/>
  <c r="Q198" i="9"/>
  <c r="Y195" i="9"/>
  <c r="Y165" i="9"/>
  <c r="Y151" i="9"/>
  <c r="Y148" i="9"/>
  <c r="R244" i="9"/>
  <c r="S246" i="9"/>
  <c r="Q252" i="9"/>
  <c r="S253" i="9"/>
  <c r="S283" i="9"/>
  <c r="S281" i="9"/>
  <c r="Q296" i="9"/>
  <c r="AA293" i="9"/>
  <c r="AA291" i="9"/>
  <c r="AA287" i="9"/>
  <c r="AA286" i="9"/>
  <c r="AA284" i="9"/>
  <c r="AA282" i="9"/>
  <c r="AA280" i="9"/>
  <c r="AA278" i="9"/>
  <c r="S350" i="9"/>
  <c r="Q346" i="9"/>
  <c r="Y346" i="9"/>
  <c r="AA343" i="9"/>
  <c r="Q342" i="9"/>
  <c r="S339" i="9"/>
  <c r="Q338" i="9"/>
  <c r="Q336" i="9"/>
  <c r="Y335" i="9"/>
  <c r="AA333" i="9"/>
  <c r="Y324" i="9"/>
  <c r="Y355" i="9"/>
  <c r="AA359" i="9"/>
  <c r="Y367" i="9"/>
  <c r="Q372" i="9"/>
  <c r="S377" i="9"/>
  <c r="Q185" i="9"/>
  <c r="Q175" i="9"/>
  <c r="Q231" i="9"/>
  <c r="Q222" i="9"/>
  <c r="Q194" i="9"/>
  <c r="Q144" i="9"/>
  <c r="Q164" i="9"/>
  <c r="Q153" i="9"/>
  <c r="Q148" i="9"/>
  <c r="Q122" i="9"/>
  <c r="Q115" i="9"/>
  <c r="Q103" i="9"/>
  <c r="Q96" i="9"/>
  <c r="AA237" i="9"/>
  <c r="AA249" i="9"/>
  <c r="Q133" i="9"/>
  <c r="Y144" i="9"/>
  <c r="Y136" i="9"/>
  <c r="R306" i="9"/>
  <c r="Q160" i="9"/>
  <c r="Q157" i="9"/>
  <c r="Q128" i="9"/>
  <c r="Q77" i="9"/>
  <c r="Y211" i="9"/>
  <c r="Y205" i="9"/>
  <c r="Y191" i="9"/>
  <c r="Y186" i="9"/>
  <c r="Y181" i="9"/>
  <c r="Y176" i="9"/>
  <c r="Y170" i="9"/>
  <c r="Y164" i="9"/>
  <c r="S349" i="9"/>
  <c r="R242" i="9"/>
  <c r="Q242" i="9"/>
  <c r="Y243" i="9"/>
  <c r="AA248" i="9"/>
  <c r="R250" i="9"/>
  <c r="S251" i="9"/>
  <c r="Z253" i="9"/>
  <c r="S264" i="9"/>
  <c r="Y259" i="9"/>
  <c r="Z269" i="9"/>
  <c r="Q257" i="9"/>
  <c r="R293" i="9"/>
  <c r="R295" i="9"/>
  <c r="Z284" i="9"/>
  <c r="Z280" i="9"/>
  <c r="S338" i="9"/>
  <c r="S333" i="9"/>
  <c r="AA309" i="9"/>
  <c r="AA304" i="9"/>
  <c r="Z64" i="9"/>
  <c r="Q337" i="9"/>
  <c r="R334" i="9"/>
  <c r="Z306" i="9"/>
  <c r="Y387" i="9"/>
  <c r="R130" i="9"/>
  <c r="R96" i="9"/>
  <c r="S280" i="9"/>
  <c r="Q138" i="9"/>
  <c r="Q84" i="9"/>
  <c r="Y240" i="9"/>
  <c r="Z334" i="9"/>
  <c r="R184" i="9"/>
  <c r="R175" i="9"/>
  <c r="N560" i="24"/>
  <c r="C431" i="24"/>
  <c r="P432" i="24" s="1"/>
  <c r="Y78" i="9"/>
  <c r="Y75" i="9"/>
  <c r="Y222" i="9"/>
  <c r="Y108" i="9"/>
  <c r="Q258" i="9"/>
  <c r="Q275" i="9"/>
  <c r="R352" i="9"/>
  <c r="Y334" i="9"/>
  <c r="R330" i="9"/>
  <c r="R328" i="9"/>
  <c r="S322" i="9"/>
  <c r="S320" i="9"/>
  <c r="Q319" i="9"/>
  <c r="Z317" i="9"/>
  <c r="Z315" i="9"/>
  <c r="R315" i="9"/>
  <c r="Z311" i="9"/>
  <c r="S307" i="9"/>
  <c r="R304" i="9"/>
  <c r="R303" i="9"/>
  <c r="R300" i="9"/>
  <c r="Q298" i="9"/>
  <c r="Z297" i="9"/>
  <c r="R353" i="9"/>
  <c r="Z356" i="9"/>
  <c r="Q358" i="9"/>
  <c r="Q360" i="9"/>
  <c r="Q365" i="9"/>
  <c r="AA367" i="9"/>
  <c r="Y368" i="9"/>
  <c r="Z368" i="9"/>
  <c r="AA371" i="9"/>
  <c r="R374" i="9"/>
  <c r="R379" i="9"/>
  <c r="Q379" i="9"/>
  <c r="R381" i="9"/>
  <c r="Z381" i="9"/>
  <c r="R383" i="9"/>
  <c r="Q388" i="9"/>
  <c r="Z390" i="9"/>
  <c r="R390" i="9"/>
  <c r="Z392" i="9"/>
  <c r="R393" i="9"/>
  <c r="Z270" i="9"/>
  <c r="S267" i="9"/>
  <c r="S261" i="9"/>
  <c r="Z275" i="9"/>
  <c r="S291" i="9"/>
  <c r="S353" i="9"/>
  <c r="AA348" i="9"/>
  <c r="Y154" i="9"/>
  <c r="Y74" i="9"/>
  <c r="Y171" i="9"/>
  <c r="Q243" i="9"/>
  <c r="Y226" i="9"/>
  <c r="R240" i="9"/>
  <c r="S240" i="9"/>
  <c r="AA247" i="9"/>
  <c r="AA254" i="9"/>
  <c r="AA255" i="9"/>
  <c r="P453" i="24"/>
  <c r="N382" i="24"/>
  <c r="N409" i="24"/>
  <c r="N471" i="24"/>
  <c r="C397" i="24"/>
  <c r="C388" i="24"/>
  <c r="P389" i="24" s="1"/>
  <c r="C383" i="24"/>
  <c r="C538" i="24"/>
  <c r="C382" i="24"/>
  <c r="C561" i="24"/>
  <c r="C422" i="24"/>
  <c r="C399" i="24"/>
  <c r="P400" i="24" s="1"/>
  <c r="N498" i="24"/>
  <c r="P486" i="24"/>
  <c r="C418" i="24"/>
  <c r="B7" i="2"/>
  <c r="R226" i="9"/>
  <c r="R189" i="9"/>
  <c r="R150" i="9"/>
  <c r="R144" i="9"/>
  <c r="R132" i="9"/>
  <c r="R129" i="9"/>
  <c r="R125" i="9"/>
  <c r="R89" i="9"/>
  <c r="R83" i="9"/>
  <c r="R80" i="9"/>
  <c r="R72" i="9"/>
  <c r="R67" i="9"/>
  <c r="Y333" i="9"/>
  <c r="Z205" i="9"/>
  <c r="Z188" i="9"/>
  <c r="Z155" i="9"/>
  <c r="Z312" i="9"/>
  <c r="AA342" i="9"/>
  <c r="Z389" i="9"/>
  <c r="Z380" i="9"/>
  <c r="Z238" i="9"/>
  <c r="R246" i="9"/>
  <c r="Y249" i="9"/>
  <c r="R252" i="9"/>
  <c r="Y253" i="9"/>
  <c r="R262" i="9"/>
  <c r="R259" i="9"/>
  <c r="AA265" i="9"/>
  <c r="Q277" i="9"/>
  <c r="AA272" i="9"/>
  <c r="Y272" i="9"/>
  <c r="S256" i="9"/>
  <c r="S292" i="9"/>
  <c r="Y292" i="9"/>
  <c r="S344" i="9"/>
  <c r="Q341" i="9"/>
  <c r="Y340" i="9"/>
  <c r="R326" i="9"/>
  <c r="Q322" i="9"/>
  <c r="Z322" i="9"/>
  <c r="AA318" i="9"/>
  <c r="Q339" i="9"/>
  <c r="AA349" i="9"/>
  <c r="R305" i="9"/>
  <c r="R301" i="9"/>
  <c r="Y345" i="9"/>
  <c r="AA368" i="9"/>
  <c r="AA277" i="9"/>
  <c r="Z305" i="9"/>
  <c r="R329" i="9"/>
  <c r="Y388" i="9"/>
  <c r="Q299" i="9"/>
  <c r="R239" i="9"/>
  <c r="Q249" i="9"/>
  <c r="Y251" i="9"/>
  <c r="Z251" i="9"/>
  <c r="AA253" i="9"/>
  <c r="Q253" i="9"/>
  <c r="R254" i="9"/>
  <c r="S260" i="9"/>
  <c r="Y275" i="9"/>
  <c r="Q290" i="9"/>
  <c r="S272" i="9"/>
  <c r="Q295" i="9"/>
  <c r="Y349" i="9"/>
  <c r="R333" i="9"/>
  <c r="Z333" i="9"/>
  <c r="S323" i="9"/>
  <c r="Y319" i="9"/>
  <c r="R307" i="9"/>
  <c r="T430" i="9"/>
  <c r="R209" i="9"/>
  <c r="R229" i="9"/>
  <c r="R218" i="9"/>
  <c r="R186" i="9"/>
  <c r="R181" i="9"/>
  <c r="R177" i="9"/>
  <c r="R138" i="9"/>
  <c r="R122" i="9"/>
  <c r="R119" i="9"/>
  <c r="R113" i="9"/>
  <c r="R110" i="9"/>
  <c r="R105" i="9"/>
  <c r="R102" i="9"/>
  <c r="R98" i="9"/>
  <c r="R95" i="9"/>
  <c r="R86" i="9"/>
  <c r="R77" i="9"/>
  <c r="R74" i="9"/>
  <c r="Z218" i="9"/>
  <c r="Z163" i="9"/>
  <c r="Z316" i="9"/>
  <c r="Y236" i="9"/>
  <c r="AA350" i="9"/>
  <c r="Z372" i="9"/>
  <c r="P394" i="24"/>
  <c r="C557" i="24"/>
  <c r="C411" i="24"/>
  <c r="P412" i="24" s="1"/>
  <c r="C380" i="24"/>
  <c r="C567" i="24"/>
  <c r="C464" i="24"/>
  <c r="P465" i="24" s="1"/>
  <c r="C502" i="24"/>
  <c r="N503" i="24" s="1"/>
  <c r="C555" i="24"/>
  <c r="C473" i="24"/>
  <c r="C510" i="24"/>
  <c r="C432" i="24"/>
  <c r="C539" i="24"/>
  <c r="C537" i="24"/>
  <c r="C541" i="24"/>
  <c r="C536" i="24"/>
  <c r="C362" i="24"/>
  <c r="C440" i="24"/>
  <c r="P441" i="24" s="1"/>
  <c r="C390" i="24"/>
  <c r="N391" i="24" s="1"/>
  <c r="C521" i="24"/>
  <c r="N522" i="24" s="1"/>
  <c r="C494" i="24"/>
  <c r="C378" i="24"/>
  <c r="N379" i="24" s="1"/>
  <c r="C427" i="24"/>
  <c r="C564" i="24"/>
  <c r="C377" i="24"/>
  <c r="C523" i="24"/>
  <c r="N524" i="24" s="1"/>
  <c r="C428" i="24"/>
  <c r="P429" i="24" s="1"/>
  <c r="C375" i="24"/>
  <c r="N376" i="24" s="1"/>
  <c r="C456" i="24"/>
  <c r="C531" i="24"/>
  <c r="N532" i="24" s="1"/>
  <c r="C373" i="24"/>
  <c r="C368" i="24"/>
  <c r="C532" i="24"/>
  <c r="C450" i="24"/>
  <c r="P451" i="24" s="1"/>
  <c r="C553" i="24"/>
  <c r="N554" i="24" s="1"/>
  <c r="C403" i="24"/>
  <c r="P404" i="24" s="1"/>
  <c r="C409" i="24"/>
  <c r="P410" i="24" s="1"/>
  <c r="C395" i="24"/>
  <c r="P396" i="24" s="1"/>
  <c r="C465" i="24"/>
  <c r="N466" i="24" s="1"/>
  <c r="C417" i="24"/>
  <c r="N418" i="24" s="1"/>
  <c r="C361" i="24"/>
  <c r="C528" i="24"/>
  <c r="P529" i="24" s="1"/>
  <c r="A586" i="24"/>
  <c r="C489" i="24"/>
  <c r="C491" i="24"/>
  <c r="C522" i="24"/>
  <c r="N523" i="24" s="1"/>
  <c r="C474" i="24"/>
  <c r="P475" i="24" s="1"/>
  <c r="C354" i="24"/>
  <c r="C458" i="24"/>
  <c r="C449" i="24"/>
  <c r="P450" i="24" s="1"/>
  <c r="C512" i="24"/>
  <c r="C511" i="24"/>
  <c r="C520" i="24"/>
  <c r="C400" i="24"/>
  <c r="C517" i="24"/>
  <c r="N518" i="24" s="1"/>
  <c r="C496" i="24"/>
  <c r="N521" i="24" s="1"/>
  <c r="C401" i="24"/>
  <c r="C475" i="24"/>
  <c r="P476" i="24" s="1"/>
  <c r="C412" i="24"/>
  <c r="N425" i="24" s="1"/>
  <c r="C402" i="24"/>
  <c r="N403" i="24" s="1"/>
  <c r="C563" i="24"/>
  <c r="C358" i="24"/>
  <c r="C466" i="24"/>
  <c r="C543" i="24"/>
  <c r="C534" i="24"/>
  <c r="C487" i="24"/>
  <c r="C488" i="24"/>
  <c r="C392" i="24"/>
  <c r="N478" i="24"/>
  <c r="P462" i="24"/>
  <c r="N552" i="24"/>
  <c r="N405" i="24"/>
  <c r="P501" i="24"/>
  <c r="S160" i="9"/>
  <c r="S257" i="9"/>
  <c r="Y254" i="9"/>
  <c r="R247" i="9"/>
  <c r="Z245" i="9"/>
  <c r="AA266" i="9"/>
  <c r="AA264" i="9"/>
  <c r="AA262" i="9"/>
  <c r="AA260" i="9"/>
  <c r="AA258" i="9"/>
  <c r="Q278" i="9"/>
  <c r="Q284" i="9"/>
  <c r="Q283" i="9"/>
  <c r="Q281" i="9"/>
  <c r="S295" i="9"/>
  <c r="Y296" i="9"/>
  <c r="Y289" i="9"/>
  <c r="Y287" i="9"/>
  <c r="Y281" i="9"/>
  <c r="Y279" i="9"/>
  <c r="Y278" i="9"/>
  <c r="Y351" i="9"/>
  <c r="Q344" i="9"/>
  <c r="Z341" i="9"/>
  <c r="R336" i="9"/>
  <c r="S331" i="9"/>
  <c r="AA330" i="9"/>
  <c r="S329" i="9"/>
  <c r="AA328" i="9"/>
  <c r="AA327" i="9"/>
  <c r="S325" i="9"/>
  <c r="AA324" i="9"/>
  <c r="Z321" i="9"/>
  <c r="R319" i="9"/>
  <c r="AA317" i="9"/>
  <c r="S315" i="9"/>
  <c r="S313" i="9"/>
  <c r="S312" i="9"/>
  <c r="AA311" i="9"/>
  <c r="S309" i="9"/>
  <c r="S303" i="9"/>
  <c r="AA303" i="9"/>
  <c r="S301" i="9"/>
  <c r="S300" i="9"/>
  <c r="S156" i="9"/>
  <c r="R299" i="9"/>
  <c r="S213" i="9"/>
  <c r="S205" i="9"/>
  <c r="Q239" i="9"/>
  <c r="R241" i="9"/>
  <c r="Y252" i="9"/>
  <c r="Q263" i="9"/>
  <c r="Q274" i="9"/>
  <c r="Y344" i="9"/>
  <c r="Y354" i="9"/>
  <c r="Q378" i="9"/>
  <c r="AA378" i="9"/>
  <c r="Y390" i="9"/>
  <c r="S236" i="9"/>
  <c r="Y208" i="9"/>
  <c r="Y161" i="9"/>
  <c r="S249" i="9"/>
  <c r="S255" i="9"/>
  <c r="Y271" i="9"/>
  <c r="Q260" i="9"/>
  <c r="Q271" i="9"/>
  <c r="R274" i="9"/>
  <c r="S334" i="9"/>
  <c r="AA332" i="9"/>
  <c r="Z365" i="9"/>
  <c r="Z369" i="9"/>
  <c r="Y375" i="9"/>
  <c r="Y225" i="9"/>
  <c r="Y198" i="9"/>
  <c r="Z237" i="9"/>
  <c r="Y258" i="9"/>
  <c r="AA257" i="9"/>
  <c r="R322" i="9"/>
  <c r="Z304" i="9"/>
  <c r="Z299" i="9"/>
  <c r="AA353" i="9"/>
  <c r="Q354" i="9"/>
  <c r="S356" i="9"/>
  <c r="Y370" i="9"/>
  <c r="S375" i="9"/>
  <c r="AA375" i="9"/>
  <c r="Y376" i="9"/>
  <c r="Y379" i="9"/>
  <c r="S382" i="9"/>
  <c r="AA381" i="9"/>
  <c r="Q383" i="9"/>
  <c r="AA385" i="9"/>
  <c r="S388" i="9"/>
  <c r="Y179" i="9"/>
  <c r="Y172" i="9"/>
  <c r="Z235" i="9"/>
  <c r="Q363" i="9"/>
  <c r="AA369" i="9"/>
  <c r="Y162" i="9"/>
  <c r="Y149" i="9"/>
  <c r="P438" i="24"/>
  <c r="N484" i="24"/>
  <c r="N440" i="24"/>
  <c r="R136" i="9"/>
  <c r="R234" i="9"/>
  <c r="Q254" i="9"/>
  <c r="Q255" i="9"/>
  <c r="Z355" i="9"/>
  <c r="AA382" i="9"/>
  <c r="S392" i="9"/>
  <c r="R224" i="9"/>
  <c r="S143" i="9"/>
  <c r="R354" i="9"/>
  <c r="Q355" i="9"/>
  <c r="R373" i="9"/>
  <c r="R377" i="9"/>
  <c r="AA380" i="9"/>
  <c r="Z391" i="9"/>
  <c r="AA66" i="9"/>
  <c r="AA236" i="9"/>
  <c r="Y239" i="9"/>
  <c r="Q244" i="9"/>
  <c r="Q248" i="9"/>
  <c r="R249" i="9"/>
  <c r="Z250" i="9"/>
  <c r="R253" i="9"/>
  <c r="R256" i="9"/>
  <c r="R264" i="9"/>
  <c r="R258" i="9"/>
  <c r="Y267" i="9"/>
  <c r="Y264" i="9"/>
  <c r="Y260" i="9"/>
  <c r="S278" i="9"/>
  <c r="AA274" i="9"/>
  <c r="R286" i="9"/>
  <c r="R284" i="9"/>
  <c r="R281" i="9"/>
  <c r="R289" i="9"/>
  <c r="Z295" i="9"/>
  <c r="Z293" i="9"/>
  <c r="Z285" i="9"/>
  <c r="Z279" i="9"/>
  <c r="Z350" i="9"/>
  <c r="R349" i="9"/>
  <c r="Z348" i="9"/>
  <c r="S341" i="9"/>
  <c r="AA340" i="9"/>
  <c r="R340" i="9"/>
  <c r="AA338" i="9"/>
  <c r="AA336" i="9"/>
  <c r="Q333" i="9"/>
  <c r="Y332" i="9"/>
  <c r="Y330" i="9"/>
  <c r="Q329" i="9"/>
  <c r="Y328" i="9"/>
  <c r="Y325" i="9"/>
  <c r="Q325" i="9"/>
  <c r="AA321" i="9"/>
  <c r="R320" i="9"/>
  <c r="Z319" i="9"/>
  <c r="Q317" i="9"/>
  <c r="Q314" i="9"/>
  <c r="Y311" i="9"/>
  <c r="Q311" i="9"/>
  <c r="Q307" i="9"/>
  <c r="Y299" i="9"/>
  <c r="AA356" i="9"/>
  <c r="Z357" i="9"/>
  <c r="Z362" i="9"/>
  <c r="S362" i="9"/>
  <c r="AA363" i="9"/>
  <c r="Z371" i="9"/>
  <c r="S370" i="9"/>
  <c r="Y372" i="9"/>
  <c r="Q373" i="9"/>
  <c r="Z375" i="9"/>
  <c r="Y381" i="9"/>
  <c r="Q387" i="9"/>
  <c r="Z388" i="9"/>
  <c r="AA389" i="9"/>
  <c r="Q389" i="9"/>
  <c r="Y393" i="9"/>
  <c r="S239" i="9"/>
  <c r="S238" i="9"/>
  <c r="Q246" i="9"/>
  <c r="Q245" i="9"/>
  <c r="Y245" i="9"/>
  <c r="Y246" i="9"/>
  <c r="Y261" i="9"/>
  <c r="Y262" i="9"/>
  <c r="AA270" i="9"/>
  <c r="AA271" i="9"/>
  <c r="R282" i="9"/>
  <c r="R283" i="9"/>
  <c r="Z257" i="9"/>
  <c r="Z256" i="9"/>
  <c r="S294" i="9"/>
  <c r="S293" i="9"/>
  <c r="Z292" i="9"/>
  <c r="Z291" i="9"/>
  <c r="Z288" i="9"/>
  <c r="Z287" i="9"/>
  <c r="Z347" i="9"/>
  <c r="Z346" i="9"/>
  <c r="R344" i="9"/>
  <c r="R343" i="9"/>
  <c r="S335" i="9"/>
  <c r="S336" i="9"/>
  <c r="Q331" i="9"/>
  <c r="Q330" i="9"/>
  <c r="R309" i="9"/>
  <c r="R308" i="9"/>
  <c r="Y305" i="9"/>
  <c r="Y306" i="9"/>
  <c r="Y297" i="9"/>
  <c r="Y298" i="9"/>
  <c r="AA364" i="9"/>
  <c r="R364" i="9"/>
  <c r="R363" i="9"/>
  <c r="Z367" i="9"/>
  <c r="Z366" i="9"/>
  <c r="R369" i="9"/>
  <c r="R368" i="9"/>
  <c r="Q380" i="9"/>
  <c r="Q381" i="9"/>
  <c r="Y384" i="9"/>
  <c r="Y383" i="9"/>
  <c r="S385" i="9"/>
  <c r="S386" i="9"/>
  <c r="Q394" i="9"/>
  <c r="Q393" i="9"/>
  <c r="S275" i="9"/>
  <c r="Q261" i="9"/>
  <c r="Q267" i="9"/>
  <c r="S289" i="9"/>
  <c r="Y277" i="9"/>
  <c r="Y356" i="9"/>
  <c r="Y358" i="9"/>
  <c r="Z376" i="9"/>
  <c r="S379" i="9"/>
  <c r="S384" i="9"/>
  <c r="Q390" i="9"/>
  <c r="Z93" i="9"/>
  <c r="Z80" i="9"/>
  <c r="Z95" i="9"/>
  <c r="S393" i="9"/>
  <c r="AA302" i="9"/>
  <c r="R238" i="9"/>
  <c r="Z246" i="9"/>
  <c r="S326" i="9"/>
  <c r="AA267" i="9"/>
  <c r="S302" i="9"/>
  <c r="S324" i="9"/>
  <c r="Z340" i="9"/>
  <c r="Y359" i="9"/>
  <c r="Z236" i="9"/>
  <c r="AA103" i="9"/>
  <c r="AA326" i="9"/>
  <c r="Q279" i="9"/>
  <c r="AA383" i="9"/>
  <c r="Y282" i="9"/>
  <c r="S352" i="9"/>
  <c r="Y326" i="9"/>
  <c r="Z318" i="9"/>
  <c r="R394" i="9"/>
  <c r="Q352" i="9"/>
  <c r="S332" i="9"/>
  <c r="R321" i="9"/>
  <c r="Q268" i="9"/>
  <c r="S314" i="9"/>
  <c r="AA316" i="9"/>
  <c r="S296" i="9"/>
  <c r="S310" i="9"/>
  <c r="Q353" i="9"/>
  <c r="S330" i="9"/>
  <c r="Z320" i="9"/>
  <c r="AA269" i="9"/>
  <c r="S145" i="9"/>
  <c r="AA252" i="9"/>
  <c r="AA325" i="9"/>
  <c r="R78" i="9"/>
  <c r="R351" i="9"/>
  <c r="S318" i="9"/>
  <c r="Y308" i="9"/>
  <c r="Q151" i="9"/>
  <c r="Z370" i="9"/>
  <c r="S198" i="9"/>
  <c r="AA123" i="9"/>
  <c r="R90" i="9"/>
  <c r="S266" i="9"/>
  <c r="Z271" i="9"/>
  <c r="S273" i="9"/>
  <c r="Y257" i="9"/>
  <c r="Q294" i="9"/>
  <c r="Z344" i="9"/>
  <c r="R341" i="9"/>
  <c r="S299" i="9"/>
  <c r="Z298" i="9"/>
  <c r="AA352" i="9"/>
  <c r="Y357" i="9"/>
  <c r="R362" i="9"/>
  <c r="Z364" i="9"/>
  <c r="Y385" i="9"/>
  <c r="Q150" i="9"/>
  <c r="AA169" i="9"/>
  <c r="Q104" i="9"/>
  <c r="Q247" i="9"/>
  <c r="Y247" i="9"/>
  <c r="S250" i="9"/>
  <c r="S285" i="9"/>
  <c r="S284" i="9"/>
  <c r="S282" i="9"/>
  <c r="AA290" i="9"/>
  <c r="AA285" i="9"/>
  <c r="AA281" i="9"/>
  <c r="Y341" i="9"/>
  <c r="Q334" i="9"/>
  <c r="R317" i="9"/>
  <c r="R312" i="9"/>
  <c r="Q308" i="9"/>
  <c r="Q305" i="9"/>
  <c r="Z302" i="9"/>
  <c r="Z301" i="9"/>
  <c r="R357" i="9"/>
  <c r="Z378" i="9"/>
  <c r="S66" i="9"/>
  <c r="Z241" i="9"/>
  <c r="AA243" i="9"/>
  <c r="R245" i="9"/>
  <c r="Z247" i="9"/>
  <c r="S268" i="9"/>
  <c r="S277" i="9"/>
  <c r="Z294" i="9"/>
  <c r="Z282" i="9"/>
  <c r="Z278" i="9"/>
  <c r="Z351" i="9"/>
  <c r="S346" i="9"/>
  <c r="AA345" i="9"/>
  <c r="S342" i="9"/>
  <c r="Q332" i="9"/>
  <c r="Y329" i="9"/>
  <c r="Z323" i="9"/>
  <c r="Q315" i="9"/>
  <c r="Y315" i="9"/>
  <c r="Q309" i="9"/>
  <c r="AA307" i="9"/>
  <c r="Z198" i="9"/>
  <c r="Q73" i="9"/>
  <c r="Q236" i="9"/>
  <c r="Q238" i="9"/>
  <c r="Z239" i="9"/>
  <c r="Y241" i="9"/>
  <c r="Z243" i="9"/>
  <c r="AA245" i="9"/>
  <c r="AA246" i="9"/>
  <c r="Y248" i="9"/>
  <c r="Q251" i="9"/>
  <c r="R261" i="9"/>
  <c r="AA259" i="9"/>
  <c r="R280" i="9"/>
  <c r="Q259" i="9"/>
  <c r="Q270" i="9"/>
  <c r="S269" i="9"/>
  <c r="R273" i="9"/>
  <c r="R287" i="9"/>
  <c r="S321" i="9"/>
  <c r="S391" i="9"/>
  <c r="R169" i="9"/>
  <c r="R123" i="9"/>
  <c r="Y103" i="9"/>
  <c r="AA197" i="9"/>
  <c r="Q237" i="9"/>
  <c r="Q250" i="9"/>
  <c r="S76" i="9"/>
  <c r="S77" i="9"/>
  <c r="S241" i="9"/>
  <c r="R243" i="9"/>
  <c r="S245" i="9"/>
  <c r="S262" i="9"/>
  <c r="S263" i="9"/>
  <c r="Z277" i="9"/>
  <c r="Z276" i="9"/>
  <c r="Y362" i="9"/>
  <c r="Y361" i="9"/>
  <c r="AA244" i="9"/>
  <c r="Q72" i="9"/>
  <c r="R190" i="9"/>
  <c r="S188" i="9"/>
  <c r="S189" i="9"/>
  <c r="Z166" i="9"/>
  <c r="Z167" i="9"/>
  <c r="Q131" i="9"/>
  <c r="R126" i="9"/>
  <c r="Z111" i="9"/>
  <c r="AA90" i="9"/>
  <c r="AA238" i="9"/>
  <c r="Y242" i="9"/>
  <c r="Y274" i="9"/>
  <c r="Q262" i="9"/>
  <c r="Q273" i="9"/>
  <c r="R270" i="9"/>
  <c r="AA295" i="9"/>
  <c r="AA294" i="9"/>
  <c r="Z352" i="9"/>
  <c r="Z219" i="9"/>
  <c r="Y166" i="9"/>
  <c r="AA130" i="9"/>
  <c r="Q127" i="9"/>
  <c r="AA88" i="9"/>
  <c r="R66" i="9"/>
  <c r="Y238" i="9"/>
  <c r="Y237" i="9"/>
  <c r="S244" i="9"/>
  <c r="Z244" i="9"/>
  <c r="Z249" i="9"/>
  <c r="S252" i="9"/>
  <c r="Q323" i="9"/>
  <c r="Q324" i="9"/>
  <c r="Y317" i="9"/>
  <c r="Y316" i="9"/>
  <c r="S114" i="9"/>
  <c r="AA308" i="9"/>
  <c r="R378" i="9"/>
  <c r="R386" i="9"/>
  <c r="S394" i="9"/>
  <c r="Y307" i="9"/>
  <c r="AA354" i="9"/>
  <c r="Z358" i="9"/>
  <c r="Q265" i="9"/>
  <c r="Q264" i="9"/>
  <c r="Y286" i="9"/>
  <c r="Y339" i="9"/>
  <c r="AA329" i="9"/>
  <c r="AA323" i="9"/>
  <c r="AA310" i="9"/>
  <c r="S306" i="9"/>
  <c r="S357" i="9"/>
  <c r="Z383" i="9"/>
  <c r="T433" i="9"/>
  <c r="R384" i="9"/>
  <c r="Z384" i="9"/>
  <c r="Z193" i="9"/>
  <c r="AA126" i="9"/>
  <c r="R116" i="9"/>
  <c r="Z300" i="9"/>
  <c r="R318" i="9"/>
  <c r="AA235" i="9"/>
  <c r="S219" i="9"/>
  <c r="Y131" i="9"/>
  <c r="Q66" i="9"/>
  <c r="S237" i="9"/>
  <c r="Z262" i="9"/>
  <c r="S279" i="9"/>
  <c r="Z274" i="9"/>
  <c r="Z272" i="9"/>
  <c r="Q280" i="9"/>
  <c r="AA289" i="9"/>
  <c r="AA283" i="9"/>
  <c r="AA279" i="9"/>
  <c r="S347" i="9"/>
  <c r="S343" i="9"/>
  <c r="Y342" i="9"/>
  <c r="Y337" i="9"/>
  <c r="Y336" i="9"/>
  <c r="Z331" i="9"/>
  <c r="Z329" i="9"/>
  <c r="Z327" i="9"/>
  <c r="Q326" i="9"/>
  <c r="R324" i="9"/>
  <c r="Z314" i="9"/>
  <c r="R313" i="9"/>
  <c r="Z309" i="9"/>
  <c r="Q195" i="9"/>
  <c r="AA167" i="9"/>
  <c r="S128" i="9"/>
  <c r="Y73" i="9"/>
  <c r="R263" i="9"/>
  <c r="R257" i="9"/>
  <c r="AA276" i="9"/>
  <c r="Z289" i="9"/>
  <c r="Z283" i="9"/>
  <c r="Z281" i="9"/>
  <c r="S345" i="9"/>
  <c r="Y331" i="9"/>
  <c r="Q328" i="9"/>
  <c r="Y323" i="9"/>
  <c r="Q310" i="9"/>
  <c r="S380" i="9"/>
  <c r="AA393" i="9"/>
  <c r="Y389" i="9"/>
  <c r="Z361" i="9"/>
  <c r="S363" i="9"/>
  <c r="Q392" i="9"/>
  <c r="Z192" i="9"/>
  <c r="AA231" i="9"/>
  <c r="S113" i="9"/>
  <c r="Z242" i="9"/>
  <c r="S247" i="9"/>
  <c r="S248" i="9"/>
  <c r="Y112" i="9"/>
  <c r="Q90" i="9"/>
  <c r="AA209" i="9"/>
  <c r="S165" i="9"/>
  <c r="S166" i="9"/>
  <c r="Q87" i="9"/>
  <c r="Q86" i="9"/>
  <c r="Z230" i="9"/>
  <c r="Z233" i="9"/>
  <c r="Q141" i="9"/>
  <c r="Q111" i="9"/>
  <c r="Q112" i="9"/>
  <c r="Z268" i="9"/>
  <c r="AA125" i="9"/>
  <c r="Y217" i="9"/>
  <c r="Y216" i="9"/>
  <c r="Y206" i="9"/>
  <c r="R180" i="9"/>
  <c r="Q282" i="9"/>
  <c r="Y280" i="9"/>
  <c r="Z332" i="9"/>
  <c r="S270" i="9"/>
  <c r="S233" i="9"/>
  <c r="Y231" i="9"/>
  <c r="AA229" i="9"/>
  <c r="AA221" i="9"/>
  <c r="Q221" i="9"/>
  <c r="Q219" i="9"/>
  <c r="S212" i="9"/>
  <c r="Z206" i="9"/>
  <c r="Z204" i="9"/>
  <c r="S193" i="9"/>
  <c r="R131" i="9"/>
  <c r="AA104" i="9"/>
  <c r="Z240" i="9"/>
  <c r="Y244" i="9"/>
  <c r="Y270" i="9"/>
  <c r="R285" i="9"/>
  <c r="Y312" i="9"/>
  <c r="S308" i="9"/>
  <c r="Z308" i="9"/>
  <c r="Y360" i="9"/>
  <c r="S366" i="9"/>
  <c r="S371" i="9"/>
  <c r="AA379" i="9"/>
  <c r="S286" i="9"/>
  <c r="AA351" i="9"/>
  <c r="Q351" i="9"/>
  <c r="R335" i="9"/>
  <c r="S311" i="9"/>
  <c r="R267" i="9"/>
  <c r="R265" i="9"/>
  <c r="Z264" i="9"/>
  <c r="Z263" i="9"/>
  <c r="AA275" i="9"/>
  <c r="Q272" i="9"/>
  <c r="Y291" i="9"/>
  <c r="Z286" i="9"/>
  <c r="Y352" i="9"/>
  <c r="Y338" i="9"/>
  <c r="R327" i="9"/>
  <c r="Z324" i="9"/>
  <c r="Y318" i="9"/>
  <c r="R316" i="9"/>
  <c r="Z303" i="9"/>
  <c r="S298" i="9"/>
  <c r="Q297" i="9"/>
  <c r="S355" i="9"/>
  <c r="Q356" i="9"/>
  <c r="Q375" i="9"/>
  <c r="Y378" i="9"/>
  <c r="Q382" i="9"/>
  <c r="Z387" i="9"/>
  <c r="R389" i="9"/>
  <c r="AA391" i="9"/>
  <c r="Y391" i="9"/>
  <c r="AA394" i="9"/>
  <c r="AA211" i="9"/>
  <c r="Y138" i="9"/>
  <c r="S123" i="9"/>
  <c r="Y104" i="9"/>
  <c r="AA77" i="9"/>
  <c r="R290" i="9"/>
  <c r="Q293" i="9"/>
  <c r="S348" i="9"/>
  <c r="Z339" i="9"/>
  <c r="Y320" i="9"/>
  <c r="Q318" i="9"/>
  <c r="Q306" i="9"/>
  <c r="Q300" i="9"/>
  <c r="R298" i="9"/>
  <c r="R355" i="9"/>
  <c r="AA387" i="9"/>
  <c r="Y327" i="9"/>
  <c r="Q327" i="9"/>
  <c r="Z328" i="9"/>
  <c r="Z330" i="9"/>
  <c r="Y235" i="9"/>
  <c r="Q230" i="9"/>
  <c r="R221" i="9"/>
  <c r="Z216" i="9"/>
  <c r="Q210" i="9"/>
  <c r="R199" i="9"/>
  <c r="AA192" i="9"/>
  <c r="Q193" i="9"/>
  <c r="Q190" i="9"/>
  <c r="Q167" i="9"/>
  <c r="Q123" i="9"/>
  <c r="S116" i="9"/>
  <c r="R104" i="9"/>
  <c r="Q94" i="9"/>
  <c r="Z77" i="9"/>
  <c r="Z296" i="9"/>
  <c r="AA288" i="9"/>
  <c r="Y285" i="9"/>
  <c r="Z349" i="9"/>
  <c r="R342" i="9"/>
  <c r="R339" i="9"/>
  <c r="Z374" i="9"/>
  <c r="P509" i="24"/>
  <c r="N385" i="24"/>
  <c r="N417" i="24"/>
  <c r="N527" i="24"/>
  <c r="N563" i="24"/>
  <c r="P497" i="24"/>
  <c r="P496" i="24"/>
  <c r="N410" i="24"/>
  <c r="P534" i="24"/>
  <c r="P449" i="24"/>
  <c r="N452" i="24"/>
  <c r="N373" i="24"/>
  <c r="P448" i="24"/>
  <c r="P379" i="24"/>
  <c r="N449" i="24"/>
  <c r="P418" i="24"/>
  <c r="N395" i="24"/>
  <c r="P437" i="24"/>
  <c r="N463" i="24"/>
  <c r="P543" i="24"/>
  <c r="P431" i="24"/>
  <c r="N548" i="24"/>
  <c r="AA53" i="9"/>
  <c r="AA54" i="9"/>
  <c r="AA241" i="9"/>
  <c r="AA242" i="9"/>
  <c r="S105" i="9"/>
  <c r="S106" i="9"/>
  <c r="Z18" i="9"/>
  <c r="Z19" i="9"/>
  <c r="Q240" i="9"/>
  <c r="Q241" i="9"/>
  <c r="AA250" i="9"/>
  <c r="AA251" i="9"/>
  <c r="S259" i="9"/>
  <c r="S258" i="9"/>
  <c r="R292" i="9"/>
  <c r="R291" i="9"/>
  <c r="Z394" i="9"/>
  <c r="Z393" i="9"/>
  <c r="Q51" i="9"/>
  <c r="Q52" i="9"/>
  <c r="AA239" i="9"/>
  <c r="AA240" i="9"/>
  <c r="S242" i="9"/>
  <c r="S243" i="9"/>
  <c r="N406" i="24"/>
  <c r="P406" i="24"/>
  <c r="P567" i="24"/>
  <c r="N567" i="24"/>
  <c r="N412" i="24"/>
  <c r="P439" i="24"/>
  <c r="N439" i="24"/>
  <c r="N507" i="24"/>
  <c r="P507" i="24"/>
  <c r="N434" i="24"/>
  <c r="P434" i="24"/>
  <c r="N479" i="24"/>
  <c r="P479" i="24"/>
  <c r="N487" i="24"/>
  <c r="P487" i="24"/>
  <c r="P491" i="24"/>
  <c r="P493" i="24"/>
  <c r="N493" i="24"/>
  <c r="N509" i="24"/>
  <c r="N485" i="24"/>
  <c r="H9" i="24"/>
  <c r="K8" i="24"/>
  <c r="Q216" i="9"/>
  <c r="P425" i="24"/>
  <c r="P413" i="24"/>
  <c r="AA215" i="9"/>
  <c r="AA216" i="9"/>
  <c r="R178" i="9"/>
  <c r="R179" i="9"/>
  <c r="AA28" i="9"/>
  <c r="AA29" i="9"/>
  <c r="S27" i="9"/>
  <c r="S28" i="9"/>
  <c r="Y309" i="9"/>
  <c r="Y310" i="9"/>
  <c r="Y300" i="9"/>
  <c r="Y301" i="9"/>
  <c r="S373" i="9"/>
  <c r="S372" i="9"/>
  <c r="R200" i="9"/>
  <c r="R201" i="9"/>
  <c r="Z195" i="9"/>
  <c r="G8" i="24"/>
  <c r="J7" i="24"/>
  <c r="R215" i="9"/>
  <c r="R216" i="9"/>
  <c r="AA207" i="9"/>
  <c r="AA208" i="9"/>
  <c r="Q44" i="9"/>
  <c r="Q45" i="9"/>
  <c r="Z36" i="9"/>
  <c r="Z35" i="9"/>
  <c r="Y233" i="9"/>
  <c r="AA228" i="9"/>
  <c r="S224" i="9"/>
  <c r="AA200" i="9"/>
  <c r="AA201" i="9"/>
  <c r="R165" i="9"/>
  <c r="S158" i="9"/>
  <c r="Z220" i="9"/>
  <c r="Z221" i="9"/>
  <c r="Y213" i="9"/>
  <c r="Z209" i="9"/>
  <c r="Q208" i="9"/>
  <c r="Z201" i="9"/>
  <c r="Z200" i="9"/>
  <c r="R197" i="9"/>
  <c r="R198" i="9"/>
  <c r="R173" i="9"/>
  <c r="R196" i="9"/>
  <c r="S181" i="9"/>
  <c r="S142" i="9"/>
  <c r="Y141" i="9"/>
  <c r="Q234" i="9"/>
  <c r="Z231" i="9"/>
  <c r="R223" i="9"/>
  <c r="Y200" i="9"/>
  <c r="Z199" i="9"/>
  <c r="Z190" i="9"/>
  <c r="S227" i="9"/>
  <c r="S218" i="9"/>
  <c r="S208" i="9"/>
  <c r="S200" i="9"/>
  <c r="AA198" i="9"/>
  <c r="Y193" i="9"/>
  <c r="Q189" i="9"/>
  <c r="AA184" i="9"/>
  <c r="Z32" i="9"/>
  <c r="Z31" i="9"/>
  <c r="R227" i="9"/>
  <c r="Z224" i="9"/>
  <c r="AA220" i="9"/>
  <c r="S217" i="9"/>
  <c r="AA212" i="9"/>
  <c r="R208" i="9"/>
  <c r="AA204" i="9"/>
  <c r="Q201" i="9"/>
  <c r="Y196" i="9"/>
  <c r="Q192" i="9"/>
  <c r="Z189" i="9"/>
  <c r="R161" i="9"/>
  <c r="R160" i="9"/>
  <c r="S153" i="9"/>
  <c r="Z149" i="9"/>
  <c r="S90" i="9"/>
  <c r="S81" i="9"/>
  <c r="S82" i="9"/>
  <c r="Z50" i="9"/>
  <c r="Z51" i="9"/>
  <c r="Q41" i="9"/>
  <c r="Q40" i="9"/>
  <c r="Q32" i="9"/>
  <c r="Z24" i="9"/>
  <c r="Z354" i="9"/>
  <c r="R142" i="9"/>
  <c r="AA93" i="9"/>
  <c r="R73" i="9"/>
  <c r="Z53" i="9"/>
  <c r="Y23" i="9"/>
  <c r="Y20" i="9"/>
  <c r="S276" i="9"/>
  <c r="AA320" i="9"/>
  <c r="Q359" i="9"/>
  <c r="Z373" i="9"/>
  <c r="Y374" i="9"/>
  <c r="Q391" i="9"/>
  <c r="R70" i="9"/>
  <c r="R71" i="9"/>
  <c r="Z61" i="9"/>
  <c r="Y37" i="9"/>
  <c r="Q19" i="9"/>
  <c r="AA292" i="9"/>
  <c r="Q364" i="9"/>
  <c r="AA370" i="9"/>
  <c r="T431" i="9"/>
  <c r="Y85" i="9"/>
  <c r="Y84" i="9"/>
  <c r="S274" i="9"/>
  <c r="Z290" i="9"/>
  <c r="R348" i="9"/>
  <c r="Y126" i="9"/>
  <c r="S102" i="9"/>
  <c r="R34" i="9"/>
  <c r="AA27" i="9"/>
  <c r="Q20" i="9"/>
  <c r="Y266" i="9"/>
  <c r="AA339" i="9"/>
  <c r="Z338" i="9"/>
  <c r="S327" i="9"/>
  <c r="R314" i="9"/>
  <c r="AA301" i="9"/>
  <c r="AA357" i="9"/>
  <c r="AA358" i="9"/>
  <c r="Q362" i="9"/>
  <c r="Z363" i="9"/>
  <c r="P460" i="24" l="1"/>
  <c r="P505" i="24"/>
  <c r="P407" i="24"/>
  <c r="P444" i="24"/>
  <c r="N475" i="24"/>
  <c r="P550" i="24"/>
  <c r="N429" i="24"/>
  <c r="N502" i="24"/>
  <c r="N472" i="24"/>
  <c r="N536" i="24"/>
  <c r="P390" i="24"/>
  <c r="N387" i="24"/>
  <c r="P553" i="24"/>
  <c r="P473" i="24"/>
  <c r="N441" i="24"/>
  <c r="N404" i="24"/>
  <c r="N546" i="24"/>
  <c r="P566" i="24"/>
  <c r="P551" i="24"/>
  <c r="P388" i="24"/>
  <c r="P523" i="24"/>
  <c r="P532" i="24"/>
  <c r="P455" i="24"/>
  <c r="N477" i="24"/>
  <c r="N414" i="24"/>
  <c r="P427" i="24"/>
  <c r="N371" i="24"/>
  <c r="P494" i="24"/>
  <c r="N510" i="24"/>
  <c r="P579" i="24"/>
  <c r="N579" i="24"/>
  <c r="N557" i="24"/>
  <c r="P557" i="24"/>
  <c r="P426" i="24"/>
  <c r="N426" i="24"/>
  <c r="N531" i="24"/>
  <c r="P524" i="24"/>
  <c r="P530" i="24"/>
  <c r="N454" i="24"/>
  <c r="P377" i="24"/>
  <c r="P520" i="24"/>
  <c r="N413" i="24"/>
  <c r="N476" i="24"/>
  <c r="P522" i="24"/>
  <c r="P399" i="24"/>
  <c r="N469" i="24"/>
  <c r="P516" i="24"/>
  <c r="P578" i="24"/>
  <c r="N578" i="24"/>
  <c r="N411" i="24"/>
  <c r="P411" i="24"/>
  <c r="P533" i="24"/>
  <c r="N533" i="24"/>
  <c r="N422" i="24"/>
  <c r="P422" i="24"/>
  <c r="P549" i="24"/>
  <c r="N549" i="24"/>
  <c r="P555" i="24"/>
  <c r="N555" i="24"/>
  <c r="P483" i="24"/>
  <c r="P458" i="24"/>
  <c r="N458" i="24"/>
  <c r="P571" i="24"/>
  <c r="N571" i="24"/>
  <c r="N547" i="24"/>
  <c r="P547" i="24"/>
  <c r="N446" i="24"/>
  <c r="P446" i="24"/>
  <c r="P506" i="24"/>
  <c r="N506" i="24"/>
  <c r="P420" i="24"/>
  <c r="N420" i="24"/>
  <c r="P521" i="24"/>
  <c r="P561" i="24"/>
  <c r="P436" i="24"/>
  <c r="N508" i="24"/>
  <c r="N529" i="24"/>
  <c r="N432" i="24"/>
  <c r="P464" i="24"/>
  <c r="P386" i="24"/>
  <c r="N470" i="24"/>
  <c r="P581" i="24"/>
  <c r="N581" i="24"/>
  <c r="P576" i="24"/>
  <c r="N576" i="24"/>
  <c r="P500" i="24"/>
  <c r="N500" i="24"/>
  <c r="N468" i="24"/>
  <c r="P468" i="24"/>
  <c r="P397" i="24"/>
  <c r="N397" i="24"/>
  <c r="P416" i="24"/>
  <c r="P577" i="24"/>
  <c r="N577" i="24"/>
  <c r="P447" i="24"/>
  <c r="N447" i="24"/>
  <c r="N519" i="24"/>
  <c r="N465" i="24"/>
  <c r="P541" i="24"/>
  <c r="N415" i="24"/>
  <c r="P580" i="24"/>
  <c r="N580" i="24"/>
  <c r="P573" i="24"/>
  <c r="N573" i="24"/>
  <c r="N572" i="24"/>
  <c r="P572" i="24"/>
  <c r="N575" i="24"/>
  <c r="P575" i="24"/>
  <c r="P574" i="24"/>
  <c r="N574" i="24"/>
  <c r="P570" i="24"/>
  <c r="N570" i="24"/>
  <c r="P569" i="24"/>
  <c r="N569" i="24"/>
  <c r="N481" i="24"/>
  <c r="P481" i="24"/>
  <c r="N443" i="24"/>
  <c r="P443" i="24"/>
  <c r="P503" i="24"/>
  <c r="P518" i="24"/>
  <c r="P376" i="24"/>
  <c r="N396" i="24"/>
  <c r="N389" i="24"/>
  <c r="N400" i="24"/>
  <c r="N539" i="24"/>
  <c r="P539" i="24"/>
  <c r="P384" i="24"/>
  <c r="N384" i="24"/>
  <c r="N419" i="24"/>
  <c r="P419" i="24"/>
  <c r="N423" i="24"/>
  <c r="P423" i="24"/>
  <c r="N562" i="24"/>
  <c r="P562" i="24"/>
  <c r="N398" i="24"/>
  <c r="P398" i="24"/>
  <c r="N393" i="24"/>
  <c r="P393" i="24"/>
  <c r="P467" i="24"/>
  <c r="N467" i="24"/>
  <c r="N492" i="24"/>
  <c r="P492" i="24"/>
  <c r="N537" i="24"/>
  <c r="P537" i="24"/>
  <c r="P511" i="24"/>
  <c r="N511" i="24"/>
  <c r="N489" i="24"/>
  <c r="P489" i="24"/>
  <c r="N457" i="24"/>
  <c r="P457" i="24"/>
  <c r="P474" i="24"/>
  <c r="N474" i="24"/>
  <c r="P466" i="24"/>
  <c r="N488" i="24"/>
  <c r="P488" i="24"/>
  <c r="P564" i="24"/>
  <c r="N564" i="24"/>
  <c r="N401" i="24"/>
  <c r="P401" i="24"/>
  <c r="P459" i="24"/>
  <c r="N459" i="24"/>
  <c r="P490" i="24"/>
  <c r="N490" i="24"/>
  <c r="N565" i="24"/>
  <c r="P565" i="24"/>
  <c r="P538" i="24"/>
  <c r="N538" i="24"/>
  <c r="N556" i="24"/>
  <c r="P556" i="24"/>
  <c r="N542" i="24"/>
  <c r="P542" i="24"/>
  <c r="P391" i="24"/>
  <c r="P535" i="24"/>
  <c r="N535" i="24"/>
  <c r="P545" i="24"/>
  <c r="N545" i="24"/>
  <c r="P369" i="24"/>
  <c r="N369" i="24"/>
  <c r="P428" i="24"/>
  <c r="N428" i="24"/>
  <c r="N402" i="24"/>
  <c r="P402" i="24"/>
  <c r="N450" i="24"/>
  <c r="N512" i="24"/>
  <c r="P512" i="24"/>
  <c r="P540" i="24"/>
  <c r="N540" i="24"/>
  <c r="P378" i="24"/>
  <c r="N378" i="24"/>
  <c r="N381" i="24"/>
  <c r="P381" i="24"/>
  <c r="N451" i="24"/>
  <c r="P544" i="24"/>
  <c r="N544" i="24"/>
  <c r="P513" i="24"/>
  <c r="N513" i="24"/>
  <c r="P374" i="24"/>
  <c r="N374" i="24"/>
  <c r="P433" i="24"/>
  <c r="N433" i="24"/>
  <c r="P408" i="24"/>
  <c r="P499" i="24"/>
  <c r="P514" i="24"/>
  <c r="N526" i="24"/>
  <c r="N372" i="24"/>
  <c r="N442" i="24"/>
  <c r="P435" i="24"/>
  <c r="N435" i="24"/>
  <c r="P456" i="24"/>
  <c r="N456" i="24"/>
  <c r="N421" i="24"/>
  <c r="P421" i="24"/>
  <c r="P403" i="24"/>
  <c r="S111" i="9"/>
  <c r="N558" i="24"/>
  <c r="P558" i="24"/>
  <c r="L7" i="24"/>
  <c r="R235" i="9"/>
  <c r="R236" i="9"/>
  <c r="Z225" i="9"/>
  <c r="Z226" i="9"/>
  <c r="Y210" i="9"/>
  <c r="Y209" i="9"/>
  <c r="Z187" i="9"/>
  <c r="Z186" i="9"/>
  <c r="S126" i="9"/>
  <c r="S127" i="9"/>
  <c r="R49" i="9"/>
  <c r="R50" i="9"/>
  <c r="Z48" i="9"/>
  <c r="Z49" i="9"/>
  <c r="S47" i="9"/>
  <c r="Q285" i="9"/>
  <c r="Q286" i="9"/>
  <c r="Q350" i="9"/>
  <c r="Q349" i="9"/>
  <c r="Q348" i="9"/>
  <c r="Q347" i="9"/>
  <c r="Y347" i="9"/>
  <c r="Y348" i="9"/>
  <c r="R345" i="9"/>
  <c r="R346" i="9"/>
  <c r="Z342" i="9"/>
  <c r="Z343" i="9"/>
  <c r="R337" i="9"/>
  <c r="R338" i="9"/>
  <c r="Z336" i="9"/>
  <c r="Z337" i="9"/>
  <c r="N424" i="24"/>
  <c r="P424" i="24"/>
  <c r="N495" i="24"/>
  <c r="P495" i="24"/>
  <c r="N383" i="24"/>
  <c r="P383" i="24"/>
  <c r="N568" i="24"/>
  <c r="P568" i="24"/>
  <c r="Y188" i="9"/>
  <c r="Y189" i="9"/>
  <c r="Y24" i="9"/>
  <c r="Y25" i="9"/>
  <c r="Z254" i="9"/>
  <c r="Z255" i="9"/>
  <c r="Y256" i="9"/>
  <c r="Y255" i="9"/>
  <c r="Z266" i="9"/>
  <c r="Z267" i="9"/>
  <c r="Z260" i="9"/>
  <c r="Z261" i="9"/>
  <c r="Z259" i="9"/>
  <c r="Z258" i="9"/>
  <c r="R277" i="9"/>
  <c r="R276" i="9"/>
  <c r="R278" i="9"/>
  <c r="R279" i="9"/>
  <c r="S229" i="9"/>
  <c r="S230" i="9"/>
  <c r="Q212" i="9"/>
  <c r="Q211" i="9"/>
  <c r="R210" i="9"/>
  <c r="R211" i="9"/>
  <c r="R191" i="9"/>
  <c r="R192" i="9"/>
  <c r="R154" i="9"/>
  <c r="R155" i="9"/>
  <c r="S150" i="9"/>
  <c r="S151" i="9"/>
  <c r="S146" i="9"/>
  <c r="S147" i="9"/>
  <c r="Z102" i="9"/>
  <c r="Z103" i="9"/>
  <c r="Q102" i="9"/>
  <c r="Q101" i="9"/>
  <c r="R91" i="9"/>
  <c r="R92" i="9"/>
  <c r="Y88" i="9"/>
  <c r="Y87" i="9"/>
  <c r="Z86" i="9"/>
  <c r="Z85" i="9"/>
  <c r="S69" i="9"/>
  <c r="S68" i="9"/>
  <c r="Y67" i="9"/>
  <c r="Y66" i="9"/>
  <c r="Z65" i="9"/>
  <c r="Z66" i="9"/>
  <c r="Q38" i="9"/>
  <c r="Q39" i="9"/>
  <c r="N515" i="24"/>
  <c r="P515" i="24"/>
  <c r="N375" i="24"/>
  <c r="P375" i="24"/>
  <c r="R166" i="9"/>
  <c r="R167" i="9"/>
  <c r="N528" i="24"/>
  <c r="P528" i="24"/>
  <c r="P461" i="24"/>
  <c r="N461" i="24"/>
  <c r="P392" i="24"/>
  <c r="N392" i="24"/>
  <c r="P445" i="24"/>
  <c r="N445" i="24"/>
  <c r="Q224" i="9"/>
  <c r="Q225" i="9"/>
  <c r="AA205" i="9"/>
  <c r="AA206" i="9"/>
  <c r="N504" i="24"/>
  <c r="P525" i="24"/>
  <c r="N430" i="24"/>
  <c r="P482" i="24"/>
  <c r="N482" i="24"/>
  <c r="AA163" i="9"/>
  <c r="I9" i="24"/>
  <c r="L8" i="24"/>
  <c r="S235" i="9"/>
  <c r="S234" i="9"/>
  <c r="AA225" i="9"/>
  <c r="AA224" i="9"/>
  <c r="Y313" i="9"/>
  <c r="Y314" i="9"/>
  <c r="Q312" i="9"/>
  <c r="Q313" i="9"/>
  <c r="R310" i="9"/>
  <c r="R311" i="9"/>
  <c r="S305" i="9"/>
  <c r="S304" i="9"/>
  <c r="Q303" i="9"/>
  <c r="Q304" i="9"/>
  <c r="Y302" i="9"/>
  <c r="Y303" i="9"/>
  <c r="Q301" i="9"/>
  <c r="Q302" i="9"/>
  <c r="Z360" i="9"/>
  <c r="Z359" i="9"/>
  <c r="Y363" i="9"/>
  <c r="Y364" i="9"/>
  <c r="Y365" i="9"/>
  <c r="Y366" i="9"/>
  <c r="S367" i="9"/>
  <c r="Q368" i="9"/>
  <c r="Q367" i="9"/>
  <c r="S369" i="9"/>
  <c r="S368" i="9"/>
  <c r="P517" i="24"/>
  <c r="AA390" i="9"/>
  <c r="Y386" i="9"/>
  <c r="R206" i="9"/>
  <c r="R205" i="9"/>
  <c r="Z171" i="9"/>
  <c r="S38" i="9"/>
  <c r="S287" i="9"/>
  <c r="Q343" i="9"/>
  <c r="S383" i="9"/>
  <c r="N559" i="24"/>
  <c r="N370" i="24"/>
  <c r="R385" i="9"/>
  <c r="Y234" i="9"/>
  <c r="R230" i="9"/>
  <c r="Z228" i="9"/>
  <c r="R204" i="9"/>
  <c r="S175" i="9"/>
  <c r="Q168" i="9"/>
  <c r="Z164" i="9"/>
  <c r="S9" i="9"/>
  <c r="Z248" i="9"/>
  <c r="AA335" i="9"/>
  <c r="AA334" i="9"/>
  <c r="R388" i="9"/>
  <c r="R147" i="9"/>
  <c r="R148" i="9"/>
  <c r="P554" i="24"/>
  <c r="R232" i="9"/>
  <c r="R233" i="9"/>
  <c r="Q228" i="9"/>
  <c r="Q209" i="9"/>
  <c r="Y203" i="9"/>
  <c r="S48" i="9"/>
  <c r="Z13" i="9"/>
  <c r="Y194" i="9"/>
  <c r="AA193" i="9"/>
  <c r="Z177" i="9"/>
  <c r="R174" i="9"/>
  <c r="R121" i="9"/>
  <c r="R61" i="9"/>
  <c r="R56" i="9"/>
  <c r="S29" i="9"/>
  <c r="S26" i="9"/>
  <c r="S23" i="9"/>
  <c r="AA22" i="9"/>
  <c r="Y19" i="9"/>
  <c r="AA256" i="9"/>
  <c r="R266" i="9"/>
  <c r="Z265" i="9"/>
  <c r="Q266" i="9"/>
  <c r="R296" i="9"/>
  <c r="S351" i="9"/>
  <c r="AA346" i="9"/>
  <c r="R325" i="9"/>
  <c r="AA360" i="9"/>
  <c r="AA365" i="9"/>
  <c r="R365" i="9"/>
  <c r="S378" i="9"/>
  <c r="AA392" i="9"/>
  <c r="Z222" i="9"/>
  <c r="R207" i="9"/>
  <c r="Y190" i="9"/>
  <c r="Z174" i="9"/>
  <c r="R170" i="9"/>
  <c r="S170" i="9"/>
  <c r="Z125" i="9"/>
  <c r="R111" i="9"/>
  <c r="R93" i="9"/>
  <c r="R84" i="9"/>
  <c r="Y61" i="9"/>
  <c r="R38" i="9"/>
  <c r="S33" i="9"/>
  <c r="AA32" i="9"/>
  <c r="Z25" i="9"/>
  <c r="Y250" i="9"/>
  <c r="R251" i="9"/>
  <c r="Y265" i="9"/>
  <c r="Y263" i="9"/>
  <c r="R268" i="9"/>
  <c r="AA341" i="9"/>
  <c r="S340" i="9"/>
  <c r="AA331" i="9"/>
  <c r="S328" i="9"/>
  <c r="Q321" i="9"/>
  <c r="Q320" i="9"/>
  <c r="Q316" i="9"/>
  <c r="AA298" i="9"/>
  <c r="Y369" i="9"/>
  <c r="R375" i="9"/>
  <c r="R380" i="9"/>
  <c r="AA388" i="9"/>
  <c r="Y130" i="9"/>
  <c r="Z129" i="9"/>
  <c r="Q106" i="9"/>
  <c r="R55" i="9"/>
  <c r="R46" i="9"/>
  <c r="S25" i="9"/>
  <c r="R14" i="9"/>
  <c r="Q292" i="9"/>
  <c r="S319" i="9"/>
  <c r="S316" i="9"/>
  <c r="AA306" i="9"/>
  <c r="T432" i="9"/>
  <c r="Y221" i="9"/>
  <c r="R213" i="9"/>
  <c r="Q200" i="9"/>
  <c r="AA190" i="9"/>
  <c r="R183" i="9"/>
  <c r="S130" i="9"/>
  <c r="Z72" i="9"/>
  <c r="S61" i="9"/>
  <c r="AA55" i="9"/>
  <c r="Y50" i="9"/>
  <c r="Z39" i="9"/>
  <c r="Q24" i="9"/>
  <c r="AA14" i="9"/>
  <c r="R237" i="9"/>
  <c r="AA263" i="9"/>
  <c r="AA296" i="9"/>
  <c r="Y295" i="9"/>
  <c r="Z345" i="9"/>
  <c r="R331" i="9"/>
  <c r="AA315" i="9"/>
  <c r="Z307" i="9"/>
  <c r="AA355" i="9"/>
  <c r="R361" i="9"/>
  <c r="Q366" i="9"/>
  <c r="Y373" i="9"/>
  <c r="AA374" i="9"/>
  <c r="J8" i="24"/>
  <c r="G9" i="24"/>
  <c r="K9" i="24"/>
  <c r="H10" i="24"/>
  <c r="L9" i="24" l="1"/>
  <c r="I10" i="24"/>
  <c r="J9" i="24"/>
  <c r="G10" i="24"/>
  <c r="H11" i="24"/>
  <c r="K10" i="24"/>
  <c r="D16" i="2" l="1"/>
  <c r="D10" i="4" s="1"/>
  <c r="H27" i="6"/>
  <c r="G27" i="7"/>
  <c r="C27" i="6"/>
  <c r="F27" i="7"/>
  <c r="D27" i="5"/>
  <c r="G27" i="5"/>
  <c r="G27" i="6"/>
  <c r="F27" i="6"/>
  <c r="D27" i="7"/>
  <c r="D27" i="6"/>
  <c r="F27" i="5"/>
  <c r="C27" i="7"/>
  <c r="E27" i="6"/>
  <c r="C27" i="5"/>
  <c r="E27" i="5"/>
  <c r="E27" i="7"/>
  <c r="L10" i="24"/>
  <c r="I11" i="24"/>
  <c r="H12" i="24"/>
  <c r="K11" i="24"/>
  <c r="J10" i="24"/>
  <c r="G11" i="24"/>
  <c r="D15" i="2" l="1"/>
  <c r="D9" i="4" s="1"/>
  <c r="H27" i="5"/>
  <c r="H27" i="7"/>
  <c r="D17" i="2"/>
  <c r="D11" i="4" s="1"/>
  <c r="L11" i="24"/>
  <c r="I12" i="24"/>
  <c r="J11" i="24"/>
  <c r="G12" i="24"/>
  <c r="K12" i="24"/>
  <c r="H13" i="24"/>
  <c r="B8" i="2" l="1"/>
  <c r="B3" i="4" s="1"/>
  <c r="I13" i="24"/>
  <c r="L12" i="24"/>
  <c r="K13" i="24"/>
  <c r="H14" i="24"/>
  <c r="J12" i="24"/>
  <c r="G13" i="24"/>
  <c r="I14" i="24" l="1"/>
  <c r="L13" i="24"/>
  <c r="G14" i="24"/>
  <c r="J13" i="24"/>
  <c r="K14" i="24"/>
  <c r="H15" i="24"/>
  <c r="L14" i="24" l="1"/>
  <c r="I15" i="24"/>
  <c r="K15" i="24"/>
  <c r="H16" i="24"/>
  <c r="G15" i="24"/>
  <c r="J14" i="24"/>
  <c r="I16" i="24" l="1"/>
  <c r="L15" i="24"/>
  <c r="G16" i="24"/>
  <c r="J15" i="24"/>
  <c r="K16" i="24"/>
  <c r="H17" i="24"/>
  <c r="L16" i="24" l="1"/>
  <c r="I17" i="24"/>
  <c r="J16" i="24"/>
  <c r="G17" i="24"/>
  <c r="K17" i="24"/>
  <c r="H18" i="24"/>
  <c r="L17" i="24" l="1"/>
  <c r="I18" i="24"/>
  <c r="K18" i="24"/>
  <c r="H19" i="24"/>
  <c r="J17" i="24"/>
  <c r="G18" i="24"/>
  <c r="L18" i="24" l="1"/>
  <c r="I19" i="24"/>
  <c r="J18" i="24"/>
  <c r="G19" i="24"/>
  <c r="H20" i="24"/>
  <c r="K19" i="24"/>
  <c r="L19" i="24" l="1"/>
  <c r="I20" i="24"/>
  <c r="K20" i="24"/>
  <c r="H21" i="24"/>
  <c r="G20" i="24"/>
  <c r="J19" i="24"/>
  <c r="I21" i="24" l="1"/>
  <c r="L20" i="24"/>
  <c r="K21" i="24"/>
  <c r="H22" i="24"/>
  <c r="G21" i="24"/>
  <c r="J20" i="24"/>
  <c r="L21" i="24" l="1"/>
  <c r="I22" i="24"/>
  <c r="K22" i="24"/>
  <c r="H23" i="24"/>
  <c r="G22" i="24"/>
  <c r="J21" i="24"/>
  <c r="L22" i="24" l="1"/>
  <c r="I23" i="24"/>
  <c r="J22" i="24"/>
  <c r="G23" i="24"/>
  <c r="H24" i="24"/>
  <c r="K23" i="24"/>
  <c r="I24" i="24" l="1"/>
  <c r="L23" i="24"/>
  <c r="K24" i="24"/>
  <c r="H25" i="24"/>
  <c r="G24" i="24"/>
  <c r="J23" i="24"/>
  <c r="I25" i="24" l="1"/>
  <c r="L24" i="24"/>
  <c r="J24" i="24"/>
  <c r="G25" i="24"/>
  <c r="K25" i="24"/>
  <c r="H26" i="24"/>
  <c r="I26" i="24" l="1"/>
  <c r="L25" i="24"/>
  <c r="H27" i="24"/>
  <c r="K26" i="24"/>
  <c r="G26" i="24"/>
  <c r="J25" i="24"/>
  <c r="L26" i="24" l="1"/>
  <c r="I27" i="24"/>
  <c r="K27" i="24"/>
  <c r="H28" i="24"/>
  <c r="G27" i="24"/>
  <c r="J26" i="24"/>
  <c r="L27" i="24" l="1"/>
  <c r="I28" i="24"/>
  <c r="G28" i="24"/>
  <c r="J27" i="24"/>
  <c r="K28" i="24"/>
  <c r="H29" i="24"/>
  <c r="I29" i="24" l="1"/>
  <c r="L28" i="24"/>
  <c r="K29" i="24"/>
  <c r="H30" i="24"/>
  <c r="G29" i="24"/>
  <c r="J28" i="24"/>
  <c r="I30" i="24" l="1"/>
  <c r="L29" i="24"/>
  <c r="G30" i="24"/>
  <c r="J29" i="24"/>
  <c r="H31" i="24"/>
  <c r="K30" i="24"/>
  <c r="I31" i="24" l="1"/>
  <c r="L30" i="24"/>
  <c r="K31" i="24"/>
  <c r="H32" i="24"/>
  <c r="G31" i="24"/>
  <c r="J30" i="24"/>
  <c r="I32" i="24" l="1"/>
  <c r="L31" i="24"/>
  <c r="G32" i="24"/>
  <c r="J31" i="24"/>
  <c r="K32" i="24"/>
  <c r="H33" i="24"/>
  <c r="L32" i="24" l="1"/>
  <c r="I33" i="24"/>
  <c r="J32" i="24"/>
  <c r="G33" i="24"/>
  <c r="H34" i="24"/>
  <c r="K33" i="24"/>
  <c r="I34" i="24" l="1"/>
  <c r="L33" i="24"/>
  <c r="K34" i="24"/>
  <c r="H35" i="24"/>
  <c r="J33" i="24"/>
  <c r="G34" i="24"/>
  <c r="I35" i="24" l="1"/>
  <c r="L34" i="24"/>
  <c r="J34" i="24"/>
  <c r="G35" i="24"/>
  <c r="H36" i="24"/>
  <c r="K35" i="24"/>
  <c r="L35" i="24" l="1"/>
  <c r="I36" i="24"/>
  <c r="K36" i="24"/>
  <c r="H37" i="24"/>
  <c r="G36" i="24"/>
  <c r="J35" i="24"/>
  <c r="L36" i="24" l="1"/>
  <c r="I37" i="24"/>
  <c r="G37" i="24"/>
  <c r="J36" i="24"/>
  <c r="K37" i="24"/>
  <c r="H38" i="24"/>
  <c r="L37" i="24" l="1"/>
  <c r="I38" i="24"/>
  <c r="G38" i="24"/>
  <c r="J37" i="24"/>
  <c r="H39" i="24"/>
  <c r="K38" i="24"/>
  <c r="I39" i="24" l="1"/>
  <c r="L38" i="24"/>
  <c r="J38" i="24"/>
  <c r="G39" i="24"/>
  <c r="H40" i="24"/>
  <c r="K39" i="24"/>
  <c r="I40" i="24" l="1"/>
  <c r="L39" i="24"/>
  <c r="K40" i="24"/>
  <c r="H41" i="24"/>
  <c r="J39" i="24"/>
  <c r="G40" i="24"/>
  <c r="L40" i="24" l="1"/>
  <c r="I41" i="24"/>
  <c r="G41" i="24"/>
  <c r="J40" i="24"/>
  <c r="K41" i="24"/>
  <c r="H42" i="24"/>
  <c r="S486" i="10"/>
  <c r="H484" i="10"/>
  <c r="I418" i="9"/>
  <c r="S483" i="10"/>
  <c r="Y486" i="10"/>
  <c r="G486" i="10"/>
  <c r="O422" i="9"/>
  <c r="O419" i="9"/>
  <c r="E482" i="10"/>
  <c r="R421" i="9"/>
  <c r="Z420" i="9"/>
  <c r="Q420" i="9"/>
  <c r="Y423" i="9"/>
  <c r="AA485" i="10"/>
  <c r="Y483" i="10"/>
  <c r="X486" i="10"/>
  <c r="O481" i="10"/>
  <c r="P484" i="10"/>
  <c r="X483" i="10"/>
  <c r="F483" i="10"/>
  <c r="S484" i="10"/>
  <c r="L481" i="10"/>
  <c r="AA421" i="9"/>
  <c r="O420" i="9"/>
  <c r="M482" i="10"/>
  <c r="O483" i="10"/>
  <c r="O482" i="10"/>
  <c r="R484" i="10"/>
  <c r="O418" i="9"/>
  <c r="Z481" i="10"/>
  <c r="I486" i="10"/>
  <c r="Q485" i="10"/>
  <c r="E481" i="10"/>
  <c r="Y421" i="9"/>
  <c r="F486" i="10"/>
  <c r="N420" i="9"/>
  <c r="J422" i="9"/>
  <c r="I420" i="9"/>
  <c r="Y485" i="10"/>
  <c r="J420" i="9"/>
  <c r="I484" i="10"/>
  <c r="Z484" i="10"/>
  <c r="P486" i="10"/>
  <c r="N421" i="9"/>
  <c r="J418" i="9"/>
  <c r="N422" i="9"/>
  <c r="J483" i="10"/>
  <c r="O484" i="10"/>
  <c r="Z418" i="9"/>
  <c r="M483" i="10"/>
  <c r="K422" i="9"/>
  <c r="AA423" i="9"/>
  <c r="Q481" i="10"/>
  <c r="S485" i="10"/>
  <c r="X484" i="10"/>
  <c r="AA481" i="10"/>
  <c r="G485" i="10"/>
  <c r="Q484" i="10"/>
  <c r="R481" i="10"/>
  <c r="Z419" i="9"/>
  <c r="Q423" i="9"/>
  <c r="K420" i="9"/>
  <c r="H482" i="10"/>
  <c r="L485" i="10"/>
  <c r="J485" i="10"/>
  <c r="G484" i="10"/>
  <c r="I483" i="10"/>
  <c r="I481" i="10"/>
  <c r="K418" i="9"/>
  <c r="J486" i="10"/>
  <c r="M419" i="9"/>
  <c r="L486" i="10"/>
  <c r="O423" i="9"/>
  <c r="N482" i="10"/>
  <c r="J481" i="10"/>
  <c r="N419" i="9"/>
  <c r="M484" i="10"/>
  <c r="I422" i="9"/>
  <c r="G481" i="10"/>
  <c r="N418" i="9"/>
  <c r="J421" i="9"/>
  <c r="M421" i="9"/>
  <c r="D486" i="10"/>
  <c r="I423" i="9"/>
  <c r="D484" i="10"/>
  <c r="H483" i="10"/>
  <c r="S423" i="9"/>
  <c r="O485" i="10"/>
  <c r="N485" i="10"/>
  <c r="AA486" i="10"/>
  <c r="D482" i="10"/>
  <c r="D481" i="10"/>
  <c r="Z421" i="9"/>
  <c r="M418" i="9"/>
  <c r="F485" i="10"/>
  <c r="AA482" i="10"/>
  <c r="Q422" i="9"/>
  <c r="P485" i="10"/>
  <c r="S422" i="9"/>
  <c r="E485" i="10"/>
  <c r="P483" i="10"/>
  <c r="Q421" i="9"/>
  <c r="E483" i="10"/>
  <c r="K423" i="9"/>
  <c r="E486" i="10"/>
  <c r="Y482" i="10"/>
  <c r="R419" i="9"/>
  <c r="L483" i="10"/>
  <c r="D483" i="10"/>
  <c r="L482" i="10"/>
  <c r="K421" i="9"/>
  <c r="J423" i="9"/>
  <c r="I419" i="9"/>
  <c r="AA419" i="9"/>
  <c r="J482" i="10"/>
  <c r="O486" i="10"/>
  <c r="Y418" i="9"/>
  <c r="L484" i="10"/>
  <c r="H485" i="10"/>
  <c r="E484" i="10"/>
  <c r="G482" i="10"/>
  <c r="M486" i="10"/>
  <c r="X485" i="10"/>
  <c r="I482" i="10"/>
  <c r="M485" i="10"/>
  <c r="Q486" i="10"/>
  <c r="M422" i="9"/>
  <c r="Z485" i="10"/>
  <c r="S418" i="9"/>
  <c r="Z486" i="10"/>
  <c r="Z482" i="10"/>
  <c r="K419" i="9"/>
  <c r="S481" i="10"/>
  <c r="R420" i="9"/>
  <c r="R486" i="10"/>
  <c r="Q482" i="10"/>
  <c r="R483" i="10"/>
  <c r="H481" i="10"/>
  <c r="M481" i="10"/>
  <c r="F484" i="10"/>
  <c r="I485" i="10"/>
  <c r="S482" i="10"/>
  <c r="AA418" i="9"/>
  <c r="N483" i="10"/>
  <c r="Q418" i="9"/>
  <c r="R423" i="9"/>
  <c r="N484" i="10"/>
  <c r="Z422" i="9"/>
  <c r="Y419" i="9"/>
  <c r="X481" i="10"/>
  <c r="Z423" i="9"/>
  <c r="AA420" i="9"/>
  <c r="F481" i="10"/>
  <c r="Y422" i="9"/>
  <c r="G483" i="10"/>
  <c r="M420" i="9"/>
  <c r="Y481" i="10"/>
  <c r="Z483" i="10"/>
  <c r="AA422" i="9"/>
  <c r="S421" i="9"/>
  <c r="N423" i="9"/>
  <c r="Y484" i="10"/>
  <c r="Q483" i="10"/>
  <c r="P481" i="10"/>
  <c r="O421" i="9"/>
  <c r="X482" i="10"/>
  <c r="Y420" i="9"/>
  <c r="N486" i="10"/>
  <c r="AA484" i="10"/>
  <c r="R482" i="10"/>
  <c r="J484" i="10"/>
  <c r="R485" i="10"/>
  <c r="Q419" i="9"/>
  <c r="N481" i="10"/>
  <c r="J419" i="9"/>
  <c r="M423" i="9"/>
  <c r="AA483" i="10"/>
  <c r="R418" i="9"/>
  <c r="R422" i="9"/>
  <c r="S420" i="9"/>
  <c r="D485" i="10"/>
  <c r="H486" i="10"/>
  <c r="I421" i="9"/>
  <c r="F482" i="10"/>
  <c r="S419" i="9"/>
  <c r="P482" i="10"/>
  <c r="C39" i="5" l="1"/>
  <c r="H31" i="5"/>
  <c r="D48" i="7"/>
  <c r="C46" i="7"/>
  <c r="G41" i="6"/>
  <c r="F41" i="6"/>
  <c r="H31" i="7"/>
  <c r="C31" i="7"/>
  <c r="J428" i="9"/>
  <c r="J427" i="9"/>
  <c r="E16" i="2"/>
  <c r="E10" i="4" s="1"/>
  <c r="H28" i="6"/>
  <c r="E39" i="7"/>
  <c r="H39" i="5"/>
  <c r="H37" i="6"/>
  <c r="C45" i="7"/>
  <c r="D48" i="6"/>
  <c r="E46" i="6"/>
  <c r="F48" i="7"/>
  <c r="E48" i="6"/>
  <c r="G35" i="7"/>
  <c r="F43" i="6"/>
  <c r="F35" i="6"/>
  <c r="D33" i="5"/>
  <c r="F48" i="5"/>
  <c r="G35" i="5"/>
  <c r="E48" i="7"/>
  <c r="F33" i="5"/>
  <c r="AA427" i="9"/>
  <c r="AA428" i="9"/>
  <c r="K17" i="2"/>
  <c r="K11" i="4" s="1"/>
  <c r="H48" i="7"/>
  <c r="F47" i="7"/>
  <c r="E33" i="7"/>
  <c r="F33" i="6"/>
  <c r="G46" i="7"/>
  <c r="F29" i="6"/>
  <c r="G28" i="6"/>
  <c r="D46" i="5"/>
  <c r="D47" i="6"/>
  <c r="C47" i="5"/>
  <c r="G35" i="6"/>
  <c r="F47" i="6"/>
  <c r="H17" i="2"/>
  <c r="H11" i="4" s="1"/>
  <c r="H46" i="7"/>
  <c r="S428" i="9"/>
  <c r="S427" i="9"/>
  <c r="H29" i="5"/>
  <c r="G47" i="6"/>
  <c r="K428" i="9"/>
  <c r="E17" i="2"/>
  <c r="E11" i="4" s="1"/>
  <c r="H28" i="7"/>
  <c r="K427" i="9"/>
  <c r="C37" i="7"/>
  <c r="H35" i="6"/>
  <c r="D46" i="6"/>
  <c r="C41" i="7"/>
  <c r="F33" i="7"/>
  <c r="C47" i="7"/>
  <c r="E41" i="6"/>
  <c r="E31" i="7"/>
  <c r="G45" i="5"/>
  <c r="C29" i="7"/>
  <c r="D28" i="5"/>
  <c r="C39" i="7"/>
  <c r="E41" i="7"/>
  <c r="D43" i="6"/>
  <c r="E28" i="6"/>
  <c r="E47" i="7"/>
  <c r="F39" i="6"/>
  <c r="H31" i="6"/>
  <c r="G48" i="5"/>
  <c r="D45" i="6"/>
  <c r="G28" i="5"/>
  <c r="G33" i="7"/>
  <c r="G47" i="5"/>
  <c r="E29" i="7"/>
  <c r="G33" i="6"/>
  <c r="F28" i="6"/>
  <c r="G29" i="6"/>
  <c r="G45" i="6"/>
  <c r="H33" i="7"/>
  <c r="E29" i="6"/>
  <c r="R427" i="9"/>
  <c r="H16" i="2"/>
  <c r="H10" i="4" s="1"/>
  <c r="R428" i="9"/>
  <c r="H46" i="6"/>
  <c r="D29" i="7"/>
  <c r="E29" i="5"/>
  <c r="G46" i="5"/>
  <c r="E33" i="5"/>
  <c r="Y428" i="9"/>
  <c r="Y427" i="9"/>
  <c r="K15" i="2"/>
  <c r="K9" i="4" s="1"/>
  <c r="H48" i="5"/>
  <c r="J17" i="2"/>
  <c r="J11" i="4" s="1"/>
  <c r="H47" i="7"/>
  <c r="G37" i="6"/>
  <c r="C37" i="5"/>
  <c r="C46" i="5"/>
  <c r="C48" i="7"/>
  <c r="F37" i="7"/>
  <c r="C28" i="7"/>
  <c r="F45" i="6"/>
  <c r="F45" i="7"/>
  <c r="G17" i="2"/>
  <c r="G11" i="4" s="1"/>
  <c r="H45" i="7"/>
  <c r="E45" i="7"/>
  <c r="D29" i="6"/>
  <c r="C35" i="5"/>
  <c r="G28" i="7"/>
  <c r="D29" i="5"/>
  <c r="E37" i="6"/>
  <c r="E37" i="7"/>
  <c r="F37" i="6"/>
  <c r="F28" i="7"/>
  <c r="D41" i="5"/>
  <c r="D31" i="5"/>
  <c r="F39" i="7"/>
  <c r="E39" i="6"/>
  <c r="C35" i="6"/>
  <c r="E35" i="5"/>
  <c r="F35" i="7"/>
  <c r="D33" i="7"/>
  <c r="G39" i="6"/>
  <c r="E28" i="5"/>
  <c r="D46" i="7"/>
  <c r="D31" i="6"/>
  <c r="H39" i="7"/>
  <c r="C46" i="6"/>
  <c r="D37" i="5"/>
  <c r="F31" i="6"/>
  <c r="C29" i="6"/>
  <c r="C39" i="6"/>
  <c r="F28" i="5"/>
  <c r="D37" i="7"/>
  <c r="D33" i="6"/>
  <c r="C48" i="5"/>
  <c r="C33" i="6"/>
  <c r="D45" i="5"/>
  <c r="E37" i="5"/>
  <c r="E33" i="6"/>
  <c r="D47" i="5"/>
  <c r="D35" i="7"/>
  <c r="D28" i="7"/>
  <c r="F37" i="5"/>
  <c r="C48" i="6"/>
  <c r="G48" i="6"/>
  <c r="D35" i="6"/>
  <c r="H29" i="7"/>
  <c r="G31" i="5"/>
  <c r="E46" i="7"/>
  <c r="D35" i="5"/>
  <c r="G39" i="7"/>
  <c r="C47" i="6"/>
  <c r="J15" i="2"/>
  <c r="J9" i="4" s="1"/>
  <c r="H47" i="5"/>
  <c r="D41" i="7"/>
  <c r="E31" i="6"/>
  <c r="E31" i="5"/>
  <c r="C28" i="5"/>
  <c r="E41" i="5"/>
  <c r="F35" i="5"/>
  <c r="D39" i="7"/>
  <c r="G46" i="6"/>
  <c r="F29" i="5"/>
  <c r="H37" i="5"/>
  <c r="G41" i="5"/>
  <c r="F41" i="7"/>
  <c r="E45" i="5"/>
  <c r="D37" i="6"/>
  <c r="D28" i="6"/>
  <c r="D45" i="7"/>
  <c r="F31" i="5"/>
  <c r="C33" i="7"/>
  <c r="C28" i="6"/>
  <c r="C31" i="5"/>
  <c r="H35" i="5"/>
  <c r="D47" i="7"/>
  <c r="G29" i="7"/>
  <c r="F46" i="5"/>
  <c r="C35" i="7"/>
  <c r="E47" i="6"/>
  <c r="H39" i="6"/>
  <c r="G43" i="6"/>
  <c r="H41" i="7"/>
  <c r="E45" i="6"/>
  <c r="G33" i="5"/>
  <c r="E46" i="5"/>
  <c r="C31" i="6"/>
  <c r="E35" i="7"/>
  <c r="E15" i="2"/>
  <c r="E9" i="4" s="1"/>
  <c r="I428" i="9"/>
  <c r="H28" i="5"/>
  <c r="I427" i="9"/>
  <c r="C45" i="5"/>
  <c r="C29" i="5"/>
  <c r="C41" i="5"/>
  <c r="F46" i="7"/>
  <c r="G29" i="5"/>
  <c r="H41" i="5"/>
  <c r="D39" i="6"/>
  <c r="D31" i="7"/>
  <c r="H35" i="7"/>
  <c r="H47" i="6"/>
  <c r="J16" i="2"/>
  <c r="J10" i="4" s="1"/>
  <c r="Q428" i="9"/>
  <c r="Q427" i="9"/>
  <c r="H15" i="2"/>
  <c r="H9" i="4" s="1"/>
  <c r="H46" i="5"/>
  <c r="C41" i="6"/>
  <c r="C45" i="6"/>
  <c r="H33" i="5"/>
  <c r="G39" i="5"/>
  <c r="F45" i="5"/>
  <c r="H48" i="6"/>
  <c r="K16" i="2"/>
  <c r="K10" i="4" s="1"/>
  <c r="Z428" i="9"/>
  <c r="Z427" i="9"/>
  <c r="H37" i="7"/>
  <c r="F39" i="5"/>
  <c r="F41" i="5"/>
  <c r="G45" i="7"/>
  <c r="G37" i="5"/>
  <c r="E43" i="6"/>
  <c r="G31" i="7"/>
  <c r="G31" i="6"/>
  <c r="G48" i="7"/>
  <c r="D48" i="5"/>
  <c r="F47" i="5"/>
  <c r="E47" i="5"/>
  <c r="C37" i="6"/>
  <c r="C33" i="5"/>
  <c r="E28" i="7"/>
  <c r="D41" i="6"/>
  <c r="F46" i="6"/>
  <c r="C43" i="6"/>
  <c r="E35" i="6"/>
  <c r="H45" i="6"/>
  <c r="G16" i="2"/>
  <c r="G10" i="4" s="1"/>
  <c r="H41" i="6"/>
  <c r="F29" i="7"/>
  <c r="H29" i="6"/>
  <c r="G15" i="2"/>
  <c r="G9" i="4" s="1"/>
  <c r="H45" i="5"/>
  <c r="F31" i="7"/>
  <c r="F48" i="6"/>
  <c r="E48" i="5"/>
  <c r="H33" i="6"/>
  <c r="G47" i="7"/>
  <c r="G41" i="7"/>
  <c r="G37" i="7"/>
  <c r="E39" i="5"/>
  <c r="D39" i="5"/>
  <c r="H43" i="6"/>
  <c r="I42" i="24"/>
  <c r="L41" i="24"/>
  <c r="H43" i="24"/>
  <c r="K42" i="24"/>
  <c r="J41" i="24"/>
  <c r="G42" i="24"/>
  <c r="I43" i="24" l="1"/>
  <c r="L42" i="24"/>
  <c r="K43" i="24"/>
  <c r="H44" i="24"/>
  <c r="J42" i="24"/>
  <c r="G43" i="24"/>
  <c r="I44" i="24" l="1"/>
  <c r="L43" i="24"/>
  <c r="J43" i="24"/>
  <c r="G44" i="24"/>
  <c r="H45" i="24"/>
  <c r="K44" i="24"/>
  <c r="L44" i="24" l="1"/>
  <c r="I45" i="24"/>
  <c r="K45" i="24"/>
  <c r="H46" i="24"/>
  <c r="J44" i="24"/>
  <c r="G45" i="24"/>
  <c r="L45" i="24" l="1"/>
  <c r="I46" i="24"/>
  <c r="J45" i="24"/>
  <c r="G46" i="24"/>
  <c r="K46" i="24"/>
  <c r="H47" i="24"/>
  <c r="I47" i="24" l="1"/>
  <c r="L46" i="24"/>
  <c r="H48" i="24"/>
  <c r="K47" i="24"/>
  <c r="G47" i="24"/>
  <c r="J46" i="24"/>
  <c r="I48" i="24" l="1"/>
  <c r="L47" i="24"/>
  <c r="J47" i="24"/>
  <c r="G48" i="24"/>
  <c r="H49" i="24"/>
  <c r="K48" i="24"/>
  <c r="L48" i="24" l="1"/>
  <c r="I49" i="24"/>
  <c r="G49" i="24"/>
  <c r="J48" i="24"/>
  <c r="K49" i="24"/>
  <c r="H50" i="24"/>
  <c r="I50" i="24" l="1"/>
  <c r="L49" i="24"/>
  <c r="J49" i="24"/>
  <c r="G50" i="24"/>
  <c r="H51" i="24"/>
  <c r="K50" i="24"/>
  <c r="I51" i="24" l="1"/>
  <c r="L50" i="24"/>
  <c r="J50" i="24"/>
  <c r="G51" i="24"/>
  <c r="K51" i="24"/>
  <c r="H52" i="24"/>
  <c r="L51" i="24" l="1"/>
  <c r="I52" i="24"/>
  <c r="H53" i="24"/>
  <c r="K52" i="24"/>
  <c r="G52" i="24"/>
  <c r="J51" i="24"/>
  <c r="L52" i="24" l="1"/>
  <c r="I53" i="24"/>
  <c r="J52" i="24"/>
  <c r="G53" i="24"/>
  <c r="H54" i="24"/>
  <c r="K53" i="24"/>
  <c r="I54" i="24" l="1"/>
  <c r="L53" i="24"/>
  <c r="H55" i="24"/>
  <c r="K54" i="24"/>
  <c r="J53" i="24"/>
  <c r="G54" i="24"/>
  <c r="I55" i="24" l="1"/>
  <c r="L54" i="24"/>
  <c r="K55" i="24"/>
  <c r="H56" i="24"/>
  <c r="G55" i="24"/>
  <c r="J54" i="24"/>
  <c r="I56" i="24" l="1"/>
  <c r="L55" i="24"/>
  <c r="J55" i="24"/>
  <c r="G56" i="24"/>
  <c r="H57" i="24"/>
  <c r="K56" i="24"/>
  <c r="I57" i="24" l="1"/>
  <c r="L56" i="24"/>
  <c r="K57" i="24"/>
  <c r="H58" i="24"/>
  <c r="G57" i="24"/>
  <c r="J56" i="24"/>
  <c r="L57" i="24" l="1"/>
  <c r="I58" i="24"/>
  <c r="G58" i="24"/>
  <c r="J57" i="24"/>
  <c r="H59" i="24"/>
  <c r="K58" i="24"/>
  <c r="L58" i="24" l="1"/>
  <c r="I59" i="24"/>
  <c r="K59" i="24"/>
  <c r="H60" i="24"/>
  <c r="J58" i="24"/>
  <c r="G59" i="24"/>
  <c r="L59" i="24" l="1"/>
  <c r="I60" i="24"/>
  <c r="J59" i="24"/>
  <c r="G60" i="24"/>
  <c r="K60" i="24"/>
  <c r="H61" i="24"/>
  <c r="I61" i="24" l="1"/>
  <c r="L60" i="24"/>
  <c r="H62" i="24"/>
  <c r="K61" i="24"/>
  <c r="J60" i="24"/>
  <c r="G61" i="24"/>
  <c r="I62" i="24" l="1"/>
  <c r="L61" i="24"/>
  <c r="J61" i="24"/>
  <c r="G62" i="24"/>
  <c r="H63" i="24"/>
  <c r="K62" i="24"/>
  <c r="I63" i="24" l="1"/>
  <c r="L62" i="24"/>
  <c r="K63" i="24"/>
  <c r="H64" i="24"/>
  <c r="G63" i="24"/>
  <c r="J62" i="24"/>
  <c r="I64" i="24" l="1"/>
  <c r="L63" i="24"/>
  <c r="G64" i="24"/>
  <c r="J63" i="24"/>
  <c r="H65" i="24"/>
  <c r="K64" i="24"/>
  <c r="I65" i="24" l="1"/>
  <c r="L64" i="24"/>
  <c r="G65" i="24"/>
  <c r="J64" i="24"/>
  <c r="K65" i="24"/>
  <c r="H66" i="24"/>
  <c r="I66" i="24" l="1"/>
  <c r="L65" i="24"/>
  <c r="H67" i="24"/>
  <c r="K66" i="24"/>
  <c r="G66" i="24"/>
  <c r="J65" i="24"/>
  <c r="L66" i="24" l="1"/>
  <c r="I67" i="24"/>
  <c r="K67" i="24"/>
  <c r="H68" i="24"/>
  <c r="J66" i="24"/>
  <c r="G67" i="24"/>
  <c r="L67" i="24" l="1"/>
  <c r="I68" i="24"/>
  <c r="G68" i="24"/>
  <c r="J67" i="24"/>
  <c r="H69" i="24"/>
  <c r="K68" i="24"/>
  <c r="L68" i="24" l="1"/>
  <c r="I69" i="24"/>
  <c r="H70" i="24"/>
  <c r="K69" i="24"/>
  <c r="G69" i="24"/>
  <c r="J68" i="24"/>
  <c r="L69" i="24" l="1"/>
  <c r="I70" i="24"/>
  <c r="G70" i="24"/>
  <c r="J69" i="24"/>
  <c r="H71" i="24"/>
  <c r="K70" i="24"/>
  <c r="L70" i="24" l="1"/>
  <c r="I71" i="24"/>
  <c r="K71" i="24"/>
  <c r="H72" i="24"/>
  <c r="G71" i="24"/>
  <c r="J70" i="24"/>
  <c r="I72" i="24" l="1"/>
  <c r="L71" i="24"/>
  <c r="J71" i="24"/>
  <c r="G72" i="24"/>
  <c r="K72" i="24"/>
  <c r="H73" i="24"/>
  <c r="I73" i="24" l="1"/>
  <c r="L72" i="24"/>
  <c r="H74" i="24"/>
  <c r="K73" i="24"/>
  <c r="J72" i="24"/>
  <c r="G73" i="24"/>
  <c r="L73" i="24" l="1"/>
  <c r="I74" i="24"/>
  <c r="J73" i="24"/>
  <c r="G74" i="24"/>
  <c r="H75" i="24"/>
  <c r="K74" i="24"/>
  <c r="I75" i="24" l="1"/>
  <c r="L74" i="24"/>
  <c r="K75" i="24"/>
  <c r="H76" i="24"/>
  <c r="J74" i="24"/>
  <c r="G75" i="24"/>
  <c r="L75" i="24" l="1"/>
  <c r="I76" i="24"/>
  <c r="J75" i="24"/>
  <c r="G76" i="24"/>
  <c r="H77" i="24"/>
  <c r="K76" i="24"/>
  <c r="L76" i="24" l="1"/>
  <c r="I77" i="24"/>
  <c r="K77" i="24"/>
  <c r="H78" i="24"/>
  <c r="G77" i="24"/>
  <c r="J76" i="24"/>
  <c r="I78" i="24" l="1"/>
  <c r="L77" i="24"/>
  <c r="J77" i="24"/>
  <c r="G78" i="24"/>
  <c r="H79" i="24"/>
  <c r="K78" i="24"/>
  <c r="L78" i="24" l="1"/>
  <c r="I79" i="24"/>
  <c r="K79" i="24"/>
  <c r="H80" i="24"/>
  <c r="G79" i="24"/>
  <c r="J78" i="24"/>
  <c r="L79" i="24" l="1"/>
  <c r="I80" i="24"/>
  <c r="G80" i="24"/>
  <c r="J79" i="24"/>
  <c r="H81" i="24"/>
  <c r="K80" i="24"/>
  <c r="I81" i="24" l="1"/>
  <c r="L80" i="24"/>
  <c r="K81" i="24"/>
  <c r="H82" i="24"/>
  <c r="G81" i="24"/>
  <c r="J80" i="24"/>
  <c r="L81" i="24" l="1"/>
  <c r="I82" i="24"/>
  <c r="G82" i="24"/>
  <c r="J81" i="24"/>
  <c r="K82" i="24"/>
  <c r="H83" i="24"/>
  <c r="I83" i="24" l="1"/>
  <c r="L82" i="24"/>
  <c r="K83" i="24"/>
  <c r="H84" i="24"/>
  <c r="J82" i="24"/>
  <c r="G83" i="24"/>
  <c r="L83" i="24" l="1"/>
  <c r="I84" i="24"/>
  <c r="G84" i="24"/>
  <c r="J83" i="24"/>
  <c r="K84" i="24"/>
  <c r="H85" i="24"/>
  <c r="L84" i="24" l="1"/>
  <c r="I85" i="24"/>
  <c r="K85" i="24"/>
  <c r="H86" i="24"/>
  <c r="G85" i="24"/>
  <c r="J84" i="24"/>
  <c r="L85" i="24" l="1"/>
  <c r="I86" i="24"/>
  <c r="J85" i="24"/>
  <c r="G86" i="24"/>
  <c r="H87" i="24"/>
  <c r="K86" i="24"/>
  <c r="L86" i="24" l="1"/>
  <c r="I87" i="24"/>
  <c r="K87" i="24"/>
  <c r="H88" i="24"/>
  <c r="J86" i="24"/>
  <c r="G87" i="24"/>
  <c r="L87" i="24" l="1"/>
  <c r="I88" i="24"/>
  <c r="G88" i="24"/>
  <c r="J87" i="24"/>
  <c r="H89" i="24"/>
  <c r="K88" i="24"/>
  <c r="L88" i="24" l="1"/>
  <c r="I89" i="24"/>
  <c r="H90" i="24"/>
  <c r="K89" i="24"/>
  <c r="G89" i="24"/>
  <c r="J88" i="24"/>
  <c r="I90" i="24" l="1"/>
  <c r="L89" i="24"/>
  <c r="J89" i="24"/>
  <c r="G90" i="24"/>
  <c r="H91" i="24"/>
  <c r="K90" i="24"/>
  <c r="I91" i="24" l="1"/>
  <c r="L90" i="24"/>
  <c r="H92" i="24"/>
  <c r="K91" i="24"/>
  <c r="G91" i="24"/>
  <c r="J90" i="24"/>
  <c r="L91" i="24" l="1"/>
  <c r="I92" i="24"/>
  <c r="G92" i="24"/>
  <c r="J91" i="24"/>
  <c r="H93" i="24"/>
  <c r="K92" i="24"/>
  <c r="I93" i="24" l="1"/>
  <c r="L92" i="24"/>
  <c r="K93" i="24"/>
  <c r="H94" i="24"/>
  <c r="J92" i="24"/>
  <c r="G93" i="24"/>
  <c r="L93" i="24" l="1"/>
  <c r="I94" i="24"/>
  <c r="G94" i="24"/>
  <c r="J93" i="24"/>
  <c r="K94" i="24"/>
  <c r="H95" i="24"/>
  <c r="I95" i="24" l="1"/>
  <c r="L94" i="24"/>
  <c r="K95" i="24"/>
  <c r="H96" i="24"/>
  <c r="J94" i="24"/>
  <c r="G95" i="24"/>
  <c r="L95" i="24" l="1"/>
  <c r="I96" i="24"/>
  <c r="J95" i="24"/>
  <c r="G96" i="24"/>
  <c r="H97" i="24"/>
  <c r="K96" i="24"/>
  <c r="I97" i="24" l="1"/>
  <c r="L96" i="24"/>
  <c r="K97" i="24"/>
  <c r="H98" i="24"/>
  <c r="J96" i="24"/>
  <c r="G97" i="24"/>
  <c r="L97" i="24" l="1"/>
  <c r="I98" i="24"/>
  <c r="J97" i="24"/>
  <c r="G98" i="24"/>
  <c r="K98" i="24"/>
  <c r="H99" i="24"/>
  <c r="I99" i="24" l="1"/>
  <c r="L98" i="24"/>
  <c r="H100" i="24"/>
  <c r="K99" i="24"/>
  <c r="G99" i="24"/>
  <c r="J98" i="24"/>
  <c r="L99" i="24" l="1"/>
  <c r="I100" i="24"/>
  <c r="J99" i="24"/>
  <c r="G100" i="24"/>
  <c r="K100" i="24"/>
  <c r="H101" i="24"/>
  <c r="I101" i="24" l="1"/>
  <c r="L100" i="24"/>
  <c r="K101" i="24"/>
  <c r="H102" i="24"/>
  <c r="G101" i="24"/>
  <c r="J100" i="24"/>
  <c r="L101" i="24" l="1"/>
  <c r="I102" i="24"/>
  <c r="G102" i="24"/>
  <c r="J101" i="24"/>
  <c r="K102" i="24"/>
  <c r="H103" i="24"/>
  <c r="L102" i="24" l="1"/>
  <c r="I103" i="24"/>
  <c r="H104" i="24"/>
  <c r="K103" i="24"/>
  <c r="J102" i="24"/>
  <c r="G103" i="24"/>
  <c r="I104" i="24" l="1"/>
  <c r="L103" i="24"/>
  <c r="J103" i="24"/>
  <c r="G104" i="24"/>
  <c r="H105" i="24"/>
  <c r="K104" i="24"/>
  <c r="L104" i="24" l="1"/>
  <c r="I105" i="24"/>
  <c r="K105" i="24"/>
  <c r="H106" i="24"/>
  <c r="G105" i="24"/>
  <c r="J104" i="24"/>
  <c r="L105" i="24" l="1"/>
  <c r="I106" i="24"/>
  <c r="J105" i="24"/>
  <c r="G106" i="24"/>
  <c r="K106" i="24"/>
  <c r="H107" i="24"/>
  <c r="L106" i="24" l="1"/>
  <c r="I107" i="24"/>
  <c r="H108" i="24"/>
  <c r="K107" i="24"/>
  <c r="G107" i="24"/>
  <c r="J106" i="24"/>
  <c r="I108" i="24" l="1"/>
  <c r="L107" i="24"/>
  <c r="J107" i="24"/>
  <c r="G108" i="24"/>
  <c r="H109" i="24"/>
  <c r="K108" i="24"/>
  <c r="L108" i="24" l="1"/>
  <c r="I109" i="24"/>
  <c r="K109" i="24"/>
  <c r="H110" i="24"/>
  <c r="J108" i="24"/>
  <c r="G109" i="24"/>
  <c r="I110" i="24" l="1"/>
  <c r="L109" i="24"/>
  <c r="J109" i="24"/>
  <c r="G110" i="24"/>
  <c r="K110" i="24"/>
  <c r="H111" i="24"/>
  <c r="L110" i="24" l="1"/>
  <c r="I111" i="24"/>
  <c r="K111" i="24"/>
  <c r="H112" i="24"/>
  <c r="G111" i="24"/>
  <c r="J110" i="24"/>
  <c r="I112" i="24" l="1"/>
  <c r="L111" i="24"/>
  <c r="G112" i="24"/>
  <c r="J111" i="24"/>
  <c r="K112" i="24"/>
  <c r="L112" i="24" l="1"/>
  <c r="J112" i="24"/>
  <c r="J423" i="8"/>
  <c r="AA420" i="8"/>
  <c r="E422" i="8"/>
  <c r="F424" i="8"/>
  <c r="R424" i="8"/>
  <c r="D422" i="8"/>
  <c r="S424" i="8"/>
  <c r="H419" i="8"/>
  <c r="M421" i="8"/>
  <c r="AC423" i="8"/>
  <c r="Q419" i="8"/>
  <c r="T423" i="8"/>
  <c r="P423" i="8"/>
  <c r="Y424" i="8"/>
  <c r="M423" i="8"/>
  <c r="R422" i="8"/>
  <c r="J419" i="8"/>
  <c r="X421" i="8"/>
  <c r="Q422" i="8"/>
  <c r="K424" i="8"/>
  <c r="E423" i="8"/>
  <c r="AC422" i="8"/>
  <c r="F422" i="8"/>
  <c r="D424" i="8"/>
  <c r="S422" i="8"/>
  <c r="R421" i="8"/>
  <c r="O419" i="8"/>
  <c r="O424" i="8"/>
  <c r="G422" i="8"/>
  <c r="H424" i="8"/>
  <c r="D419" i="8"/>
  <c r="N424" i="8"/>
  <c r="M424" i="8"/>
  <c r="P419" i="8"/>
  <c r="H421" i="8"/>
  <c r="X422" i="8"/>
  <c r="J421" i="8"/>
  <c r="AB423" i="8"/>
  <c r="K419" i="8"/>
  <c r="G423" i="8"/>
  <c r="T422" i="8"/>
  <c r="O422" i="8"/>
  <c r="P424" i="8"/>
  <c r="G424" i="8"/>
  <c r="Y420" i="8"/>
  <c r="O421" i="8"/>
  <c r="F420" i="8"/>
  <c r="AB422" i="8"/>
  <c r="Q423" i="8"/>
  <c r="K420" i="8"/>
  <c r="AB419" i="8"/>
  <c r="S421" i="8"/>
  <c r="P421" i="8"/>
  <c r="Q424" i="8"/>
  <c r="F421" i="8"/>
  <c r="N420" i="8"/>
  <c r="T424" i="8"/>
  <c r="X420" i="8"/>
  <c r="I424" i="8"/>
  <c r="J422" i="8"/>
  <c r="AC419" i="8"/>
  <c r="Y421" i="8"/>
  <c r="AC421" i="8"/>
  <c r="D420" i="8"/>
  <c r="Z424" i="8"/>
  <c r="D421" i="8"/>
  <c r="T421" i="8"/>
  <c r="P422" i="8"/>
  <c r="AC424" i="8"/>
  <c r="M419" i="8"/>
  <c r="J420" i="8"/>
  <c r="N422" i="8"/>
  <c r="N419" i="8"/>
  <c r="O420" i="8"/>
  <c r="G421" i="8"/>
  <c r="N423" i="8"/>
  <c r="AB421" i="8"/>
  <c r="G420" i="8"/>
  <c r="I419" i="8"/>
  <c r="E420" i="8"/>
  <c r="I421" i="8"/>
  <c r="J424" i="8"/>
  <c r="E421" i="8"/>
  <c r="F423" i="8"/>
  <c r="H423" i="8"/>
  <c r="D423" i="8"/>
  <c r="Y422" i="8"/>
  <c r="I422" i="8"/>
  <c r="S419" i="8"/>
  <c r="H420" i="8"/>
  <c r="M422" i="8"/>
  <c r="K423" i="8"/>
  <c r="G419" i="8"/>
  <c r="AC420" i="8"/>
  <c r="E424" i="8"/>
  <c r="X424" i="8"/>
  <c r="Z421" i="8"/>
  <c r="R419" i="8"/>
  <c r="Z422" i="8"/>
  <c r="R423" i="8"/>
  <c r="S423" i="8"/>
  <c r="Y423" i="8"/>
  <c r="S420" i="8"/>
  <c r="H422" i="8"/>
  <c r="Z423" i="8"/>
  <c r="T420" i="8"/>
  <c r="Z419" i="8"/>
  <c r="Y419" i="8"/>
  <c r="X419" i="8"/>
  <c r="O423" i="8"/>
  <c r="AA423" i="8"/>
  <c r="AB420" i="8"/>
  <c r="K421" i="8"/>
  <c r="I420" i="8"/>
  <c r="AA419" i="8"/>
  <c r="Z420" i="8"/>
  <c r="X423" i="8"/>
  <c r="Q420" i="8"/>
  <c r="K422" i="8"/>
  <c r="E419" i="8"/>
  <c r="AB424" i="8"/>
  <c r="N421" i="8"/>
  <c r="F419" i="8"/>
  <c r="AA421" i="8"/>
  <c r="T419" i="8"/>
  <c r="Q421" i="8"/>
  <c r="M420" i="8"/>
  <c r="AA424" i="8"/>
  <c r="AA422" i="8"/>
  <c r="P420" i="8"/>
  <c r="I423" i="8"/>
  <c r="R420" i="8"/>
  <c r="E40" i="5" l="1"/>
  <c r="C32" i="6"/>
  <c r="F40" i="6"/>
  <c r="D36" i="5"/>
  <c r="F34" i="5"/>
  <c r="C42" i="5"/>
  <c r="F44" i="6"/>
  <c r="H34" i="7"/>
  <c r="C42" i="7"/>
  <c r="E38" i="5"/>
  <c r="F38" i="5"/>
  <c r="F40" i="5"/>
  <c r="H42" i="6"/>
  <c r="C36" i="5"/>
  <c r="G38" i="5"/>
  <c r="D38" i="5"/>
  <c r="G32" i="6"/>
  <c r="C32" i="7"/>
  <c r="F42" i="7"/>
  <c r="C38" i="5"/>
  <c r="D30" i="6"/>
  <c r="D44" i="6"/>
  <c r="D30" i="7"/>
  <c r="D40" i="6"/>
  <c r="G42" i="6"/>
  <c r="H30" i="5"/>
  <c r="F38" i="7"/>
  <c r="E30" i="6"/>
  <c r="C32" i="5"/>
  <c r="D30" i="5"/>
  <c r="H38" i="7"/>
  <c r="H40" i="6"/>
  <c r="G36" i="5"/>
  <c r="C44" i="7"/>
  <c r="G34" i="6"/>
  <c r="E40" i="7"/>
  <c r="F32" i="6"/>
  <c r="D38" i="6"/>
  <c r="E32" i="7"/>
  <c r="E34" i="5"/>
  <c r="H42" i="5"/>
  <c r="E38" i="7"/>
  <c r="G36" i="7"/>
  <c r="G30" i="7"/>
  <c r="E36" i="7"/>
  <c r="F32" i="7"/>
  <c r="G32" i="5"/>
  <c r="D42" i="7"/>
  <c r="E30" i="5"/>
  <c r="H36" i="7"/>
  <c r="G32" i="7"/>
  <c r="E44" i="5"/>
  <c r="D36" i="6"/>
  <c r="E44" i="6"/>
  <c r="E32" i="6"/>
  <c r="E30" i="7"/>
  <c r="G42" i="7"/>
  <c r="D32" i="6"/>
  <c r="G44" i="5"/>
  <c r="G42" i="5"/>
  <c r="G30" i="6"/>
  <c r="C38" i="6"/>
  <c r="E38" i="6"/>
  <c r="F36" i="5"/>
  <c r="C30" i="6"/>
  <c r="H44" i="6"/>
  <c r="H44" i="7"/>
  <c r="G38" i="7"/>
  <c r="E42" i="5"/>
  <c r="E36" i="6"/>
  <c r="G44" i="7"/>
  <c r="G34" i="5"/>
  <c r="F34" i="6"/>
  <c r="D34" i="6"/>
  <c r="F34" i="7"/>
  <c r="H36" i="6"/>
  <c r="E42" i="6"/>
  <c r="H30" i="6"/>
  <c r="F30" i="6"/>
  <c r="F42" i="5"/>
  <c r="G40" i="6"/>
  <c r="F30" i="5"/>
  <c r="F32" i="5"/>
  <c r="F42" i="6"/>
  <c r="E42" i="7"/>
  <c r="E34" i="7"/>
  <c r="F44" i="7"/>
  <c r="C36" i="6"/>
  <c r="H38" i="6"/>
  <c r="D34" i="5"/>
  <c r="F36" i="6"/>
  <c r="G38" i="6"/>
  <c r="D36" i="7"/>
  <c r="H30" i="7"/>
  <c r="H32" i="6"/>
  <c r="C44" i="6"/>
  <c r="C34" i="6"/>
  <c r="G30" i="5"/>
  <c r="C30" i="5"/>
  <c r="F40" i="7"/>
  <c r="C44" i="5"/>
  <c r="D34" i="7"/>
  <c r="E32" i="5"/>
  <c r="H34" i="5"/>
  <c r="C40" i="5"/>
  <c r="E44" i="7"/>
  <c r="C34" i="7"/>
  <c r="D32" i="7"/>
  <c r="G36" i="6"/>
  <c r="H42" i="7"/>
  <c r="E40" i="6"/>
  <c r="C40" i="7"/>
  <c r="C40" i="6"/>
  <c r="D44" i="7"/>
  <c r="H38" i="5"/>
  <c r="F30" i="7"/>
  <c r="D38" i="7"/>
  <c r="G40" i="5"/>
  <c r="H32" i="7"/>
  <c r="D40" i="7"/>
  <c r="H36" i="5"/>
  <c r="E36" i="5"/>
  <c r="E34" i="6"/>
  <c r="H32" i="5"/>
  <c r="C38" i="7"/>
  <c r="C34" i="5"/>
  <c r="G40" i="7"/>
  <c r="H40" i="5"/>
  <c r="D32" i="5"/>
  <c r="D40" i="5"/>
  <c r="D44" i="5"/>
  <c r="H40" i="7"/>
  <c r="H44" i="5"/>
  <c r="D42" i="5"/>
  <c r="F44" i="5"/>
  <c r="C30" i="7"/>
  <c r="F36" i="7"/>
  <c r="D42" i="6"/>
  <c r="H34" i="6"/>
  <c r="C42" i="6"/>
  <c r="G34" i="7"/>
  <c r="G44" i="6"/>
  <c r="C36" i="7"/>
  <c r="F38" i="6"/>
  <c r="J43" i="4" l="1"/>
  <c r="J44" i="4"/>
  <c r="J42" i="4"/>
  <c r="J41" i="4"/>
  <c r="F43" i="4"/>
  <c r="F44" i="4"/>
  <c r="F41" i="4"/>
  <c r="F42" i="4"/>
  <c r="D19" i="18" l="1"/>
  <c r="E19" i="18"/>
  <c r="M15" i="18" l="1"/>
  <c r="C57" i="18"/>
  <c r="H8" i="18"/>
  <c r="G57" i="18"/>
  <c r="H12" i="18"/>
  <c r="H19" i="18"/>
  <c r="E50" i="18"/>
  <c r="M27" i="18"/>
  <c r="L49" i="18"/>
  <c r="M13" i="18"/>
  <c r="H38" i="18"/>
  <c r="L27" i="18"/>
  <c r="M49" i="18"/>
  <c r="M11" i="18"/>
  <c r="K14" i="18"/>
  <c r="L18" i="18"/>
  <c r="J53" i="18"/>
  <c r="D31" i="18"/>
  <c r="N48" i="18"/>
  <c r="C48" i="18"/>
  <c r="L44" i="18"/>
  <c r="N47" i="18"/>
  <c r="N18" i="18"/>
  <c r="H44" i="18"/>
  <c r="F49" i="18"/>
  <c r="J14" i="18"/>
  <c r="I16" i="18"/>
  <c r="I48" i="18"/>
  <c r="F50" i="18"/>
  <c r="H37" i="18"/>
  <c r="D45" i="18"/>
  <c r="L46" i="18"/>
  <c r="J49" i="18"/>
  <c r="G19" i="18"/>
  <c r="C47" i="18"/>
  <c r="N51" i="18"/>
  <c r="F36" i="18"/>
  <c r="D28" i="18"/>
  <c r="N55" i="18"/>
  <c r="N30" i="18"/>
  <c r="N32" i="18"/>
  <c r="E57" i="18"/>
  <c r="L11" i="18"/>
  <c r="L52" i="18"/>
  <c r="L55" i="18"/>
  <c r="D37" i="18"/>
  <c r="K36" i="18"/>
  <c r="H57" i="18"/>
  <c r="G31" i="18"/>
  <c r="L56" i="18"/>
  <c r="E48" i="18"/>
  <c r="C16" i="18"/>
  <c r="K45" i="18"/>
  <c r="F53" i="18"/>
  <c r="K49" i="18"/>
  <c r="D54" i="18"/>
  <c r="H49" i="18"/>
  <c r="K53" i="18"/>
  <c r="K50" i="18"/>
  <c r="H53" i="18"/>
  <c r="D46" i="18"/>
  <c r="J30" i="18"/>
  <c r="L30" i="18"/>
  <c r="F56" i="18"/>
  <c r="J56" i="18"/>
  <c r="G44" i="18"/>
  <c r="G37" i="18"/>
  <c r="N36" i="18"/>
  <c r="H50" i="18"/>
  <c r="K15" i="18"/>
  <c r="I18" i="18"/>
  <c r="M53" i="18"/>
  <c r="L6" i="18"/>
  <c r="C45" i="18"/>
  <c r="D12" i="18"/>
  <c r="H51" i="18"/>
  <c r="H46" i="18"/>
  <c r="I52" i="18"/>
  <c r="C56" i="18"/>
  <c r="E7" i="18"/>
  <c r="D6" i="18"/>
  <c r="F19" i="18"/>
  <c r="G17" i="18"/>
  <c r="K26" i="18"/>
  <c r="G56" i="18"/>
  <c r="K30" i="18"/>
  <c r="J28" i="18"/>
  <c r="M56" i="18"/>
  <c r="J6" i="18"/>
  <c r="M7" i="18"/>
  <c r="J11" i="18"/>
  <c r="D7" i="18"/>
  <c r="H48" i="18"/>
  <c r="G6" i="18"/>
  <c r="F32" i="18"/>
  <c r="L10" i="18"/>
  <c r="K52" i="18"/>
  <c r="J9" i="18"/>
  <c r="F13" i="18"/>
  <c r="M9" i="18"/>
  <c r="I8" i="18"/>
  <c r="J44" i="18"/>
  <c r="K10" i="18"/>
  <c r="D10" i="18"/>
  <c r="M26" i="18"/>
  <c r="K7" i="18"/>
  <c r="E16" i="18"/>
  <c r="N7" i="18"/>
  <c r="N15" i="18"/>
  <c r="G32" i="18"/>
  <c r="C9" i="18"/>
  <c r="J17" i="18"/>
  <c r="L15" i="18"/>
  <c r="G55" i="18"/>
  <c r="C13" i="18"/>
  <c r="G10" i="18"/>
  <c r="E15" i="18"/>
  <c r="J15" i="18"/>
  <c r="F18" i="18"/>
  <c r="H13" i="18"/>
  <c r="C14" i="18"/>
  <c r="G26" i="18"/>
  <c r="M31" i="18"/>
  <c r="C10" i="18"/>
  <c r="F16" i="18"/>
  <c r="H25" i="18"/>
  <c r="E11" i="18"/>
  <c r="J8" i="18"/>
  <c r="E13" i="18"/>
  <c r="I9" i="18"/>
  <c r="G18" i="18"/>
  <c r="N26" i="18"/>
  <c r="N12" i="18"/>
  <c r="L14" i="18"/>
  <c r="J27" i="18"/>
  <c r="C8" i="18"/>
  <c r="L16" i="18"/>
  <c r="E10" i="18"/>
  <c r="M55" i="18"/>
  <c r="I53" i="18"/>
  <c r="G15" i="18"/>
  <c r="F11" i="18"/>
  <c r="N14" i="18"/>
  <c r="J48" i="18"/>
  <c r="J10" i="18"/>
  <c r="I113" i="24"/>
  <c r="L113" i="24" s="1"/>
  <c r="N6" i="18"/>
  <c r="D18" i="18"/>
  <c r="N16" i="18"/>
  <c r="C18" i="18"/>
  <c r="N17" i="18"/>
  <c r="M17" i="18"/>
  <c r="J16" i="18"/>
  <c r="J18" i="18"/>
  <c r="F6" i="18"/>
  <c r="N46" i="18"/>
  <c r="E6" i="18"/>
  <c r="K29" i="18"/>
  <c r="H16" i="18"/>
  <c r="G113" i="24"/>
  <c r="J113" i="24" s="1"/>
  <c r="I14" i="18"/>
  <c r="E9" i="18"/>
  <c r="K16" i="18" l="1"/>
  <c r="F54" i="18"/>
  <c r="M54" i="18"/>
  <c r="D14" i="18"/>
  <c r="E45" i="18"/>
  <c r="G33" i="18"/>
  <c r="H14" i="18"/>
  <c r="H10" i="18"/>
  <c r="I7" i="18"/>
  <c r="J33" i="18"/>
  <c r="I54" i="18"/>
  <c r="H11" i="18"/>
  <c r="G28" i="18"/>
  <c r="G53" i="18"/>
  <c r="I114" i="24"/>
  <c r="L114" i="24" s="1"/>
  <c r="E8" i="18"/>
  <c r="M6" i="18"/>
  <c r="C35" i="18"/>
  <c r="E46" i="18"/>
  <c r="N57" i="18"/>
  <c r="L32" i="18"/>
  <c r="M51" i="18"/>
  <c r="D44" i="18"/>
  <c r="K12" i="18"/>
  <c r="I57" i="18"/>
  <c r="M57" i="18"/>
  <c r="N56" i="18"/>
  <c r="C17" i="18"/>
  <c r="G114" i="24"/>
  <c r="J114" i="24" s="1"/>
  <c r="G52" i="18"/>
  <c r="D57" i="18"/>
  <c r="N38" i="18"/>
  <c r="D16" i="18"/>
  <c r="N13" i="18"/>
  <c r="J38" i="18"/>
  <c r="L19" i="18"/>
  <c r="K54" i="18"/>
  <c r="I19" i="18"/>
  <c r="I38" i="18"/>
  <c r="K19" i="18"/>
  <c r="C44" i="18"/>
  <c r="K17" i="18"/>
  <c r="M30" i="18"/>
  <c r="J46" i="18"/>
  <c r="G27" i="18"/>
  <c r="J19" i="18"/>
  <c r="J57" i="18"/>
  <c r="N19" i="18"/>
  <c r="G38" i="18"/>
  <c r="K38" i="18"/>
  <c r="L57" i="18"/>
  <c r="C19" i="18"/>
  <c r="H26" i="18"/>
  <c r="C15" i="18"/>
  <c r="D55" i="18"/>
  <c r="C27" i="18"/>
  <c r="K6" i="18"/>
  <c r="F57" i="18"/>
  <c r="L38" i="18"/>
  <c r="J45" i="18"/>
  <c r="H55" i="18"/>
  <c r="I17" i="18"/>
  <c r="N10" i="18"/>
  <c r="C7" i="18"/>
  <c r="G16" i="18"/>
  <c r="M38" i="18"/>
  <c r="K57" i="18"/>
  <c r="M19" i="18"/>
  <c r="E55" i="18"/>
  <c r="H18" i="18"/>
  <c r="F12" i="18"/>
  <c r="D17" i="18"/>
  <c r="L7" i="18"/>
  <c r="H6" i="18"/>
  <c r="K8" i="18"/>
  <c r="I12" i="18"/>
  <c r="E47" i="18"/>
  <c r="L37" i="18"/>
  <c r="K13" i="18"/>
  <c r="G47" i="18"/>
  <c r="H52" i="18"/>
  <c r="J25" i="18"/>
  <c r="L35" i="18"/>
  <c r="N52" i="18"/>
  <c r="E36" i="18"/>
  <c r="E54" i="18"/>
  <c r="H113" i="24"/>
  <c r="H114" i="24" s="1"/>
  <c r="K114" i="24" s="1"/>
  <c r="H17" i="18"/>
  <c r="M16" i="18"/>
  <c r="I13" i="18"/>
  <c r="C12" i="18"/>
  <c r="G13" i="18"/>
  <c r="K46" i="18"/>
  <c r="I11" i="18"/>
  <c r="I55" i="18"/>
  <c r="J52" i="18"/>
  <c r="K32" i="18"/>
  <c r="F7" i="18"/>
  <c r="M8" i="18"/>
  <c r="G29" i="18"/>
  <c r="I6" i="18"/>
  <c r="H29" i="18"/>
  <c r="D13" i="18"/>
  <c r="D11" i="18"/>
  <c r="M52" i="18"/>
  <c r="H35" i="18"/>
  <c r="G51" i="18"/>
  <c r="N34" i="18"/>
  <c r="C30" i="18"/>
  <c r="E17" i="18"/>
  <c r="H7" i="18"/>
  <c r="M10" i="18"/>
  <c r="L12" i="18"/>
  <c r="G12" i="18"/>
  <c r="E28" i="18"/>
  <c r="G11" i="18"/>
  <c r="H30" i="18"/>
  <c r="N54" i="18"/>
  <c r="F28" i="18"/>
  <c r="F27" i="18"/>
  <c r="K44" i="18"/>
  <c r="C29" i="18"/>
  <c r="J13" i="18"/>
  <c r="C32" i="18"/>
  <c r="K27" i="18"/>
  <c r="F55" i="18"/>
  <c r="C49" i="18"/>
  <c r="D49" i="18"/>
  <c r="E52" i="18"/>
  <c r="G35" i="18"/>
  <c r="M47" i="18"/>
  <c r="M34" i="18"/>
  <c r="L51" i="18"/>
  <c r="L17" i="18"/>
  <c r="C46" i="18"/>
  <c r="G14" i="18"/>
  <c r="M12" i="18"/>
  <c r="C6" i="18"/>
  <c r="F17" i="18"/>
  <c r="C50" i="18"/>
  <c r="M48" i="18"/>
  <c r="K34" i="18"/>
  <c r="J7" i="18"/>
  <c r="G54" i="18"/>
  <c r="I32" i="18"/>
  <c r="J34" i="18"/>
  <c r="F52" i="18"/>
  <c r="K11" i="18"/>
  <c r="H9" i="18"/>
  <c r="N11" i="18"/>
  <c r="D9" i="18"/>
  <c r="C54" i="18"/>
  <c r="F15" i="18"/>
  <c r="F14" i="18"/>
  <c r="D8" i="18"/>
  <c r="G48" i="18"/>
  <c r="M18" i="18"/>
  <c r="H27" i="18"/>
  <c r="J55" i="18"/>
  <c r="D53" i="18"/>
  <c r="K48" i="18"/>
  <c r="N27" i="18"/>
  <c r="H54" i="18"/>
  <c r="I51" i="18"/>
  <c r="N29" i="18"/>
  <c r="G115" i="24" l="1"/>
  <c r="G116" i="24" s="1"/>
  <c r="J116" i="24" s="1"/>
  <c r="H31" i="18"/>
  <c r="I115" i="24"/>
  <c r="I116" i="24" s="1"/>
  <c r="L116" i="24" s="1"/>
  <c r="F8" i="18"/>
  <c r="H28" i="18"/>
  <c r="D25" i="18"/>
  <c r="J47" i="18"/>
  <c r="D15" i="18"/>
  <c r="N9" i="18"/>
  <c r="H15" i="18"/>
  <c r="C52" i="18"/>
  <c r="D33" i="18"/>
  <c r="M32" i="18"/>
  <c r="C38" i="18"/>
  <c r="F31" i="18"/>
  <c r="I44" i="18"/>
  <c r="E30" i="18"/>
  <c r="I26" i="18"/>
  <c r="I28" i="18"/>
  <c r="N28" i="18"/>
  <c r="H115" i="24"/>
  <c r="K115" i="24" s="1"/>
  <c r="J115" i="24"/>
  <c r="I10" i="18"/>
  <c r="F9" i="18"/>
  <c r="N37" i="18"/>
  <c r="K56" i="18"/>
  <c r="C25" i="18"/>
  <c r="M46" i="18"/>
  <c r="G49" i="18"/>
  <c r="L48" i="18"/>
  <c r="G7" i="18"/>
  <c r="L13" i="18"/>
  <c r="I15" i="18"/>
  <c r="J51" i="18"/>
  <c r="D50" i="18"/>
  <c r="F10" i="18"/>
  <c r="E38" i="18"/>
  <c r="H47" i="18"/>
  <c r="C53" i="18"/>
  <c r="K9" i="18"/>
  <c r="N53" i="18"/>
  <c r="D38" i="18"/>
  <c r="I50" i="18"/>
  <c r="E14" i="18"/>
  <c r="L9" i="18"/>
  <c r="L53" i="18"/>
  <c r="F47" i="18"/>
  <c r="E53" i="18"/>
  <c r="F38" i="18"/>
  <c r="E49" i="18"/>
  <c r="K51" i="18"/>
  <c r="F30" i="18"/>
  <c r="M29" i="18"/>
  <c r="M45" i="18"/>
  <c r="C26" i="18"/>
  <c r="N8" i="18"/>
  <c r="F44" i="18"/>
  <c r="C55" i="18"/>
  <c r="L25" i="18"/>
  <c r="F26" i="18"/>
  <c r="F37" i="18"/>
  <c r="H45" i="18"/>
  <c r="K18" i="18"/>
  <c r="K47" i="18"/>
  <c r="N49" i="18"/>
  <c r="L34" i="18"/>
  <c r="G30" i="18"/>
  <c r="M25" i="18"/>
  <c r="F48" i="18"/>
  <c r="F51" i="18"/>
  <c r="E18" i="18"/>
  <c r="G9" i="18"/>
  <c r="D27" i="18"/>
  <c r="L36" i="18"/>
  <c r="C51" i="18"/>
  <c r="K31" i="18"/>
  <c r="F46" i="18"/>
  <c r="K28" i="18"/>
  <c r="D52" i="18"/>
  <c r="E29" i="18"/>
  <c r="I45" i="18"/>
  <c r="C31" i="18"/>
  <c r="J29" i="18"/>
  <c r="I49" i="18"/>
  <c r="E51" i="18"/>
  <c r="C34" i="18"/>
  <c r="D48" i="18"/>
  <c r="K55" i="18"/>
  <c r="I33" i="18"/>
  <c r="G45" i="18"/>
  <c r="C11" i="18"/>
  <c r="L45" i="18"/>
  <c r="G117" i="24"/>
  <c r="J54" i="18"/>
  <c r="M44" i="18"/>
  <c r="D51" i="18"/>
  <c r="G8" i="18"/>
  <c r="M35" i="18"/>
  <c r="K113" i="24"/>
  <c r="L50" i="18"/>
  <c r="J12" i="18"/>
  <c r="E12" i="18"/>
  <c r="L8" i="18"/>
  <c r="F45" i="18"/>
  <c r="N44" i="18"/>
  <c r="D47" i="18"/>
  <c r="E32" i="18"/>
  <c r="I27" i="18"/>
  <c r="L54" i="18"/>
  <c r="J50" i="18"/>
  <c r="G50" i="18"/>
  <c r="J31" i="18"/>
  <c r="M50" i="18"/>
  <c r="I47" i="18"/>
  <c r="F35" i="18"/>
  <c r="N33" i="18"/>
  <c r="G46" i="18"/>
  <c r="E25" i="18"/>
  <c r="E44" i="18"/>
  <c r="L47" i="18"/>
  <c r="M33" i="18"/>
  <c r="D35" i="18"/>
  <c r="E31" i="18"/>
  <c r="I30" i="18" l="1"/>
  <c r="I117" i="24"/>
  <c r="I118" i="24" s="1"/>
  <c r="L115" i="24"/>
  <c r="N50" i="18"/>
  <c r="M14" i="18"/>
  <c r="E33" i="18"/>
  <c r="D36" i="18"/>
  <c r="J26" i="18"/>
  <c r="H34" i="18"/>
  <c r="H116" i="24"/>
  <c r="H117" i="24" s="1"/>
  <c r="H118" i="24" s="1"/>
  <c r="D29" i="18"/>
  <c r="J32" i="18"/>
  <c r="H32" i="18"/>
  <c r="E56" i="18"/>
  <c r="H36" i="18"/>
  <c r="C28" i="18"/>
  <c r="M36" i="18"/>
  <c r="I34" i="18"/>
  <c r="I35" i="18"/>
  <c r="I36" i="18"/>
  <c r="D30" i="18"/>
  <c r="L33" i="18"/>
  <c r="M37" i="18"/>
  <c r="J36" i="18"/>
  <c r="D32" i="18"/>
  <c r="K25" i="18"/>
  <c r="H33" i="18"/>
  <c r="E35" i="18"/>
  <c r="E34" i="18"/>
  <c r="K33" i="18"/>
  <c r="E26" i="18"/>
  <c r="G36" i="18"/>
  <c r="H56" i="18"/>
  <c r="E27" i="18"/>
  <c r="M28" i="18"/>
  <c r="N25" i="18"/>
  <c r="G34" i="18"/>
  <c r="I29" i="18"/>
  <c r="F25" i="18"/>
  <c r="D34" i="18"/>
  <c r="L26" i="18"/>
  <c r="N35" i="18"/>
  <c r="D26" i="18"/>
  <c r="K35" i="18"/>
  <c r="F33" i="18"/>
  <c r="F34" i="18"/>
  <c r="G25" i="18"/>
  <c r="N31" i="18"/>
  <c r="L28" i="18"/>
  <c r="I31" i="18"/>
  <c r="I56" i="18"/>
  <c r="C33" i="18"/>
  <c r="I25" i="18"/>
  <c r="F29" i="18"/>
  <c r="L29" i="18"/>
  <c r="L31" i="18"/>
  <c r="D56" i="18"/>
  <c r="N45" i="18"/>
  <c r="J35" i="18"/>
  <c r="C36" i="18"/>
  <c r="G118" i="24"/>
  <c r="J117" i="24"/>
  <c r="I46" i="18"/>
  <c r="L117" i="24" l="1"/>
  <c r="K117" i="24"/>
  <c r="I119" i="24"/>
  <c r="L118" i="24"/>
  <c r="K116" i="24"/>
  <c r="J37" i="18"/>
  <c r="E37" i="18"/>
  <c r="K37" i="18"/>
  <c r="C37" i="18"/>
  <c r="I37" i="18"/>
  <c r="J118" i="24"/>
  <c r="G119" i="24"/>
  <c r="H119" i="24"/>
  <c r="K118" i="24"/>
  <c r="I120" i="24" l="1"/>
  <c r="L119" i="24"/>
  <c r="K119" i="24"/>
  <c r="H120" i="24"/>
  <c r="J119" i="24"/>
  <c r="G120" i="24"/>
  <c r="L120" i="24" l="1"/>
  <c r="I121" i="24"/>
  <c r="H121" i="24"/>
  <c r="K120" i="24"/>
  <c r="G121" i="24"/>
  <c r="J120" i="24"/>
  <c r="L121" i="24" l="1"/>
  <c r="I122" i="24"/>
  <c r="G122" i="24"/>
  <c r="J121" i="24"/>
  <c r="K121" i="24"/>
  <c r="H122" i="24"/>
  <c r="I123" i="24" l="1"/>
  <c r="L122" i="24"/>
  <c r="H123" i="24"/>
  <c r="K122" i="24"/>
  <c r="J122" i="24"/>
  <c r="G123" i="24"/>
  <c r="L123" i="24" l="1"/>
  <c r="I124" i="24"/>
  <c r="G124" i="24"/>
  <c r="J123" i="24"/>
  <c r="H124" i="24"/>
  <c r="K123" i="24"/>
  <c r="L124" i="24" l="1"/>
  <c r="I125" i="24"/>
  <c r="H125" i="24"/>
  <c r="K124" i="24"/>
  <c r="J124" i="24"/>
  <c r="G125" i="24"/>
  <c r="L125" i="24" l="1"/>
  <c r="I126" i="24"/>
  <c r="J125" i="24"/>
  <c r="G126" i="24"/>
  <c r="H126" i="24"/>
  <c r="K125" i="24"/>
  <c r="L126" i="24" l="1"/>
  <c r="I127" i="24"/>
  <c r="G127" i="24"/>
  <c r="J126" i="24"/>
  <c r="H127" i="24"/>
  <c r="K126" i="24"/>
  <c r="I128" i="24" l="1"/>
  <c r="L127" i="24"/>
  <c r="K127" i="24"/>
  <c r="H128" i="24"/>
  <c r="J127" i="24"/>
  <c r="G128" i="24"/>
  <c r="L128" i="24" l="1"/>
  <c r="I129" i="24"/>
  <c r="H129" i="24"/>
  <c r="K128" i="24"/>
  <c r="G129" i="24"/>
  <c r="J128" i="24"/>
  <c r="I130" i="24" l="1"/>
  <c r="L129" i="24"/>
  <c r="G130" i="24"/>
  <c r="J129" i="24"/>
  <c r="K129" i="24"/>
  <c r="H130" i="24"/>
  <c r="L130" i="24" l="1"/>
  <c r="I131" i="24"/>
  <c r="J130" i="24"/>
  <c r="G131" i="24"/>
  <c r="H131" i="24"/>
  <c r="K130" i="24"/>
  <c r="I132" i="24" l="1"/>
  <c r="L131" i="24"/>
  <c r="K131" i="24"/>
  <c r="H132" i="24"/>
  <c r="G132" i="24"/>
  <c r="J131" i="24"/>
  <c r="L132" i="24" l="1"/>
  <c r="I133" i="24"/>
  <c r="J132" i="24"/>
  <c r="G133" i="24"/>
  <c r="H133" i="24"/>
  <c r="K132" i="24"/>
  <c r="L133" i="24" l="1"/>
  <c r="I134" i="24"/>
  <c r="H134" i="24"/>
  <c r="K133" i="24"/>
  <c r="G134" i="24"/>
  <c r="J133" i="24"/>
  <c r="L134" i="24" l="1"/>
  <c r="I135" i="24"/>
  <c r="J134" i="24"/>
  <c r="G135" i="24"/>
  <c r="K134" i="24"/>
  <c r="H135" i="24"/>
  <c r="I136" i="24" l="1"/>
  <c r="L135" i="24"/>
  <c r="H136" i="24"/>
  <c r="K135" i="24"/>
  <c r="G136" i="24"/>
  <c r="J135" i="24"/>
  <c r="I137" i="24" l="1"/>
  <c r="L136" i="24"/>
  <c r="H137" i="24"/>
  <c r="K136" i="24"/>
  <c r="J136" i="24"/>
  <c r="G137" i="24"/>
  <c r="J33" i="16" l="1"/>
  <c r="J34" i="16" s="1"/>
  <c r="J35" i="16" s="1"/>
  <c r="T24" i="16"/>
  <c r="T23" i="16"/>
  <c r="T25" i="16" s="1"/>
  <c r="AL24" i="16"/>
  <c r="AL23" i="16"/>
  <c r="I23" i="16"/>
  <c r="I24" i="16"/>
  <c r="R12" i="16"/>
  <c r="R14" i="16" s="1"/>
  <c r="R13" i="16"/>
  <c r="Q23" i="16"/>
  <c r="Q24" i="16"/>
  <c r="W12" i="16"/>
  <c r="W14" i="16" s="1"/>
  <c r="W13" i="16"/>
  <c r="Y23" i="16"/>
  <c r="Y24" i="16"/>
  <c r="AM24" i="16"/>
  <c r="AM23" i="16"/>
  <c r="AJ33" i="16"/>
  <c r="AJ34" i="16" s="1"/>
  <c r="AJ35" i="16" s="1"/>
  <c r="AB33" i="16"/>
  <c r="AB34" i="16" s="1"/>
  <c r="AB35" i="16" s="1"/>
  <c r="AG23" i="16"/>
  <c r="AG24" i="16"/>
  <c r="AO12" i="16"/>
  <c r="AO13" i="16"/>
  <c r="Y33" i="16"/>
  <c r="Y34" i="16" s="1"/>
  <c r="Y35" i="16" s="1"/>
  <c r="AE13" i="16"/>
  <c r="AE12" i="16"/>
  <c r="AF33" i="16"/>
  <c r="AF34" i="16" s="1"/>
  <c r="AF35" i="16" s="1"/>
  <c r="J13" i="16"/>
  <c r="J12" i="16"/>
  <c r="W24" i="16"/>
  <c r="W25" i="16" s="1"/>
  <c r="W23" i="16"/>
  <c r="AF24" i="16"/>
  <c r="AF23" i="16"/>
  <c r="AQ33" i="16"/>
  <c r="AQ34" i="16" s="1"/>
  <c r="AQ35" i="16" s="1"/>
  <c r="AL33" i="16"/>
  <c r="AL34" i="16" s="1"/>
  <c r="AL35" i="16" s="1"/>
  <c r="AD23" i="16"/>
  <c r="AD25" i="16" s="1"/>
  <c r="AD24" i="16"/>
  <c r="AF13" i="16"/>
  <c r="AF12" i="16"/>
  <c r="T12" i="16"/>
  <c r="T13" i="16"/>
  <c r="Y12" i="16"/>
  <c r="Y14" i="16" s="1"/>
  <c r="Y13" i="16"/>
  <c r="AC13" i="16"/>
  <c r="AC12" i="16"/>
  <c r="AK13" i="16"/>
  <c r="AK12" i="16"/>
  <c r="AR24" i="16"/>
  <c r="AR25" i="16" s="1"/>
  <c r="AR23" i="16"/>
  <c r="AL13" i="16"/>
  <c r="AL12" i="16"/>
  <c r="AM33" i="16"/>
  <c r="AM34" i="16" s="1"/>
  <c r="AM35" i="16" s="1"/>
  <c r="AG13" i="16"/>
  <c r="AG12" i="16"/>
  <c r="AG14" i="16" s="1"/>
  <c r="Z33" i="16"/>
  <c r="Z34" i="16" s="1"/>
  <c r="Z35" i="16" s="1"/>
  <c r="K24" i="16"/>
  <c r="K23" i="16"/>
  <c r="K25" i="16" s="1"/>
  <c r="AG33" i="16"/>
  <c r="AG34" i="16" s="1"/>
  <c r="AG35" i="16" s="1"/>
  <c r="V23" i="16"/>
  <c r="V24" i="16"/>
  <c r="AB13" i="16"/>
  <c r="AB12" i="16"/>
  <c r="M24" i="16"/>
  <c r="M23" i="16"/>
  <c r="M25" i="16" s="1"/>
  <c r="P33" i="16"/>
  <c r="P34" i="16" s="1"/>
  <c r="P35" i="16" s="1"/>
  <c r="AE33" i="16"/>
  <c r="AE34" i="16" s="1"/>
  <c r="AE35" i="16" s="1"/>
  <c r="AI33" i="16"/>
  <c r="AI34" i="16" s="1"/>
  <c r="AI35" i="16" s="1"/>
  <c r="AK24" i="16"/>
  <c r="AK23" i="16"/>
  <c r="AK25" i="16" s="1"/>
  <c r="AC23" i="16"/>
  <c r="AC24" i="16"/>
  <c r="L12" i="16"/>
  <c r="L14" i="16" s="1"/>
  <c r="L13" i="16"/>
  <c r="AH24" i="16"/>
  <c r="AH23" i="16"/>
  <c r="P12" i="16"/>
  <c r="P13" i="16"/>
  <c r="AN33" i="16"/>
  <c r="AN34" i="16" s="1"/>
  <c r="AN35" i="16" s="1"/>
  <c r="AA33" i="16"/>
  <c r="AA34" i="16" s="1"/>
  <c r="AA35" i="16" s="1"/>
  <c r="T33" i="16"/>
  <c r="T34" i="16" s="1"/>
  <c r="T35" i="16" s="1"/>
  <c r="AN12" i="16"/>
  <c r="AN13" i="16"/>
  <c r="K33" i="16"/>
  <c r="K34" i="16" s="1"/>
  <c r="K35" i="16" s="1"/>
  <c r="R23" i="16"/>
  <c r="R25" i="16" s="1"/>
  <c r="R24" i="16"/>
  <c r="K13" i="16"/>
  <c r="K12" i="16"/>
  <c r="K14" i="16" s="1"/>
  <c r="O23" i="16"/>
  <c r="O24" i="16"/>
  <c r="AH33" i="16"/>
  <c r="AH34" i="16" s="1"/>
  <c r="AH35" i="16" s="1"/>
  <c r="AP12" i="16"/>
  <c r="AP13" i="16"/>
  <c r="AP33" i="16"/>
  <c r="AP34" i="16" s="1"/>
  <c r="AP35" i="16" s="1"/>
  <c r="AQ12" i="16"/>
  <c r="AQ13" i="16"/>
  <c r="AR33" i="16"/>
  <c r="AR34" i="16" s="1"/>
  <c r="AR35" i="16" s="1"/>
  <c r="W33" i="16"/>
  <c r="W34" i="16" s="1"/>
  <c r="W35" i="16" s="1"/>
  <c r="I13" i="16"/>
  <c r="I12" i="16"/>
  <c r="I14" i="16" s="1"/>
  <c r="AO33" i="16"/>
  <c r="AO34" i="16" s="1"/>
  <c r="AO35" i="16" s="1"/>
  <c r="I33" i="16"/>
  <c r="I34" i="16" s="1"/>
  <c r="I35" i="16" s="1"/>
  <c r="AI13" i="16"/>
  <c r="AI12" i="16"/>
  <c r="X13" i="16"/>
  <c r="X12" i="16"/>
  <c r="X14" i="16" s="1"/>
  <c r="Z24" i="16"/>
  <c r="Z23" i="16"/>
  <c r="O33" i="16"/>
  <c r="O34" i="16" s="1"/>
  <c r="O35" i="16" s="1"/>
  <c r="AJ24" i="16"/>
  <c r="AJ23" i="16"/>
  <c r="S24" i="16"/>
  <c r="S23" i="16"/>
  <c r="AN24" i="16"/>
  <c r="AN23" i="16"/>
  <c r="R33" i="16"/>
  <c r="R34" i="16" s="1"/>
  <c r="R35" i="16" s="1"/>
  <c r="U13" i="16"/>
  <c r="U12" i="16"/>
  <c r="U14" i="16" s="1"/>
  <c r="L23" i="16"/>
  <c r="L24" i="16"/>
  <c r="P23" i="16"/>
  <c r="P24" i="16"/>
  <c r="V13" i="16"/>
  <c r="V12" i="16"/>
  <c r="V14" i="16" s="1"/>
  <c r="U33" i="16"/>
  <c r="U34" i="16" s="1"/>
  <c r="U35" i="16" s="1"/>
  <c r="N33" i="16"/>
  <c r="N34" i="16" s="1"/>
  <c r="N35" i="16" s="1"/>
  <c r="AK33" i="16"/>
  <c r="AK34" i="16" s="1"/>
  <c r="AK35" i="16" s="1"/>
  <c r="AQ23" i="16"/>
  <c r="AQ25" i="16" s="1"/>
  <c r="AQ24" i="16"/>
  <c r="M13" i="16"/>
  <c r="M12" i="16"/>
  <c r="AB24" i="16"/>
  <c r="AB23" i="16"/>
  <c r="AB25" i="16" s="1"/>
  <c r="Z12" i="16"/>
  <c r="Z14" i="16" s="1"/>
  <c r="Z13" i="16"/>
  <c r="AR12" i="16"/>
  <c r="AR13" i="16"/>
  <c r="AH12" i="16"/>
  <c r="AH13" i="16"/>
  <c r="AH14" i="16" s="1"/>
  <c r="N23" i="16"/>
  <c r="N25" i="16" s="1"/>
  <c r="N24" i="16"/>
  <c r="O13" i="16"/>
  <c r="O12" i="16"/>
  <c r="N13" i="16"/>
  <c r="N12" i="16"/>
  <c r="X33" i="16"/>
  <c r="X34" i="16" s="1"/>
  <c r="X35" i="16" s="1"/>
  <c r="Q13" i="16"/>
  <c r="Q12" i="16"/>
  <c r="Q14" i="16" s="1"/>
  <c r="AJ12" i="16"/>
  <c r="AJ13" i="16"/>
  <c r="AA12" i="16"/>
  <c r="AA14" i="16" s="1"/>
  <c r="AA13" i="16"/>
  <c r="AA23" i="16"/>
  <c r="AA24" i="16"/>
  <c r="AA25" i="16" s="1"/>
  <c r="AC33" i="16"/>
  <c r="AC34" i="16" s="1"/>
  <c r="AC35" i="16" s="1"/>
  <c r="AD12" i="16"/>
  <c r="AD13" i="16"/>
  <c r="AD33" i="16"/>
  <c r="AD34" i="16" s="1"/>
  <c r="AD35" i="16" s="1"/>
  <c r="U23" i="16"/>
  <c r="U24" i="16"/>
  <c r="U25" i="16" s="1"/>
  <c r="AO23" i="16"/>
  <c r="AO24" i="16"/>
  <c r="V33" i="16"/>
  <c r="V34" i="16" s="1"/>
  <c r="V35" i="16" s="1"/>
  <c r="X23" i="16"/>
  <c r="X25" i="16" s="1"/>
  <c r="X24" i="16"/>
  <c r="M33" i="16"/>
  <c r="M34" i="16" s="1"/>
  <c r="M35" i="16" s="1"/>
  <c r="AP23" i="16"/>
  <c r="AP24" i="16"/>
  <c r="Q33" i="16"/>
  <c r="Q34" i="16" s="1"/>
  <c r="Q35" i="16" s="1"/>
  <c r="S33" i="16"/>
  <c r="S34" i="16" s="1"/>
  <c r="S35" i="16" s="1"/>
  <c r="AI24" i="16"/>
  <c r="AI23" i="16"/>
  <c r="AI25" i="16" s="1"/>
  <c r="L33" i="16"/>
  <c r="L34" i="16" s="1"/>
  <c r="L35" i="16" s="1"/>
  <c r="S12" i="16"/>
  <c r="S13" i="16"/>
  <c r="AE23" i="16"/>
  <c r="AE25" i="16" s="1"/>
  <c r="AE24" i="16"/>
  <c r="AM12" i="16"/>
  <c r="AM13" i="16"/>
  <c r="J23" i="16"/>
  <c r="J24" i="16"/>
  <c r="AF14" i="16"/>
  <c r="AH25" i="16"/>
  <c r="AE14" i="16"/>
  <c r="AL14" i="16"/>
  <c r="AB14" i="16"/>
  <c r="AC14" i="16"/>
  <c r="AF25" i="16"/>
  <c r="AG25" i="16"/>
  <c r="L137" i="24"/>
  <c r="I138" i="24"/>
  <c r="J137" i="24"/>
  <c r="G138" i="24"/>
  <c r="H138" i="24"/>
  <c r="K137" i="24"/>
  <c r="AJ25" i="16" l="1"/>
  <c r="AP14" i="16"/>
  <c r="O14" i="16"/>
  <c r="M14" i="16"/>
  <c r="N14" i="16"/>
  <c r="AN25" i="16"/>
  <c r="I25" i="16"/>
  <c r="AP25" i="16"/>
  <c r="AO25" i="16"/>
  <c r="AJ14" i="16"/>
  <c r="L25" i="16"/>
  <c r="Z25" i="16"/>
  <c r="P14" i="16"/>
  <c r="AC25" i="16"/>
  <c r="AK14" i="16"/>
  <c r="T14" i="16"/>
  <c r="J14" i="16"/>
  <c r="AO14" i="16"/>
  <c r="AM25" i="16"/>
  <c r="AL25" i="16"/>
  <c r="P25" i="16"/>
  <c r="AM14" i="16"/>
  <c r="AQ14" i="16"/>
  <c r="AN14" i="16"/>
  <c r="Q25" i="16"/>
  <c r="V25" i="16"/>
  <c r="AI14" i="16"/>
  <c r="S14" i="16"/>
  <c r="S25" i="16"/>
  <c r="O25" i="16"/>
  <c r="J25" i="16"/>
  <c r="AR14" i="16"/>
  <c r="AD14" i="16"/>
  <c r="Y25" i="16"/>
  <c r="I139" i="24"/>
  <c r="L138" i="24"/>
  <c r="G139" i="24"/>
  <c r="J138" i="24"/>
  <c r="K138" i="24"/>
  <c r="H139" i="24"/>
  <c r="I140" i="24" l="1"/>
  <c r="L139" i="24"/>
  <c r="H140" i="24"/>
  <c r="K139" i="24"/>
  <c r="J139" i="24"/>
  <c r="G140" i="24"/>
  <c r="L140" i="24" l="1"/>
  <c r="I141" i="24"/>
  <c r="K140" i="24"/>
  <c r="H141" i="24"/>
  <c r="G141" i="24"/>
  <c r="J140" i="24"/>
  <c r="I142" i="24" l="1"/>
  <c r="L141" i="24"/>
  <c r="J141" i="24"/>
  <c r="G142" i="24"/>
  <c r="K141" i="24"/>
  <c r="H142" i="24"/>
  <c r="I143" i="24" l="1"/>
  <c r="L142" i="24"/>
  <c r="J142" i="24"/>
  <c r="G143" i="24"/>
  <c r="H143" i="24"/>
  <c r="K142" i="24"/>
  <c r="I144" i="24" l="1"/>
  <c r="L143" i="24"/>
  <c r="H144" i="24"/>
  <c r="K143" i="24"/>
  <c r="G144" i="24"/>
  <c r="J143" i="24"/>
  <c r="L144" i="24" l="1"/>
  <c r="I145" i="24"/>
  <c r="J144" i="24"/>
  <c r="G145" i="24"/>
  <c r="K144" i="24"/>
  <c r="H145" i="24"/>
  <c r="I146" i="24" l="1"/>
  <c r="L145" i="24"/>
  <c r="J145" i="24"/>
  <c r="G146" i="24"/>
  <c r="K145" i="24"/>
  <c r="H146" i="24"/>
  <c r="L146" i="24" l="1"/>
  <c r="I147" i="24"/>
  <c r="H147" i="24"/>
  <c r="K146" i="24"/>
  <c r="G147" i="24"/>
  <c r="J146" i="24"/>
  <c r="I148" i="24" l="1"/>
  <c r="L147" i="24"/>
  <c r="G148" i="24"/>
  <c r="J147" i="24"/>
  <c r="H148" i="24"/>
  <c r="K147" i="24"/>
  <c r="L148" i="24" l="1"/>
  <c r="I149" i="24"/>
  <c r="K148" i="24"/>
  <c r="H149" i="24"/>
  <c r="J148" i="24"/>
  <c r="G149" i="24"/>
  <c r="I150" i="24" l="1"/>
  <c r="L149" i="24"/>
  <c r="H150" i="24"/>
  <c r="K149" i="24"/>
  <c r="J149" i="24"/>
  <c r="G150" i="24"/>
  <c r="L150" i="24" l="1"/>
  <c r="I151" i="24"/>
  <c r="J150" i="24"/>
  <c r="G151" i="24"/>
  <c r="K150" i="24"/>
  <c r="H151" i="24"/>
  <c r="L151" i="24" l="1"/>
  <c r="I152" i="24"/>
  <c r="H152" i="24"/>
  <c r="K151" i="24"/>
  <c r="G152" i="24"/>
  <c r="J151" i="24"/>
  <c r="I153" i="24" l="1"/>
  <c r="L152" i="24"/>
  <c r="J152" i="24"/>
  <c r="G153" i="24"/>
  <c r="K152" i="24"/>
  <c r="H153" i="24"/>
  <c r="L153" i="24" l="1"/>
  <c r="I154" i="24"/>
  <c r="H154" i="24"/>
  <c r="K153" i="24"/>
  <c r="G154" i="24"/>
  <c r="J153" i="24"/>
  <c r="I155" i="24" l="1"/>
  <c r="L154" i="24"/>
  <c r="G155" i="24"/>
  <c r="J154" i="24"/>
  <c r="H155" i="24"/>
  <c r="K154" i="24"/>
  <c r="L155" i="24" l="1"/>
  <c r="I156" i="24"/>
  <c r="K155" i="24"/>
  <c r="H156" i="24"/>
  <c r="G156" i="24"/>
  <c r="J155" i="24"/>
  <c r="L156" i="24" l="1"/>
  <c r="I157" i="24"/>
  <c r="G157" i="24"/>
  <c r="J156" i="24"/>
  <c r="K156" i="24"/>
  <c r="H157" i="24"/>
  <c r="I158" i="24" l="1"/>
  <c r="L157" i="24"/>
  <c r="H158" i="24"/>
  <c r="K157" i="24"/>
  <c r="J157" i="24"/>
  <c r="G158" i="24"/>
  <c r="L158" i="24" l="1"/>
  <c r="I159" i="24"/>
  <c r="G159" i="24"/>
  <c r="J158" i="24"/>
  <c r="K158" i="24"/>
  <c r="H159" i="24"/>
  <c r="I160" i="24" l="1"/>
  <c r="L159" i="24"/>
  <c r="H160" i="24"/>
  <c r="K159" i="24"/>
  <c r="G160" i="24"/>
  <c r="J159" i="24"/>
  <c r="L160" i="24" l="1"/>
  <c r="I161" i="24"/>
  <c r="K160" i="24"/>
  <c r="H161" i="24"/>
  <c r="J160" i="24"/>
  <c r="G161" i="24"/>
  <c r="I162" i="24" l="1"/>
  <c r="L161" i="24"/>
  <c r="G162" i="24"/>
  <c r="J161" i="24"/>
  <c r="H162" i="24"/>
  <c r="K161" i="24"/>
  <c r="I163" i="24" l="1"/>
  <c r="L162" i="24"/>
  <c r="J162" i="24"/>
  <c r="G163" i="24"/>
  <c r="K162" i="24"/>
  <c r="H163" i="24"/>
  <c r="L163" i="24" l="1"/>
  <c r="I164" i="24"/>
  <c r="H164" i="24"/>
  <c r="K163" i="24"/>
  <c r="J163" i="24"/>
  <c r="G164" i="24"/>
  <c r="I165" i="24" l="1"/>
  <c r="L164" i="24"/>
  <c r="K164" i="24"/>
  <c r="H165" i="24"/>
  <c r="J164" i="24"/>
  <c r="G165" i="24"/>
  <c r="I166" i="24" l="1"/>
  <c r="L165" i="24"/>
  <c r="G166" i="24"/>
  <c r="J165" i="24"/>
  <c r="H166" i="24"/>
  <c r="K165" i="24"/>
  <c r="I167" i="24" l="1"/>
  <c r="L166" i="24"/>
  <c r="J166" i="24"/>
  <c r="G167" i="24"/>
  <c r="K166" i="24"/>
  <c r="H167" i="24"/>
  <c r="L167" i="24" l="1"/>
  <c r="I168" i="24"/>
  <c r="K167" i="24"/>
  <c r="H168" i="24"/>
  <c r="J167" i="24"/>
  <c r="G168" i="24"/>
  <c r="L168" i="24" l="1"/>
  <c r="I169" i="24"/>
  <c r="G169" i="24"/>
  <c r="J168" i="24"/>
  <c r="K168" i="24"/>
  <c r="H169" i="24"/>
  <c r="L169" i="24" l="1"/>
  <c r="I170" i="24"/>
  <c r="H170" i="24"/>
  <c r="K169" i="24"/>
  <c r="G170" i="24"/>
  <c r="J169" i="24"/>
  <c r="I171" i="24" l="1"/>
  <c r="L170" i="24"/>
  <c r="H171" i="24"/>
  <c r="K170" i="24"/>
  <c r="J170" i="24"/>
  <c r="G171" i="24"/>
  <c r="L171" i="24" l="1"/>
  <c r="I172" i="24"/>
  <c r="J171" i="24"/>
  <c r="G172" i="24"/>
  <c r="K171" i="24"/>
  <c r="H172" i="24"/>
  <c r="L172" i="24" l="1"/>
  <c r="I173" i="24"/>
  <c r="H173" i="24"/>
  <c r="K172" i="24"/>
  <c r="G173" i="24"/>
  <c r="J172" i="24"/>
  <c r="L173" i="24" l="1"/>
  <c r="I174" i="24"/>
  <c r="G174" i="24"/>
  <c r="J173" i="24"/>
  <c r="H174" i="24"/>
  <c r="K173" i="24"/>
  <c r="I175" i="24" l="1"/>
  <c r="L174" i="24"/>
  <c r="J174" i="24"/>
  <c r="G175" i="24"/>
  <c r="K174" i="24"/>
  <c r="H175" i="24"/>
  <c r="I176" i="24" l="1"/>
  <c r="L175" i="24"/>
  <c r="K175" i="24"/>
  <c r="H176" i="24"/>
  <c r="J175" i="24"/>
  <c r="G176" i="24"/>
  <c r="I177" i="24" l="1"/>
  <c r="L176" i="24"/>
  <c r="K176" i="24"/>
  <c r="H177" i="24"/>
  <c r="G177" i="24"/>
  <c r="J176" i="24"/>
  <c r="I178" i="24" l="1"/>
  <c r="L177" i="24"/>
  <c r="J177" i="24"/>
  <c r="G178" i="24"/>
  <c r="H178" i="24"/>
  <c r="K177" i="24"/>
  <c r="L178" i="24" l="1"/>
  <c r="I179" i="24"/>
  <c r="H179" i="24"/>
  <c r="K178" i="24"/>
  <c r="G179" i="24"/>
  <c r="J178" i="24"/>
  <c r="L179" i="24" l="1"/>
  <c r="I180" i="24"/>
  <c r="K179" i="24"/>
  <c r="H180" i="24"/>
  <c r="J179" i="24"/>
  <c r="G180" i="24"/>
  <c r="L180" i="24" l="1"/>
  <c r="I181" i="24"/>
  <c r="J180" i="24"/>
  <c r="G181" i="24"/>
  <c r="K180" i="24"/>
  <c r="H181" i="24"/>
  <c r="I182" i="24" l="1"/>
  <c r="L181" i="24"/>
  <c r="H182" i="24"/>
  <c r="K181" i="24"/>
  <c r="G182" i="24"/>
  <c r="J181" i="24"/>
  <c r="I183" i="24" l="1"/>
  <c r="L182" i="24"/>
  <c r="J182" i="24"/>
  <c r="G183" i="24"/>
  <c r="K182" i="24"/>
  <c r="H183" i="24"/>
  <c r="L183" i="24" l="1"/>
  <c r="I184" i="24"/>
  <c r="H184" i="24"/>
  <c r="K183" i="24"/>
  <c r="G184" i="24"/>
  <c r="J183" i="24"/>
  <c r="I185" i="24" l="1"/>
  <c r="L184" i="24"/>
  <c r="J184" i="24"/>
  <c r="G185" i="24"/>
  <c r="H185" i="24"/>
  <c r="K184" i="24"/>
  <c r="L185" i="24" l="1"/>
  <c r="I186" i="24"/>
  <c r="H186" i="24"/>
  <c r="K185" i="24"/>
  <c r="G186" i="24"/>
  <c r="J185" i="24"/>
  <c r="L186" i="24" l="1"/>
  <c r="I187" i="24"/>
  <c r="J186" i="24"/>
  <c r="G187" i="24"/>
  <c r="K186" i="24"/>
  <c r="H187" i="24"/>
  <c r="L187" i="24" l="1"/>
  <c r="I188" i="24"/>
  <c r="G188" i="24"/>
  <c r="J187" i="24"/>
  <c r="K187" i="24"/>
  <c r="H188" i="24"/>
  <c r="L188" i="24" l="1"/>
  <c r="I189" i="24"/>
  <c r="K188" i="24"/>
  <c r="H189" i="24"/>
  <c r="G189" i="24"/>
  <c r="J188" i="24"/>
  <c r="I190" i="24" l="1"/>
  <c r="L189" i="24"/>
  <c r="G190" i="24"/>
  <c r="J189" i="24"/>
  <c r="H190" i="24"/>
  <c r="K189" i="24"/>
  <c r="I191" i="24" l="1"/>
  <c r="L190" i="24"/>
  <c r="H191" i="24"/>
  <c r="K190" i="24"/>
  <c r="G191" i="24"/>
  <c r="J190" i="24"/>
  <c r="I192" i="24" l="1"/>
  <c r="L191" i="24"/>
  <c r="J191" i="24"/>
  <c r="G192" i="24"/>
  <c r="K191" i="24"/>
  <c r="H192" i="24"/>
  <c r="I193" i="24" l="1"/>
  <c r="L192" i="24"/>
  <c r="H193" i="24"/>
  <c r="K192" i="24"/>
  <c r="G193" i="24"/>
  <c r="J192" i="24"/>
  <c r="I194" i="24" l="1"/>
  <c r="L193" i="24"/>
  <c r="G194" i="24"/>
  <c r="J193" i="24"/>
  <c r="K193" i="24"/>
  <c r="H194" i="24"/>
  <c r="L194" i="24" l="1"/>
  <c r="I195" i="24"/>
  <c r="G195" i="24"/>
  <c r="J194" i="24"/>
  <c r="K194" i="24"/>
  <c r="H195" i="24"/>
  <c r="I196" i="24" l="1"/>
  <c r="L195" i="24"/>
  <c r="K195" i="24"/>
  <c r="H196" i="24"/>
  <c r="J195" i="24"/>
  <c r="G196" i="24"/>
  <c r="L196" i="24" l="1"/>
  <c r="I197" i="24"/>
  <c r="G197" i="24"/>
  <c r="J196" i="24"/>
  <c r="H197" i="24"/>
  <c r="K196" i="24"/>
  <c r="I198" i="24" l="1"/>
  <c r="L197" i="24"/>
  <c r="H198" i="24"/>
  <c r="K197" i="24"/>
  <c r="G198" i="24"/>
  <c r="J197" i="24"/>
  <c r="I199" i="24" l="1"/>
  <c r="L198" i="24"/>
  <c r="K198" i="24"/>
  <c r="H199" i="24"/>
  <c r="G199" i="24"/>
  <c r="J198" i="24"/>
  <c r="I200" i="24" l="1"/>
  <c r="L199" i="24"/>
  <c r="G200" i="24"/>
  <c r="J199" i="24"/>
  <c r="K199" i="24"/>
  <c r="H200" i="24"/>
  <c r="I201" i="24" l="1"/>
  <c r="L200" i="24"/>
  <c r="K200" i="24"/>
  <c r="H201" i="24"/>
  <c r="J200" i="24"/>
  <c r="G201" i="24"/>
  <c r="I202" i="24" l="1"/>
  <c r="L201" i="24"/>
  <c r="G202" i="24"/>
  <c r="J201" i="24"/>
  <c r="K201" i="24"/>
  <c r="H202" i="24"/>
  <c r="L202" i="24" l="1"/>
  <c r="I203" i="24"/>
  <c r="H203" i="24"/>
  <c r="K202" i="24"/>
  <c r="G203" i="24"/>
  <c r="J202" i="24"/>
  <c r="I204" i="24" l="1"/>
  <c r="L203" i="24"/>
  <c r="G204" i="24"/>
  <c r="J203" i="24"/>
  <c r="K203" i="24"/>
  <c r="H204" i="24"/>
  <c r="L204" i="24" l="1"/>
  <c r="I205" i="24"/>
  <c r="H205" i="24"/>
  <c r="K204" i="24"/>
  <c r="J204" i="24"/>
  <c r="G205" i="24"/>
  <c r="I206" i="24" l="1"/>
  <c r="L205" i="24"/>
  <c r="H206" i="24"/>
  <c r="K205" i="24"/>
  <c r="J205" i="24"/>
  <c r="G206" i="24"/>
  <c r="L206" i="24" l="1"/>
  <c r="I207" i="24"/>
  <c r="G207" i="24"/>
  <c r="J206" i="24"/>
  <c r="H207" i="24"/>
  <c r="K206" i="24"/>
  <c r="L207" i="24" l="1"/>
  <c r="I208" i="24"/>
  <c r="J207" i="24"/>
  <c r="G208" i="24"/>
  <c r="K207" i="24"/>
  <c r="H208" i="24"/>
  <c r="L208" i="24" l="1"/>
  <c r="I209" i="24"/>
  <c r="K208" i="24"/>
  <c r="H209" i="24"/>
  <c r="J208" i="24"/>
  <c r="G209" i="24"/>
  <c r="I210" i="24" l="1"/>
  <c r="L209" i="24"/>
  <c r="G210" i="24"/>
  <c r="J209" i="24"/>
  <c r="H210" i="24"/>
  <c r="K209" i="24"/>
  <c r="L210" i="24" l="1"/>
  <c r="I211" i="24"/>
  <c r="K210" i="24"/>
  <c r="H211" i="24"/>
  <c r="J210" i="24"/>
  <c r="G211" i="24"/>
  <c r="L211" i="24" l="1"/>
  <c r="I212" i="24"/>
  <c r="G212" i="24"/>
  <c r="J211" i="24"/>
  <c r="K211" i="24"/>
  <c r="H212" i="24"/>
  <c r="I213" i="24" l="1"/>
  <c r="L212" i="24"/>
  <c r="J212" i="24"/>
  <c r="G213" i="24"/>
  <c r="K212" i="24"/>
  <c r="H213" i="24"/>
  <c r="L213" i="24" l="1"/>
  <c r="I214" i="24"/>
  <c r="K213" i="24"/>
  <c r="H214" i="24"/>
  <c r="G214" i="24"/>
  <c r="J213" i="24"/>
  <c r="L214" i="24" l="1"/>
  <c r="I215" i="24"/>
  <c r="H215" i="24"/>
  <c r="K214" i="24"/>
  <c r="G215" i="24"/>
  <c r="J214" i="24"/>
  <c r="L215" i="24" l="1"/>
  <c r="I216" i="24"/>
  <c r="J215" i="24"/>
  <c r="G216" i="24"/>
  <c r="K215" i="24"/>
  <c r="H216" i="24"/>
  <c r="I217" i="24" l="1"/>
  <c r="L216" i="24"/>
  <c r="K216" i="24"/>
  <c r="H217" i="24"/>
  <c r="G217" i="24"/>
  <c r="J216" i="24"/>
  <c r="L217" i="24" l="1"/>
  <c r="I218" i="24"/>
  <c r="K217" i="24"/>
  <c r="H218" i="24"/>
  <c r="J217" i="24"/>
  <c r="G218" i="24"/>
  <c r="I219" i="24" l="1"/>
  <c r="L218" i="24"/>
  <c r="J218" i="24"/>
  <c r="G219" i="24"/>
  <c r="H219" i="24"/>
  <c r="K218" i="24"/>
  <c r="I220" i="24" l="1"/>
  <c r="L219" i="24"/>
  <c r="G220" i="24"/>
  <c r="J219" i="24"/>
  <c r="H220" i="24"/>
  <c r="K219" i="24"/>
  <c r="L220" i="24" l="1"/>
  <c r="I221" i="24"/>
  <c r="K220" i="24"/>
  <c r="H221" i="24"/>
  <c r="J220" i="24"/>
  <c r="G221" i="24"/>
  <c r="L221" i="24" l="1"/>
  <c r="I222" i="24"/>
  <c r="K221" i="24"/>
  <c r="H222" i="24"/>
  <c r="J221" i="24"/>
  <c r="G222" i="24"/>
  <c r="I223" i="24" l="1"/>
  <c r="L222" i="24"/>
  <c r="J222" i="24"/>
  <c r="G223" i="24"/>
  <c r="H223" i="24"/>
  <c r="K222" i="24"/>
  <c r="L223" i="24" l="1"/>
  <c r="I224" i="24"/>
  <c r="G224" i="24"/>
  <c r="J223" i="24"/>
  <c r="K223" i="24"/>
  <c r="H224" i="24"/>
  <c r="I225" i="24" l="1"/>
  <c r="L224" i="24"/>
  <c r="H225" i="24"/>
  <c r="K224" i="24"/>
  <c r="G225" i="24"/>
  <c r="J224" i="24"/>
  <c r="L225" i="24" l="1"/>
  <c r="I226" i="24"/>
  <c r="K225" i="24"/>
  <c r="H226" i="24"/>
  <c r="G226" i="24"/>
  <c r="J225" i="24"/>
  <c r="I227" i="24" l="1"/>
  <c r="L226" i="24"/>
  <c r="J226" i="24"/>
  <c r="G227" i="24"/>
  <c r="K226" i="24"/>
  <c r="H227" i="24"/>
  <c r="I228" i="24" l="1"/>
  <c r="L227" i="24"/>
  <c r="H228" i="24"/>
  <c r="K227" i="24"/>
  <c r="J227" i="24"/>
  <c r="G228" i="24"/>
  <c r="L228" i="24" l="1"/>
  <c r="I229" i="24"/>
  <c r="G229" i="24"/>
  <c r="J228" i="24"/>
  <c r="K228" i="24"/>
  <c r="H229" i="24"/>
  <c r="I230" i="24" l="1"/>
  <c r="L229" i="24"/>
  <c r="J229" i="24"/>
  <c r="G230" i="24"/>
  <c r="K229" i="24"/>
  <c r="H230" i="24"/>
  <c r="L230" i="24" l="1"/>
  <c r="I231" i="24"/>
  <c r="H231" i="24"/>
  <c r="K230" i="24"/>
  <c r="J230" i="24"/>
  <c r="G231" i="24"/>
  <c r="L231" i="24" l="1"/>
  <c r="I232" i="24"/>
  <c r="H232" i="24"/>
  <c r="K231" i="24"/>
  <c r="G232" i="24"/>
  <c r="J231" i="24"/>
  <c r="I233" i="24" l="1"/>
  <c r="L232" i="24"/>
  <c r="G233" i="24"/>
  <c r="J232" i="24"/>
  <c r="K232" i="24"/>
  <c r="H233" i="24"/>
  <c r="I234" i="24" l="1"/>
  <c r="L233" i="24"/>
  <c r="K233" i="24"/>
  <c r="H234" i="24"/>
  <c r="G234" i="24"/>
  <c r="J233" i="24"/>
  <c r="I235" i="24" l="1"/>
  <c r="L234" i="24"/>
  <c r="J234" i="24"/>
  <c r="G235" i="24"/>
  <c r="H235" i="24"/>
  <c r="K234" i="24"/>
  <c r="I236" i="24" l="1"/>
  <c r="L235" i="24"/>
  <c r="G236" i="24"/>
  <c r="J235" i="24"/>
  <c r="H236" i="24"/>
  <c r="K235" i="24"/>
  <c r="L236" i="24" l="1"/>
  <c r="I237" i="24"/>
  <c r="K236" i="24"/>
  <c r="H237" i="24"/>
  <c r="G237" i="24"/>
  <c r="J236" i="24"/>
  <c r="I238" i="24" l="1"/>
  <c r="L237" i="24"/>
  <c r="G238" i="24"/>
  <c r="J237" i="24"/>
  <c r="K237" i="24"/>
  <c r="H238" i="24"/>
  <c r="I239" i="24" l="1"/>
  <c r="L238" i="24"/>
  <c r="H239" i="24"/>
  <c r="K238" i="24"/>
  <c r="J238" i="24"/>
  <c r="G239" i="24"/>
  <c r="I240" i="24" l="1"/>
  <c r="L239" i="24"/>
  <c r="K239" i="24"/>
  <c r="H240" i="24"/>
  <c r="J239" i="24"/>
  <c r="G240" i="24"/>
  <c r="I241" i="24" l="1"/>
  <c r="L240" i="24"/>
  <c r="G241" i="24"/>
  <c r="J240" i="24"/>
  <c r="K240" i="24"/>
  <c r="H241" i="24"/>
  <c r="L241" i="24" l="1"/>
  <c r="I242" i="24"/>
  <c r="H242" i="24"/>
  <c r="K241" i="24"/>
  <c r="J241" i="24"/>
  <c r="G242" i="24"/>
  <c r="L242" i="24" l="1"/>
  <c r="I243" i="24"/>
  <c r="G243" i="24"/>
  <c r="J242" i="24"/>
  <c r="K242" i="24"/>
  <c r="H243" i="24"/>
  <c r="I244" i="24" l="1"/>
  <c r="L243" i="24"/>
  <c r="K243" i="24"/>
  <c r="H244" i="24"/>
  <c r="J243" i="24"/>
  <c r="G244" i="24"/>
  <c r="L244" i="24" l="1"/>
  <c r="I245" i="24"/>
  <c r="J244" i="24"/>
  <c r="G245" i="24"/>
  <c r="K244" i="24"/>
  <c r="H245" i="24"/>
  <c r="I246" i="24" l="1"/>
  <c r="L245" i="24"/>
  <c r="H246" i="24"/>
  <c r="K245" i="24"/>
  <c r="G246" i="24"/>
  <c r="J245" i="24"/>
  <c r="L246" i="24" l="1"/>
  <c r="I247" i="24"/>
  <c r="J246" i="24"/>
  <c r="G247" i="24"/>
  <c r="K246" i="24"/>
  <c r="H247" i="24"/>
  <c r="I248" i="24" l="1"/>
  <c r="L247" i="24"/>
  <c r="K247" i="24"/>
  <c r="H248" i="24"/>
  <c r="G248" i="24"/>
  <c r="J247" i="24"/>
  <c r="I249" i="24" l="1"/>
  <c r="L248" i="24"/>
  <c r="J248" i="24"/>
  <c r="G249" i="24"/>
  <c r="H249" i="24"/>
  <c r="K248" i="24"/>
  <c r="L249" i="24" l="1"/>
  <c r="I250" i="24"/>
  <c r="H250" i="24"/>
  <c r="K249" i="24"/>
  <c r="J249" i="24"/>
  <c r="G250" i="24"/>
  <c r="L250" i="24" l="1"/>
  <c r="I251" i="24"/>
  <c r="G251" i="24"/>
  <c r="J250" i="24"/>
  <c r="K250" i="24"/>
  <c r="H251" i="24"/>
  <c r="I252" i="24" l="1"/>
  <c r="L251" i="24"/>
  <c r="K251" i="24"/>
  <c r="H252" i="24"/>
  <c r="J251" i="24"/>
  <c r="G252" i="24"/>
  <c r="I253" i="24" l="1"/>
  <c r="L252" i="24"/>
  <c r="G253" i="24"/>
  <c r="J252" i="24"/>
  <c r="K252" i="24"/>
  <c r="H253" i="24"/>
  <c r="L253" i="24" l="1"/>
  <c r="I254" i="24"/>
  <c r="H254" i="24"/>
  <c r="K253" i="24"/>
  <c r="G254" i="24"/>
  <c r="J253" i="24"/>
  <c r="I255" i="24" l="1"/>
  <c r="L254" i="24"/>
  <c r="G255" i="24"/>
  <c r="J254" i="24"/>
  <c r="K254" i="24"/>
  <c r="H255" i="24"/>
  <c r="I256" i="24" l="1"/>
  <c r="L255" i="24"/>
  <c r="H256" i="24"/>
  <c r="K255" i="24"/>
  <c r="G256" i="24"/>
  <c r="J255" i="24"/>
  <c r="I257" i="24" l="1"/>
  <c r="L256" i="24"/>
  <c r="J256" i="24"/>
  <c r="G257" i="24"/>
  <c r="H257" i="24"/>
  <c r="K256" i="24"/>
  <c r="L257" i="24" l="1"/>
  <c r="I258" i="24"/>
  <c r="K257" i="24"/>
  <c r="H258" i="24"/>
  <c r="G258" i="24"/>
  <c r="J257" i="24"/>
  <c r="I259" i="24" l="1"/>
  <c r="L258" i="24"/>
  <c r="J258" i="24"/>
  <c r="G259" i="24"/>
  <c r="H259" i="24"/>
  <c r="K258" i="24"/>
  <c r="I260" i="24" l="1"/>
  <c r="L259" i="24"/>
  <c r="K259" i="24"/>
  <c r="H260" i="24"/>
  <c r="G260" i="24"/>
  <c r="J259" i="24"/>
  <c r="I261" i="24" l="1"/>
  <c r="L260" i="24"/>
  <c r="H261" i="24"/>
  <c r="K260" i="24"/>
  <c r="J260" i="24"/>
  <c r="G261" i="24"/>
  <c r="I262" i="24" l="1"/>
  <c r="L261" i="24"/>
  <c r="J261" i="24"/>
  <c r="G262" i="24"/>
  <c r="K261" i="24"/>
  <c r="H262" i="24"/>
  <c r="I263" i="24" l="1"/>
  <c r="L262" i="24"/>
  <c r="K262" i="24"/>
  <c r="H263" i="24"/>
  <c r="G263" i="24"/>
  <c r="J262" i="24"/>
  <c r="I264" i="24" l="1"/>
  <c r="L263" i="24"/>
  <c r="J263" i="24"/>
  <c r="G264" i="24"/>
  <c r="H264" i="24"/>
  <c r="K263" i="24"/>
  <c r="L264" i="24" l="1"/>
  <c r="I265" i="24"/>
  <c r="G265" i="24"/>
  <c r="J264" i="24"/>
  <c r="K264" i="24"/>
  <c r="H265" i="24"/>
  <c r="L265" i="24" l="1"/>
  <c r="I266" i="24"/>
  <c r="H266" i="24"/>
  <c r="K265" i="24"/>
  <c r="G266" i="24"/>
  <c r="J265" i="24"/>
  <c r="I267" i="24" l="1"/>
  <c r="L266" i="24"/>
  <c r="J266" i="24"/>
  <c r="G267" i="24"/>
  <c r="K266" i="24"/>
  <c r="H267" i="24"/>
  <c r="L267" i="24" l="1"/>
  <c r="I268" i="24"/>
  <c r="H268" i="24"/>
  <c r="K267" i="24"/>
  <c r="J267" i="24"/>
  <c r="G268" i="24"/>
  <c r="L268" i="24" l="1"/>
  <c r="I269" i="24"/>
  <c r="H269" i="24"/>
  <c r="K268" i="24"/>
  <c r="G269" i="24"/>
  <c r="J268" i="24"/>
  <c r="L269" i="24" l="1"/>
  <c r="I270" i="24"/>
  <c r="J269" i="24"/>
  <c r="G270" i="24"/>
  <c r="H270" i="24"/>
  <c r="K269" i="24"/>
  <c r="L270" i="24" l="1"/>
  <c r="I271" i="24"/>
  <c r="K270" i="24"/>
  <c r="H271" i="24"/>
  <c r="G271" i="24"/>
  <c r="J270" i="24"/>
  <c r="L271" i="24" l="1"/>
  <c r="I272" i="24"/>
  <c r="J271" i="24"/>
  <c r="G272" i="24"/>
  <c r="K271" i="24"/>
  <c r="H272" i="24"/>
  <c r="I273" i="24" l="1"/>
  <c r="L272" i="24"/>
  <c r="H273" i="24"/>
  <c r="K272" i="24"/>
  <c r="G273" i="24"/>
  <c r="J272" i="24"/>
  <c r="L273" i="24" l="1"/>
  <c r="I274" i="24"/>
  <c r="J273" i="24"/>
  <c r="G274" i="24"/>
  <c r="K273" i="24"/>
  <c r="H274" i="24"/>
  <c r="I275" i="24" l="1"/>
  <c r="L274" i="24"/>
  <c r="K274" i="24"/>
  <c r="H275" i="24"/>
  <c r="J274" i="24"/>
  <c r="G275" i="24"/>
  <c r="I276" i="24" l="1"/>
  <c r="L275" i="24"/>
  <c r="G276" i="24"/>
  <c r="J275" i="24"/>
  <c r="H276" i="24"/>
  <c r="K275" i="24"/>
  <c r="L276" i="24" l="1"/>
  <c r="I277" i="24"/>
  <c r="K276" i="24"/>
  <c r="H277" i="24"/>
  <c r="J276" i="24"/>
  <c r="G277" i="24"/>
  <c r="L277" i="24" l="1"/>
  <c r="I278" i="24"/>
  <c r="G278" i="24"/>
  <c r="J277" i="24"/>
  <c r="K277" i="24"/>
  <c r="H278" i="24"/>
  <c r="I279" i="24" l="1"/>
  <c r="L278" i="24"/>
  <c r="G279" i="24"/>
  <c r="J278" i="24"/>
  <c r="H279" i="24"/>
  <c r="K278" i="24"/>
  <c r="I280" i="24" l="1"/>
  <c r="L279" i="24"/>
  <c r="K279" i="24"/>
  <c r="H280" i="24"/>
  <c r="J279" i="24"/>
  <c r="G280" i="24"/>
  <c r="I281" i="24" l="1"/>
  <c r="L280" i="24"/>
  <c r="G281" i="24"/>
  <c r="J280" i="24"/>
  <c r="H281" i="24"/>
  <c r="K280" i="24"/>
  <c r="I282" i="24" l="1"/>
  <c r="L281" i="24"/>
  <c r="K281" i="24"/>
  <c r="H282" i="24"/>
  <c r="J281" i="24"/>
  <c r="G282" i="24"/>
  <c r="I283" i="24" l="1"/>
  <c r="L282" i="24"/>
  <c r="G283" i="24"/>
  <c r="J282" i="24"/>
  <c r="H283" i="24"/>
  <c r="K282" i="24"/>
  <c r="I284" i="24" l="1"/>
  <c r="L283" i="24"/>
  <c r="K283" i="24"/>
  <c r="H284" i="24"/>
  <c r="G284" i="24"/>
  <c r="J283" i="24"/>
  <c r="L284" i="24" l="1"/>
  <c r="I285" i="24"/>
  <c r="G285" i="24"/>
  <c r="J284" i="24"/>
  <c r="H285" i="24"/>
  <c r="K284" i="24"/>
  <c r="I286" i="24" l="1"/>
  <c r="L285" i="24"/>
  <c r="K285" i="24"/>
  <c r="H286" i="24"/>
  <c r="J285" i="24"/>
  <c r="G286" i="24"/>
  <c r="L286" i="24" l="1"/>
  <c r="I287" i="24"/>
  <c r="H287" i="24"/>
  <c r="K286" i="24"/>
  <c r="G287" i="24"/>
  <c r="J286" i="24"/>
  <c r="L287" i="24" l="1"/>
  <c r="I288" i="24"/>
  <c r="J287" i="24"/>
  <c r="G288" i="24"/>
  <c r="K287" i="24"/>
  <c r="H288" i="24"/>
  <c r="I289" i="24" l="1"/>
  <c r="L288" i="24"/>
  <c r="K288" i="24"/>
  <c r="H289" i="24"/>
  <c r="G289" i="24"/>
  <c r="J288" i="24"/>
  <c r="I290" i="24" l="1"/>
  <c r="L289" i="24"/>
  <c r="J289" i="24"/>
  <c r="G290" i="24"/>
  <c r="H290" i="24"/>
  <c r="K289" i="24"/>
  <c r="L290" i="24" l="1"/>
  <c r="I291" i="24"/>
  <c r="J290" i="24"/>
  <c r="G291" i="24"/>
  <c r="H291" i="24"/>
  <c r="K290" i="24"/>
  <c r="I292" i="24" l="1"/>
  <c r="L291" i="24"/>
  <c r="H292" i="24"/>
  <c r="K291" i="24"/>
  <c r="G292" i="24"/>
  <c r="J291" i="24"/>
  <c r="L292" i="24" l="1"/>
  <c r="I293" i="24"/>
  <c r="J292" i="24"/>
  <c r="G293" i="24"/>
  <c r="K292" i="24"/>
  <c r="H293" i="24"/>
  <c r="I294" i="24" l="1"/>
  <c r="L293" i="24"/>
  <c r="K293" i="24"/>
  <c r="H294" i="24"/>
  <c r="G294" i="24"/>
  <c r="J293" i="24"/>
  <c r="L294" i="24" l="1"/>
  <c r="I295" i="24"/>
  <c r="J294" i="24"/>
  <c r="G295" i="24"/>
  <c r="H295" i="24"/>
  <c r="K294" i="24"/>
  <c r="L295" i="24" l="1"/>
  <c r="I296" i="24"/>
  <c r="H296" i="24"/>
  <c r="K295" i="24"/>
  <c r="G296" i="24"/>
  <c r="J295" i="24"/>
  <c r="L296" i="24" l="1"/>
  <c r="I297" i="24"/>
  <c r="J296" i="24"/>
  <c r="G297" i="24"/>
  <c r="K296" i="24"/>
  <c r="H297" i="24"/>
  <c r="L297" i="24" l="1"/>
  <c r="I298" i="24"/>
  <c r="K297" i="24"/>
  <c r="H298" i="24"/>
  <c r="G298" i="24"/>
  <c r="J297" i="24"/>
  <c r="L298" i="24" l="1"/>
  <c r="I299" i="24"/>
  <c r="J298" i="24"/>
  <c r="G299" i="24"/>
  <c r="K298" i="24"/>
  <c r="H299" i="24"/>
  <c r="L299" i="24" l="1"/>
  <c r="I300" i="24"/>
  <c r="H300" i="24"/>
  <c r="K299" i="24"/>
  <c r="J299" i="24"/>
  <c r="G300" i="24"/>
  <c r="L300" i="24" l="1"/>
  <c r="I301" i="24"/>
  <c r="G301" i="24"/>
  <c r="J300" i="24"/>
  <c r="K300" i="24"/>
  <c r="H301" i="24"/>
  <c r="I302" i="24" l="1"/>
  <c r="L301" i="24"/>
  <c r="G302" i="24"/>
  <c r="J301" i="24"/>
  <c r="H302" i="24"/>
  <c r="K301" i="24"/>
  <c r="L302" i="24" l="1"/>
  <c r="I303" i="24"/>
  <c r="H303" i="24"/>
  <c r="K302" i="24"/>
  <c r="J302" i="24"/>
  <c r="G303" i="24"/>
  <c r="I304" i="24" l="1"/>
  <c r="L303" i="24"/>
  <c r="G304" i="24"/>
  <c r="J303" i="24"/>
  <c r="K303" i="24"/>
  <c r="H304" i="24"/>
  <c r="I305" i="24" l="1"/>
  <c r="L304" i="24"/>
  <c r="G305" i="24"/>
  <c r="J304" i="24"/>
  <c r="K304" i="24"/>
  <c r="H305" i="24"/>
  <c r="I306" i="24" l="1"/>
  <c r="L305" i="24"/>
  <c r="K305" i="24"/>
  <c r="H306" i="24"/>
  <c r="J305" i="24"/>
  <c r="G306" i="24"/>
  <c r="L306" i="24" l="1"/>
  <c r="I307" i="24"/>
  <c r="J306" i="24"/>
  <c r="G307" i="24"/>
  <c r="H307" i="24"/>
  <c r="K306" i="24"/>
  <c r="I308" i="24" l="1"/>
  <c r="L307" i="24"/>
  <c r="H308" i="24"/>
  <c r="K307" i="24"/>
  <c r="J307" i="24"/>
  <c r="G308" i="24"/>
  <c r="L308" i="24" l="1"/>
  <c r="I309" i="24"/>
  <c r="G309" i="24"/>
  <c r="J308" i="24"/>
  <c r="H309" i="24"/>
  <c r="K308" i="24"/>
  <c r="L309" i="24" l="1"/>
  <c r="I310" i="24"/>
  <c r="G310" i="24"/>
  <c r="J309" i="24"/>
  <c r="K309" i="24"/>
  <c r="H310" i="24"/>
  <c r="L310" i="24" l="1"/>
  <c r="I311" i="24"/>
  <c r="H311" i="24"/>
  <c r="K310" i="24"/>
  <c r="J310" i="24"/>
  <c r="G311" i="24"/>
  <c r="L311" i="24" l="1"/>
  <c r="I312" i="24"/>
  <c r="K311" i="24"/>
  <c r="H312" i="24"/>
  <c r="J311" i="24"/>
  <c r="G312" i="24"/>
  <c r="L312" i="24" l="1"/>
  <c r="I313" i="24"/>
  <c r="J312" i="24"/>
  <c r="G313" i="24"/>
  <c r="H313" i="24"/>
  <c r="K312" i="24"/>
  <c r="L313" i="24" l="1"/>
  <c r="I314" i="24"/>
  <c r="H314" i="24"/>
  <c r="K313" i="24"/>
  <c r="G314" i="24"/>
  <c r="J313" i="24"/>
  <c r="L314" i="24" l="1"/>
  <c r="I315" i="24"/>
  <c r="G315" i="24"/>
  <c r="J314" i="24"/>
  <c r="K314" i="24"/>
  <c r="H315" i="24"/>
  <c r="L315" i="24" l="1"/>
  <c r="I316" i="24"/>
  <c r="H316" i="24"/>
  <c r="K315" i="24"/>
  <c r="J315" i="24"/>
  <c r="G316" i="24"/>
  <c r="L316" i="24" l="1"/>
  <c r="I317" i="24"/>
  <c r="J316" i="24"/>
  <c r="G317" i="24"/>
  <c r="K316" i="24"/>
  <c r="H317" i="24"/>
  <c r="I318" i="24" l="1"/>
  <c r="L317" i="24"/>
  <c r="K317" i="24"/>
  <c r="H318" i="24"/>
  <c r="J317" i="24"/>
  <c r="G318" i="24"/>
  <c r="I319" i="24" l="1"/>
  <c r="L318" i="24"/>
  <c r="G319" i="24"/>
  <c r="J318" i="24"/>
  <c r="K318" i="24"/>
  <c r="H319" i="24"/>
  <c r="I320" i="24" l="1"/>
  <c r="L319" i="24"/>
  <c r="H320" i="24"/>
  <c r="K319" i="24"/>
  <c r="G320" i="24"/>
  <c r="J319" i="24"/>
  <c r="L320" i="24" l="1"/>
  <c r="I321" i="24"/>
  <c r="J320" i="24"/>
  <c r="G321" i="24"/>
  <c r="K320" i="24"/>
  <c r="H321" i="24"/>
  <c r="L321" i="24" l="1"/>
  <c r="I322" i="24"/>
  <c r="H322" i="24"/>
  <c r="K321" i="24"/>
  <c r="J321" i="24"/>
  <c r="G322" i="24"/>
  <c r="L322" i="24" l="1"/>
  <c r="I323" i="24"/>
  <c r="K322" i="24"/>
  <c r="H323" i="24"/>
  <c r="J322" i="24"/>
  <c r="G323" i="24"/>
  <c r="L323" i="24" l="1"/>
  <c r="I324" i="24"/>
  <c r="G324" i="24"/>
  <c r="J323" i="24"/>
  <c r="H324" i="24"/>
  <c r="K323" i="24"/>
  <c r="L324" i="24" l="1"/>
  <c r="I325" i="24"/>
  <c r="K324" i="24"/>
  <c r="H325" i="24"/>
  <c r="G325" i="24"/>
  <c r="J324" i="24"/>
  <c r="I326" i="24" l="1"/>
  <c r="L325" i="24"/>
  <c r="J325" i="24"/>
  <c r="G326" i="24"/>
  <c r="K325" i="24"/>
  <c r="H326" i="24"/>
  <c r="L326" i="24" l="1"/>
  <c r="I327" i="24"/>
  <c r="H327" i="24"/>
  <c r="K326" i="24"/>
  <c r="G327" i="24"/>
  <c r="J326" i="24"/>
  <c r="L327" i="24" l="1"/>
  <c r="I328" i="24"/>
  <c r="G328" i="24"/>
  <c r="J327" i="24"/>
  <c r="K327" i="24"/>
  <c r="H328" i="24"/>
  <c r="I329" i="24" l="1"/>
  <c r="L328" i="24"/>
  <c r="H329" i="24"/>
  <c r="K328" i="24"/>
  <c r="J328" i="24"/>
  <c r="G329" i="24"/>
  <c r="I330" i="24" l="1"/>
  <c r="L329" i="24"/>
  <c r="K329" i="24"/>
  <c r="H330" i="24"/>
  <c r="G330" i="24"/>
  <c r="J329" i="24"/>
  <c r="L330" i="24" l="1"/>
  <c r="I331" i="24"/>
  <c r="K330" i="24"/>
  <c r="H331" i="24"/>
  <c r="J330" i="24"/>
  <c r="G331" i="24"/>
  <c r="L331" i="24" l="1"/>
  <c r="I332" i="24"/>
  <c r="G332" i="24"/>
  <c r="J331" i="24"/>
  <c r="H332" i="24"/>
  <c r="K331" i="24"/>
  <c r="L332" i="24" l="1"/>
  <c r="I333" i="24"/>
  <c r="H333" i="24"/>
  <c r="K332" i="24"/>
  <c r="G333" i="24"/>
  <c r="J332" i="24"/>
  <c r="L333" i="24" l="1"/>
  <c r="I334" i="24"/>
  <c r="J333" i="24"/>
  <c r="G334" i="24"/>
  <c r="H334" i="24"/>
  <c r="K333" i="24"/>
  <c r="L334" i="24" l="1"/>
  <c r="I335" i="24"/>
  <c r="K334" i="24"/>
  <c r="H335" i="24"/>
  <c r="G335" i="24"/>
  <c r="J334" i="24"/>
  <c r="I336" i="24" l="1"/>
  <c r="L335" i="24"/>
  <c r="J335" i="24"/>
  <c r="G336" i="24"/>
  <c r="K335" i="24"/>
  <c r="H336" i="24"/>
  <c r="L336" i="24" l="1"/>
  <c r="I337" i="24"/>
  <c r="H337" i="24"/>
  <c r="K336" i="24"/>
  <c r="G337" i="24"/>
  <c r="J336" i="24"/>
  <c r="I338" i="24" l="1"/>
  <c r="L337" i="24"/>
  <c r="J337" i="24"/>
  <c r="G338" i="24"/>
  <c r="H338" i="24"/>
  <c r="K337" i="24"/>
  <c r="I339" i="24" l="1"/>
  <c r="L338" i="24"/>
  <c r="H339" i="24"/>
  <c r="K338" i="24"/>
  <c r="G339" i="24"/>
  <c r="J338" i="24"/>
  <c r="L339" i="24" l="1"/>
  <c r="I340" i="24"/>
  <c r="G340" i="24"/>
  <c r="J339" i="24"/>
  <c r="K339" i="24"/>
  <c r="H340" i="24"/>
  <c r="L340" i="24" l="1"/>
  <c r="I341" i="24"/>
  <c r="K340" i="24"/>
  <c r="H341" i="24"/>
  <c r="J340" i="24"/>
  <c r="G341" i="24"/>
  <c r="I342" i="24" l="1"/>
  <c r="L341" i="24"/>
  <c r="J341" i="24"/>
  <c r="G342" i="24"/>
  <c r="H342" i="24"/>
  <c r="K341" i="24"/>
  <c r="L342" i="24" l="1"/>
  <c r="I343" i="24"/>
  <c r="H343" i="24"/>
  <c r="K342" i="24"/>
  <c r="G343" i="24"/>
  <c r="J342" i="24"/>
  <c r="L343" i="24" l="1"/>
  <c r="I344" i="24"/>
  <c r="G344" i="24"/>
  <c r="J343" i="24"/>
  <c r="K343" i="24"/>
  <c r="H344" i="24"/>
  <c r="L344" i="24" l="1"/>
  <c r="I345" i="24"/>
  <c r="K344" i="24"/>
  <c r="H345" i="24"/>
  <c r="J344" i="24"/>
  <c r="G345" i="24"/>
  <c r="I346" i="24" l="1"/>
  <c r="L345" i="24"/>
  <c r="J345" i="24"/>
  <c r="G346" i="24"/>
  <c r="H346" i="24"/>
  <c r="K345" i="24"/>
  <c r="I347" i="24" l="1"/>
  <c r="L346" i="24"/>
  <c r="K346" i="24"/>
  <c r="H347" i="24"/>
  <c r="J346" i="24"/>
  <c r="G347" i="24"/>
  <c r="L347" i="24" l="1"/>
  <c r="I348" i="24"/>
  <c r="G348" i="24"/>
  <c r="J347" i="24"/>
  <c r="H348" i="24"/>
  <c r="K347" i="24"/>
  <c r="L348" i="24" l="1"/>
  <c r="I349" i="24"/>
  <c r="H349" i="24"/>
  <c r="K348" i="24"/>
  <c r="G349" i="24"/>
  <c r="J348" i="24"/>
  <c r="I350" i="24" l="1"/>
  <c r="L349" i="24"/>
  <c r="G350" i="24"/>
  <c r="J349" i="24"/>
  <c r="H350" i="24"/>
  <c r="K349" i="24"/>
  <c r="I351" i="24" l="1"/>
  <c r="L350" i="24"/>
  <c r="H351" i="24"/>
  <c r="K350" i="24"/>
  <c r="G351" i="24"/>
  <c r="J350" i="24"/>
  <c r="L351" i="24" l="1"/>
  <c r="I352" i="24"/>
  <c r="J351" i="24"/>
  <c r="G352" i="24"/>
  <c r="K351" i="24"/>
  <c r="H352" i="24"/>
  <c r="I353" i="24" l="1"/>
  <c r="L352" i="24"/>
  <c r="K352" i="24"/>
  <c r="H353" i="24"/>
  <c r="G353" i="24"/>
  <c r="J352" i="24"/>
  <c r="L353" i="24" l="1"/>
  <c r="I354" i="24"/>
  <c r="G354" i="24"/>
  <c r="J353" i="24"/>
  <c r="H354" i="24"/>
  <c r="K353" i="24"/>
  <c r="I355" i="24" l="1"/>
  <c r="L354" i="24"/>
  <c r="H355" i="24"/>
  <c r="K354" i="24"/>
  <c r="J354" i="24"/>
  <c r="G355" i="24"/>
  <c r="I356" i="24" l="1"/>
  <c r="L355" i="24"/>
  <c r="J355" i="24"/>
  <c r="G356" i="24"/>
  <c r="H356" i="24"/>
  <c r="K355" i="24"/>
  <c r="I357" i="24" l="1"/>
  <c r="L356" i="24"/>
  <c r="H357" i="24"/>
  <c r="K356" i="24"/>
  <c r="G357" i="24"/>
  <c r="J356" i="24"/>
  <c r="L357" i="24" l="1"/>
  <c r="I358" i="24"/>
  <c r="J357" i="24"/>
  <c r="G358" i="24"/>
  <c r="K357" i="24"/>
  <c r="H358" i="24"/>
  <c r="I359" i="24" l="1"/>
  <c r="L358" i="24"/>
  <c r="H359" i="24"/>
  <c r="K358" i="24"/>
  <c r="G359" i="24"/>
  <c r="J358" i="24"/>
  <c r="L359" i="24" l="1"/>
  <c r="I360" i="24"/>
  <c r="J359" i="24"/>
  <c r="G360" i="24"/>
  <c r="K359" i="24"/>
  <c r="H360" i="24"/>
  <c r="I361" i="24" l="1"/>
  <c r="L360" i="24"/>
  <c r="H361" i="24"/>
  <c r="K360" i="24"/>
  <c r="J360" i="24"/>
  <c r="G361" i="24"/>
  <c r="I362" i="24" l="1"/>
  <c r="L361" i="24"/>
  <c r="K361" i="24"/>
  <c r="H362" i="24"/>
  <c r="J361" i="24"/>
  <c r="G362" i="24"/>
  <c r="I363" i="24" l="1"/>
  <c r="L362" i="24"/>
  <c r="J362" i="24"/>
  <c r="G363" i="24"/>
  <c r="H363" i="24"/>
  <c r="K362" i="24"/>
  <c r="L363" i="24" l="1"/>
  <c r="I364" i="24"/>
  <c r="K363" i="24"/>
  <c r="H364" i="24"/>
  <c r="G364" i="24"/>
  <c r="J363" i="24"/>
  <c r="L364" i="24" l="1"/>
  <c r="I365" i="24"/>
  <c r="G365" i="24"/>
  <c r="J364" i="24"/>
  <c r="H365" i="24"/>
  <c r="K364" i="24"/>
  <c r="L365" i="24" l="1"/>
  <c r="I366" i="24"/>
  <c r="K365" i="24"/>
  <c r="H366" i="24"/>
  <c r="G366" i="24"/>
  <c r="J365" i="24"/>
  <c r="L366" i="24" l="1"/>
  <c r="I367" i="24"/>
  <c r="J366" i="24"/>
  <c r="G367" i="24"/>
  <c r="H367" i="24"/>
  <c r="K366" i="24"/>
  <c r="L367" i="24" l="1"/>
  <c r="I368" i="24"/>
  <c r="K367" i="24"/>
  <c r="H368" i="24"/>
  <c r="G368" i="24"/>
  <c r="J367" i="24"/>
  <c r="I369" i="24" l="1"/>
  <c r="L368" i="24"/>
  <c r="G369" i="24"/>
  <c r="J368" i="24"/>
  <c r="H369" i="24"/>
  <c r="K368" i="24"/>
  <c r="L369" i="24" l="1"/>
  <c r="I370" i="24"/>
  <c r="K369" i="24"/>
  <c r="H370" i="24"/>
  <c r="G370" i="24"/>
  <c r="J369" i="24"/>
  <c r="I371" i="24" l="1"/>
  <c r="L370" i="24"/>
  <c r="G371" i="24"/>
  <c r="J370" i="24"/>
  <c r="H371" i="24"/>
  <c r="K370" i="24"/>
  <c r="I372" i="24" l="1"/>
  <c r="L371" i="24"/>
  <c r="J371" i="24"/>
  <c r="G372" i="24"/>
  <c r="K371" i="24"/>
  <c r="H372" i="24"/>
  <c r="I373" i="24" l="1"/>
  <c r="L372" i="24"/>
  <c r="K372" i="24"/>
  <c r="H373" i="24"/>
  <c r="J372" i="24"/>
  <c r="G373" i="24"/>
  <c r="I374" i="24" l="1"/>
  <c r="L373" i="24"/>
  <c r="J373" i="24"/>
  <c r="G374" i="24"/>
  <c r="H374" i="24"/>
  <c r="K373" i="24"/>
  <c r="I375" i="24" l="1"/>
  <c r="L374" i="24"/>
  <c r="K374" i="24"/>
  <c r="H375" i="24"/>
  <c r="G375" i="24"/>
  <c r="J374" i="24"/>
  <c r="I376" i="24" l="1"/>
  <c r="L375" i="24"/>
  <c r="H376" i="24"/>
  <c r="K375" i="24"/>
  <c r="G376" i="24"/>
  <c r="J375" i="24"/>
  <c r="I377" i="24" l="1"/>
  <c r="L376" i="24"/>
  <c r="G377" i="24"/>
  <c r="J376" i="24"/>
  <c r="H377" i="24"/>
  <c r="K376" i="24"/>
  <c r="L377" i="24" l="1"/>
  <c r="I378" i="24"/>
  <c r="K377" i="24"/>
  <c r="H378" i="24"/>
  <c r="G378" i="24"/>
  <c r="J377" i="24"/>
  <c r="L378" i="24" l="1"/>
  <c r="I379" i="24"/>
  <c r="J378" i="24"/>
  <c r="G379" i="24"/>
  <c r="H379" i="24"/>
  <c r="K378" i="24"/>
  <c r="L379" i="24" l="1"/>
  <c r="I380" i="24"/>
  <c r="K379" i="24"/>
  <c r="H380" i="24"/>
  <c r="G380" i="24"/>
  <c r="J379" i="24"/>
  <c r="L380" i="24" l="1"/>
  <c r="I381" i="24"/>
  <c r="G381" i="24"/>
  <c r="J380" i="24"/>
  <c r="K380" i="24"/>
  <c r="H381" i="24"/>
  <c r="I382" i="24" l="1"/>
  <c r="L381" i="24"/>
  <c r="H382" i="24"/>
  <c r="K381" i="24"/>
  <c r="J381" i="24"/>
  <c r="G382" i="24"/>
  <c r="I383" i="24" l="1"/>
  <c r="L382" i="24"/>
  <c r="K382" i="24"/>
  <c r="H383" i="24"/>
  <c r="J382" i="24"/>
  <c r="G383" i="24"/>
  <c r="L383" i="24" l="1"/>
  <c r="I384" i="24"/>
  <c r="H384" i="24"/>
  <c r="K383" i="24"/>
  <c r="J383" i="24"/>
  <c r="G384" i="24"/>
  <c r="I385" i="24" l="1"/>
  <c r="L384" i="24"/>
  <c r="G385" i="24"/>
  <c r="J384" i="24"/>
  <c r="H385" i="24"/>
  <c r="K384" i="24"/>
  <c r="I386" i="24" l="1"/>
  <c r="L385" i="24"/>
  <c r="H386" i="24"/>
  <c r="K385" i="24"/>
  <c r="G386" i="24"/>
  <c r="J385" i="24"/>
  <c r="I387" i="24" l="1"/>
  <c r="L386" i="24"/>
  <c r="G387" i="24"/>
  <c r="J386" i="24"/>
  <c r="H387" i="24"/>
  <c r="K386" i="24"/>
  <c r="L387" i="24" l="1"/>
  <c r="I388" i="24"/>
  <c r="K387" i="24"/>
  <c r="H388" i="24"/>
  <c r="J387" i="24"/>
  <c r="G388" i="24"/>
  <c r="L388" i="24" l="1"/>
  <c r="I389" i="24"/>
  <c r="H389" i="24"/>
  <c r="K388" i="24"/>
  <c r="G389" i="24"/>
  <c r="J388" i="24"/>
  <c r="L389" i="24" l="1"/>
  <c r="I390" i="24"/>
  <c r="G390" i="24"/>
  <c r="J389" i="24"/>
  <c r="K389" i="24"/>
  <c r="H390" i="24"/>
  <c r="I391" i="24" l="1"/>
  <c r="L390" i="24"/>
  <c r="J390" i="24"/>
  <c r="G391" i="24"/>
  <c r="H391" i="24"/>
  <c r="K390" i="24"/>
  <c r="L391" i="24" l="1"/>
  <c r="I392" i="24"/>
  <c r="J391" i="24"/>
  <c r="G392" i="24"/>
  <c r="H392" i="24"/>
  <c r="K391" i="24"/>
  <c r="I393" i="24" l="1"/>
  <c r="L392" i="24"/>
  <c r="K392" i="24"/>
  <c r="H393" i="24"/>
  <c r="J392" i="24"/>
  <c r="G393" i="24"/>
  <c r="L393" i="24" l="1"/>
  <c r="I394" i="24"/>
  <c r="J393" i="24"/>
  <c r="G394" i="24"/>
  <c r="H394" i="24"/>
  <c r="K393" i="24"/>
  <c r="I395" i="24" l="1"/>
  <c r="L394" i="24"/>
  <c r="J394" i="24"/>
  <c r="G395" i="24"/>
  <c r="K394" i="24"/>
  <c r="H395" i="24"/>
  <c r="L395" i="24" l="1"/>
  <c r="I396" i="24"/>
  <c r="H396" i="24"/>
  <c r="K395" i="24"/>
  <c r="G396" i="24"/>
  <c r="J395" i="24"/>
  <c r="L396" i="24" l="1"/>
  <c r="I397" i="24"/>
  <c r="G397" i="24"/>
  <c r="J396" i="24"/>
  <c r="H397" i="24"/>
  <c r="K396" i="24"/>
  <c r="L397" i="24" l="1"/>
  <c r="I398" i="24"/>
  <c r="K397" i="24"/>
  <c r="H398" i="24"/>
  <c r="J397" i="24"/>
  <c r="G398" i="24"/>
  <c r="I399" i="24" l="1"/>
  <c r="L398" i="24"/>
  <c r="H399" i="24"/>
  <c r="K398" i="24"/>
  <c r="G399" i="24"/>
  <c r="J398" i="24"/>
  <c r="I400" i="24" l="1"/>
  <c r="L399" i="24"/>
  <c r="J399" i="24"/>
  <c r="G400" i="24"/>
  <c r="K399" i="24"/>
  <c r="H400" i="24"/>
  <c r="L400" i="24" l="1"/>
  <c r="I401" i="24"/>
  <c r="G401" i="24"/>
  <c r="J400" i="24"/>
  <c r="H401" i="24"/>
  <c r="K400" i="24"/>
  <c r="I402" i="24" l="1"/>
  <c r="L401" i="24"/>
  <c r="K401" i="24"/>
  <c r="H402" i="24"/>
  <c r="G402" i="24"/>
  <c r="J401" i="24"/>
  <c r="L402" i="24" l="1"/>
  <c r="I403" i="24"/>
  <c r="J402" i="24"/>
  <c r="G403" i="24"/>
  <c r="H403" i="24"/>
  <c r="K402" i="24"/>
  <c r="I404" i="24" l="1"/>
  <c r="L403" i="24"/>
  <c r="J403" i="24"/>
  <c r="G404" i="24"/>
  <c r="H404" i="24"/>
  <c r="K403" i="24"/>
  <c r="I405" i="24" l="1"/>
  <c r="L404" i="24"/>
  <c r="G405" i="24"/>
  <c r="J404" i="24"/>
  <c r="K404" i="24"/>
  <c r="H405" i="24"/>
  <c r="L405" i="24" l="1"/>
  <c r="I406" i="24"/>
  <c r="H406" i="24"/>
  <c r="K405" i="24"/>
  <c r="J405" i="24"/>
  <c r="G406" i="24"/>
  <c r="L406" i="24" l="1"/>
  <c r="I407" i="24"/>
  <c r="J406" i="24"/>
  <c r="G407" i="24"/>
  <c r="H407" i="24"/>
  <c r="K406" i="24"/>
  <c r="L407" i="24" l="1"/>
  <c r="I408" i="24"/>
  <c r="K407" i="24"/>
  <c r="H408" i="24"/>
  <c r="G408" i="24"/>
  <c r="J407" i="24"/>
  <c r="I409" i="24" l="1"/>
  <c r="L408" i="24"/>
  <c r="J408" i="24"/>
  <c r="G409" i="24"/>
  <c r="H409" i="24"/>
  <c r="K408" i="24"/>
  <c r="I410" i="24" l="1"/>
  <c r="L409" i="24"/>
  <c r="G410" i="24"/>
  <c r="J409" i="24"/>
  <c r="K409" i="24"/>
  <c r="H410" i="24"/>
  <c r="I411" i="24" l="1"/>
  <c r="L410" i="24"/>
  <c r="K410" i="24"/>
  <c r="H411" i="24"/>
  <c r="G411" i="24"/>
  <c r="J410" i="24"/>
  <c r="L411" i="24" l="1"/>
  <c r="I412" i="24"/>
  <c r="J411" i="24"/>
  <c r="G412" i="24"/>
  <c r="H412" i="24"/>
  <c r="K411" i="24"/>
  <c r="L412" i="24" l="1"/>
  <c r="I413" i="24"/>
  <c r="J412" i="24"/>
  <c r="G413" i="24"/>
  <c r="K412" i="24"/>
  <c r="H413" i="24"/>
  <c r="I414" i="24" l="1"/>
  <c r="L413" i="24"/>
  <c r="H414" i="24"/>
  <c r="K413" i="24"/>
  <c r="G414" i="24"/>
  <c r="J413" i="24"/>
  <c r="I415" i="24" l="1"/>
  <c r="L414" i="24"/>
  <c r="H415" i="24"/>
  <c r="K414" i="24"/>
  <c r="J414" i="24"/>
  <c r="G415" i="24"/>
  <c r="L415" i="24" l="1"/>
  <c r="I416" i="24"/>
  <c r="J415" i="24"/>
  <c r="G416" i="24"/>
  <c r="K415" i="24"/>
  <c r="H416" i="24"/>
  <c r="I417" i="24" l="1"/>
  <c r="L416" i="24"/>
  <c r="G417" i="24"/>
  <c r="J416" i="24"/>
  <c r="H417" i="24"/>
  <c r="K416" i="24"/>
  <c r="L417" i="24" l="1"/>
  <c r="I418" i="24"/>
  <c r="K417" i="24"/>
  <c r="H418" i="24"/>
  <c r="J417" i="24"/>
  <c r="G418" i="24"/>
  <c r="L418" i="24" l="1"/>
  <c r="I419" i="24"/>
  <c r="K418" i="24"/>
  <c r="H419" i="24"/>
  <c r="G419" i="24"/>
  <c r="J418" i="24"/>
  <c r="I420" i="24" l="1"/>
  <c r="L419" i="24"/>
  <c r="J419" i="24"/>
  <c r="G420" i="24"/>
  <c r="H420" i="24"/>
  <c r="K419" i="24"/>
  <c r="I421" i="24" l="1"/>
  <c r="L420" i="24"/>
  <c r="H421" i="24"/>
  <c r="K420" i="24"/>
  <c r="G421" i="24"/>
  <c r="J420" i="24"/>
  <c r="L421" i="24" l="1"/>
  <c r="I422" i="24"/>
  <c r="J421" i="24"/>
  <c r="G422" i="24"/>
  <c r="K421" i="24"/>
  <c r="H422" i="24"/>
  <c r="I423" i="24" l="1"/>
  <c r="L422" i="24"/>
  <c r="H423" i="24"/>
  <c r="K422" i="24"/>
  <c r="G423" i="24"/>
  <c r="J422" i="24"/>
  <c r="L423" i="24" l="1"/>
  <c r="I424" i="24"/>
  <c r="J423" i="24"/>
  <c r="G424" i="24"/>
  <c r="K423" i="24"/>
  <c r="H424" i="24"/>
  <c r="I425" i="24" l="1"/>
  <c r="L424" i="24"/>
  <c r="K424" i="24"/>
  <c r="H425" i="24"/>
  <c r="J424" i="24"/>
  <c r="G425" i="24"/>
  <c r="I426" i="24" l="1"/>
  <c r="L425" i="24"/>
  <c r="K425" i="24"/>
  <c r="H426" i="24"/>
  <c r="J425" i="24"/>
  <c r="G426" i="24"/>
  <c r="I427" i="24" l="1"/>
  <c r="L426" i="24"/>
  <c r="G427" i="24"/>
  <c r="J426" i="24"/>
  <c r="H427" i="24"/>
  <c r="K426" i="24"/>
  <c r="I428" i="24" l="1"/>
  <c r="L427" i="24"/>
  <c r="K427" i="24"/>
  <c r="H428" i="24"/>
  <c r="G428" i="24"/>
  <c r="J427" i="24"/>
  <c r="L428" i="24" l="1"/>
  <c r="I429" i="24"/>
  <c r="J428" i="24"/>
  <c r="G429" i="24"/>
  <c r="K428" i="24"/>
  <c r="H429" i="24"/>
  <c r="L429" i="24" l="1"/>
  <c r="I430" i="24"/>
  <c r="G430" i="24"/>
  <c r="J429" i="24"/>
  <c r="K429" i="24"/>
  <c r="H430" i="24"/>
  <c r="L430" i="24" l="1"/>
  <c r="I431" i="24"/>
  <c r="J430" i="24"/>
  <c r="G431" i="24"/>
  <c r="K430" i="24"/>
  <c r="H431" i="24"/>
  <c r="I432" i="24" l="1"/>
  <c r="L431" i="24"/>
  <c r="J431" i="24"/>
  <c r="G432" i="24"/>
  <c r="H432" i="24"/>
  <c r="K431" i="24"/>
  <c r="L432" i="24" l="1"/>
  <c r="I433" i="24"/>
  <c r="K432" i="24"/>
  <c r="H433" i="24"/>
  <c r="J432" i="24"/>
  <c r="G433" i="24"/>
  <c r="I434" i="24" l="1"/>
  <c r="L433" i="24"/>
  <c r="H434" i="24"/>
  <c r="K433" i="24"/>
  <c r="J433" i="24"/>
  <c r="G434" i="24"/>
  <c r="I435" i="24" l="1"/>
  <c r="L434" i="24"/>
  <c r="G435" i="24"/>
  <c r="J434" i="24"/>
  <c r="H435" i="24"/>
  <c r="K434" i="24"/>
  <c r="L435" i="24" l="1"/>
  <c r="I436" i="24"/>
  <c r="K435" i="24"/>
  <c r="H436" i="24"/>
  <c r="J435" i="24"/>
  <c r="G436" i="24"/>
  <c r="L436" i="24" l="1"/>
  <c r="I437" i="24"/>
  <c r="G437" i="24"/>
  <c r="J436" i="24"/>
  <c r="H437" i="24"/>
  <c r="K436" i="24"/>
  <c r="L437" i="24" l="1"/>
  <c r="I438" i="24"/>
  <c r="J437" i="24"/>
  <c r="G438" i="24"/>
  <c r="H438" i="24"/>
  <c r="K437" i="24"/>
  <c r="L438" i="24" l="1"/>
  <c r="I439" i="24"/>
  <c r="K438" i="24"/>
  <c r="H439" i="24"/>
  <c r="G439" i="24"/>
  <c r="J438" i="24"/>
  <c r="I440" i="24" l="1"/>
  <c r="L439" i="24"/>
  <c r="J439" i="24"/>
  <c r="G440" i="24"/>
  <c r="K439" i="24"/>
  <c r="H440" i="24"/>
  <c r="L440" i="24" l="1"/>
  <c r="I441" i="24"/>
  <c r="J440" i="24"/>
  <c r="G441" i="24"/>
  <c r="H441" i="24"/>
  <c r="K440" i="24"/>
  <c r="I442" i="24" l="1"/>
  <c r="L441" i="24"/>
  <c r="K441" i="24"/>
  <c r="H442" i="24"/>
  <c r="G442" i="24"/>
  <c r="J441" i="24"/>
  <c r="L442" i="24" l="1"/>
  <c r="I443" i="24"/>
  <c r="H443" i="24"/>
  <c r="K442" i="24"/>
  <c r="G443" i="24"/>
  <c r="J442" i="24"/>
  <c r="I444" i="24" l="1"/>
  <c r="L443" i="24"/>
  <c r="G444" i="24"/>
  <c r="J443" i="24"/>
  <c r="H444" i="24"/>
  <c r="K443" i="24"/>
  <c r="L444" i="24" l="1"/>
  <c r="I445" i="24"/>
  <c r="J444" i="24"/>
  <c r="G445" i="24"/>
  <c r="K444" i="24"/>
  <c r="H445" i="24"/>
  <c r="L445" i="24" l="1"/>
  <c r="I446" i="24"/>
  <c r="H446" i="24"/>
  <c r="K445" i="24"/>
  <c r="J445" i="24"/>
  <c r="G446" i="24"/>
  <c r="I447" i="24" l="1"/>
  <c r="L446" i="24"/>
  <c r="G447" i="24"/>
  <c r="J446" i="24"/>
  <c r="H447" i="24"/>
  <c r="K446" i="24"/>
  <c r="I448" i="24" l="1"/>
  <c r="L447" i="24"/>
  <c r="K447" i="24"/>
  <c r="H448" i="24"/>
  <c r="J447" i="24"/>
  <c r="G448" i="24"/>
  <c r="L448" i="24" l="1"/>
  <c r="I449" i="24"/>
  <c r="G449" i="24"/>
  <c r="J448" i="24"/>
  <c r="H449" i="24"/>
  <c r="K448" i="24"/>
  <c r="L449" i="24" l="1"/>
  <c r="I450" i="24"/>
  <c r="K449" i="24"/>
  <c r="H450" i="24"/>
  <c r="G450" i="24"/>
  <c r="J449" i="24"/>
  <c r="I451" i="24" l="1"/>
  <c r="L450" i="24"/>
  <c r="J450" i="24"/>
  <c r="G451" i="24"/>
  <c r="K450" i="24"/>
  <c r="H451" i="24"/>
  <c r="I452" i="24" l="1"/>
  <c r="L451" i="24"/>
  <c r="G452" i="24"/>
  <c r="J451" i="24"/>
  <c r="H452" i="24"/>
  <c r="K451" i="24"/>
  <c r="I453" i="24" l="1"/>
  <c r="L452" i="24"/>
  <c r="K452" i="24"/>
  <c r="H453" i="24"/>
  <c r="G453" i="24"/>
  <c r="J452" i="24"/>
  <c r="I454" i="24" l="1"/>
  <c r="L453" i="24"/>
  <c r="G454" i="24"/>
  <c r="J453" i="24"/>
  <c r="K453" i="24"/>
  <c r="H454" i="24"/>
  <c r="L454" i="24" l="1"/>
  <c r="I455" i="24"/>
  <c r="J454" i="24"/>
  <c r="G455" i="24"/>
  <c r="H455" i="24"/>
  <c r="K454" i="24"/>
  <c r="L455" i="24" l="1"/>
  <c r="I456" i="24"/>
  <c r="J455" i="24"/>
  <c r="G456" i="24"/>
  <c r="K455" i="24"/>
  <c r="H456" i="24"/>
  <c r="L456" i="24" l="1"/>
  <c r="I457" i="24"/>
  <c r="J456" i="24"/>
  <c r="G457" i="24"/>
  <c r="H457" i="24"/>
  <c r="K456" i="24"/>
  <c r="L457" i="24" l="1"/>
  <c r="I458" i="24"/>
  <c r="J457" i="24"/>
  <c r="G458" i="24"/>
  <c r="K457" i="24"/>
  <c r="H458" i="24"/>
  <c r="L458" i="24" l="1"/>
  <c r="I459" i="24"/>
  <c r="J458" i="24"/>
  <c r="G459" i="24"/>
  <c r="K458" i="24"/>
  <c r="H459" i="24"/>
  <c r="I460" i="24" l="1"/>
  <c r="L459" i="24"/>
  <c r="H460" i="24"/>
  <c r="K459" i="24"/>
  <c r="J459" i="24"/>
  <c r="G460" i="24"/>
  <c r="I461" i="24" l="1"/>
  <c r="L460" i="24"/>
  <c r="K460" i="24"/>
  <c r="H461" i="24"/>
  <c r="J460" i="24"/>
  <c r="G461" i="24"/>
  <c r="L461" i="24" l="1"/>
  <c r="I462" i="24"/>
  <c r="H462" i="24"/>
  <c r="K461" i="24"/>
  <c r="G462" i="24"/>
  <c r="J461" i="24"/>
  <c r="L462" i="24" l="1"/>
  <c r="I463" i="24"/>
  <c r="K462" i="24"/>
  <c r="H463" i="24"/>
  <c r="G463" i="24"/>
  <c r="J462" i="24"/>
  <c r="L463" i="24" l="1"/>
  <c r="I464" i="24"/>
  <c r="J463" i="24"/>
  <c r="G464" i="24"/>
  <c r="H464" i="24"/>
  <c r="K463" i="24"/>
  <c r="L464" i="24" l="1"/>
  <c r="I465" i="24"/>
  <c r="H465" i="24"/>
  <c r="K464" i="24"/>
  <c r="J464" i="24"/>
  <c r="G465" i="24"/>
  <c r="L465" i="24" l="1"/>
  <c r="I466" i="24"/>
  <c r="G466" i="24"/>
  <c r="J465" i="24"/>
  <c r="H466" i="24"/>
  <c r="K465" i="24"/>
  <c r="L466" i="24" l="1"/>
  <c r="I467" i="24"/>
  <c r="J466" i="24"/>
  <c r="G467" i="24"/>
  <c r="K466" i="24"/>
  <c r="H467" i="24"/>
  <c r="L467" i="24" l="1"/>
  <c r="I468" i="24"/>
  <c r="G468" i="24"/>
  <c r="J467" i="24"/>
  <c r="H468" i="24"/>
  <c r="K467" i="24"/>
  <c r="I469" i="24" l="1"/>
  <c r="L468" i="24"/>
  <c r="K468" i="24"/>
  <c r="H469" i="24"/>
  <c r="J468" i="24"/>
  <c r="G469" i="24"/>
  <c r="L469" i="24" l="1"/>
  <c r="I470" i="24"/>
  <c r="G470" i="24"/>
  <c r="J469" i="24"/>
  <c r="K469" i="24"/>
  <c r="H470" i="24"/>
  <c r="L470" i="24" l="1"/>
  <c r="I471" i="24"/>
  <c r="J470" i="24"/>
  <c r="G471" i="24"/>
  <c r="K470" i="24"/>
  <c r="H471" i="24"/>
  <c r="L471" i="24" l="1"/>
  <c r="I472" i="24"/>
  <c r="J471" i="24"/>
  <c r="G472" i="24"/>
  <c r="H472" i="24"/>
  <c r="K471" i="24"/>
  <c r="I473" i="24" l="1"/>
  <c r="L472" i="24"/>
  <c r="J472" i="24"/>
  <c r="G473" i="24"/>
  <c r="K472" i="24"/>
  <c r="H473" i="24"/>
  <c r="L473" i="24" l="1"/>
  <c r="I474" i="24"/>
  <c r="H474" i="24"/>
  <c r="K473" i="24"/>
  <c r="G474" i="24"/>
  <c r="J473" i="24"/>
  <c r="I475" i="24" l="1"/>
  <c r="L474" i="24"/>
  <c r="J474" i="24"/>
  <c r="G475" i="24"/>
  <c r="K474" i="24"/>
  <c r="H475" i="24"/>
  <c r="L475" i="24" l="1"/>
  <c r="I476" i="24"/>
  <c r="H476" i="24"/>
  <c r="K475" i="24"/>
  <c r="G476" i="24"/>
  <c r="J475" i="24"/>
  <c r="L476" i="24" l="1"/>
  <c r="I477" i="24"/>
  <c r="K476" i="24"/>
  <c r="H477" i="24"/>
  <c r="J476" i="24"/>
  <c r="G477" i="24"/>
  <c r="I478" i="24" l="1"/>
  <c r="L477" i="24"/>
  <c r="G478" i="24"/>
  <c r="J477" i="24"/>
  <c r="K477" i="24"/>
  <c r="H478" i="24"/>
  <c r="L478" i="24" l="1"/>
  <c r="I479" i="24"/>
  <c r="J478" i="24"/>
  <c r="G479" i="24"/>
  <c r="H479" i="24"/>
  <c r="K478" i="24"/>
  <c r="L479" i="24" l="1"/>
  <c r="I480" i="24"/>
  <c r="K479" i="24"/>
  <c r="H480" i="24"/>
  <c r="J479" i="24"/>
  <c r="G480" i="24"/>
  <c r="I481" i="24" l="1"/>
  <c r="L480" i="24"/>
  <c r="G481" i="24"/>
  <c r="J480" i="24"/>
  <c r="H481" i="24"/>
  <c r="K480" i="24"/>
  <c r="L481" i="24" l="1"/>
  <c r="I482" i="24"/>
  <c r="K481" i="24"/>
  <c r="H482" i="24"/>
  <c r="J481" i="24"/>
  <c r="G482" i="24"/>
  <c r="L482" i="24" l="1"/>
  <c r="I483" i="24"/>
  <c r="J482" i="24"/>
  <c r="G483" i="24"/>
  <c r="H483" i="24"/>
  <c r="K482" i="24"/>
  <c r="L483" i="24" l="1"/>
  <c r="I484" i="24"/>
  <c r="K483" i="24"/>
  <c r="H484" i="24"/>
  <c r="G484" i="24"/>
  <c r="J483" i="24"/>
  <c r="L484" i="24" l="1"/>
  <c r="I485" i="24"/>
  <c r="J484" i="24"/>
  <c r="G485" i="24"/>
  <c r="K484" i="24"/>
  <c r="H485" i="24"/>
  <c r="L485" i="24" l="1"/>
  <c r="I486" i="24"/>
  <c r="H486" i="24"/>
  <c r="K485" i="24"/>
  <c r="J485" i="24"/>
  <c r="G486" i="24"/>
  <c r="I487" i="24" l="1"/>
  <c r="L486" i="24"/>
  <c r="G487" i="24"/>
  <c r="J486" i="24"/>
  <c r="K486" i="24"/>
  <c r="H487" i="24"/>
  <c r="I488" i="24" l="1"/>
  <c r="L487" i="24"/>
  <c r="H488" i="24"/>
  <c r="K487" i="24"/>
  <c r="J487" i="24"/>
  <c r="G488" i="24"/>
  <c r="L488" i="24" l="1"/>
  <c r="I489" i="24"/>
  <c r="J488" i="24"/>
  <c r="G489" i="24"/>
  <c r="H489" i="24"/>
  <c r="K488" i="24"/>
  <c r="I490" i="24" l="1"/>
  <c r="L489" i="24"/>
  <c r="G490" i="24"/>
  <c r="J489" i="24"/>
  <c r="K489" i="24"/>
  <c r="H490" i="24"/>
  <c r="L490" i="24" l="1"/>
  <c r="I491" i="24"/>
  <c r="K490" i="24"/>
  <c r="H491" i="24"/>
  <c r="J490" i="24"/>
  <c r="G491" i="24"/>
  <c r="L491" i="24" l="1"/>
  <c r="I492" i="24"/>
  <c r="J491" i="24"/>
  <c r="G492" i="24"/>
  <c r="H492" i="24"/>
  <c r="K491" i="24"/>
  <c r="I493" i="24" l="1"/>
  <c r="L492" i="24"/>
  <c r="G493" i="24"/>
  <c r="J492" i="24"/>
  <c r="K492" i="24"/>
  <c r="H493" i="24"/>
  <c r="L493" i="24" l="1"/>
  <c r="I494" i="24"/>
  <c r="K493" i="24"/>
  <c r="H494" i="24"/>
  <c r="G494" i="24"/>
  <c r="J493" i="24"/>
  <c r="I495" i="24" l="1"/>
  <c r="L494" i="24"/>
  <c r="G495" i="24"/>
  <c r="J494" i="24"/>
  <c r="H495" i="24"/>
  <c r="K494" i="24"/>
  <c r="L495" i="24" l="1"/>
  <c r="I496" i="24"/>
  <c r="K495" i="24"/>
  <c r="H496" i="24"/>
  <c r="J495" i="24"/>
  <c r="G496" i="24"/>
  <c r="I497" i="24" l="1"/>
  <c r="L496" i="24"/>
  <c r="G497" i="24"/>
  <c r="J496" i="24"/>
  <c r="K496" i="24"/>
  <c r="H497" i="24"/>
  <c r="L497" i="24" l="1"/>
  <c r="I498" i="24"/>
  <c r="K497" i="24"/>
  <c r="H498" i="24"/>
  <c r="G498" i="24"/>
  <c r="J497" i="24"/>
  <c r="I499" i="24" l="1"/>
  <c r="L498" i="24"/>
  <c r="K498" i="24"/>
  <c r="H499" i="24"/>
  <c r="J498" i="24"/>
  <c r="G499" i="24"/>
  <c r="L499" i="24" l="1"/>
  <c r="I500" i="24"/>
  <c r="J499" i="24"/>
  <c r="G500" i="24"/>
  <c r="K499" i="24"/>
  <c r="H500" i="24"/>
  <c r="I501" i="24" l="1"/>
  <c r="L500" i="24"/>
  <c r="H501" i="24"/>
  <c r="K500" i="24"/>
  <c r="G501" i="24"/>
  <c r="J500" i="24"/>
  <c r="I502" i="24" l="1"/>
  <c r="L501" i="24"/>
  <c r="K501" i="24"/>
  <c r="H502" i="24"/>
  <c r="G502" i="24"/>
  <c r="J501" i="24"/>
  <c r="I503" i="24" l="1"/>
  <c r="L502" i="24"/>
  <c r="G503" i="24"/>
  <c r="J502" i="24"/>
  <c r="K502" i="24"/>
  <c r="H503" i="24"/>
  <c r="L503" i="24" l="1"/>
  <c r="I504" i="24"/>
  <c r="H504" i="24"/>
  <c r="K503" i="24"/>
  <c r="G504" i="24"/>
  <c r="J503" i="24"/>
  <c r="I505" i="24" l="1"/>
  <c r="L504" i="24"/>
  <c r="J504" i="24"/>
  <c r="G505" i="24"/>
  <c r="K504" i="24"/>
  <c r="H505" i="24"/>
  <c r="L505" i="24" l="1"/>
  <c r="I506" i="24"/>
  <c r="K505" i="24"/>
  <c r="H506" i="24"/>
  <c r="G506" i="24"/>
  <c r="J505" i="24"/>
  <c r="L506" i="24" l="1"/>
  <c r="I507" i="24"/>
  <c r="J506" i="24"/>
  <c r="G507" i="24"/>
  <c r="K506" i="24"/>
  <c r="H507" i="24"/>
  <c r="I508" i="24" l="1"/>
  <c r="L507" i="24"/>
  <c r="G508" i="24"/>
  <c r="J507" i="24"/>
  <c r="K507" i="24"/>
  <c r="H508" i="24"/>
  <c r="I509" i="24" l="1"/>
  <c r="L508" i="24"/>
  <c r="K508" i="24"/>
  <c r="H509" i="24"/>
  <c r="J508" i="24"/>
  <c r="G509" i="24"/>
  <c r="I510" i="24" l="1"/>
  <c r="L509" i="24"/>
  <c r="G510" i="24"/>
  <c r="J509" i="24"/>
  <c r="H510" i="24"/>
  <c r="K509" i="24"/>
  <c r="I511" i="24" l="1"/>
  <c r="L510" i="24"/>
  <c r="K510" i="24"/>
  <c r="H511" i="24"/>
  <c r="G511" i="24"/>
  <c r="J510" i="24"/>
  <c r="I512" i="24" l="1"/>
  <c r="L511" i="24"/>
  <c r="J511" i="24"/>
  <c r="G512" i="24"/>
  <c r="K511" i="24"/>
  <c r="H512" i="24"/>
  <c r="L512" i="24" l="1"/>
  <c r="I513" i="24"/>
  <c r="H513" i="24"/>
  <c r="K512" i="24"/>
  <c r="G513" i="24"/>
  <c r="J512" i="24"/>
  <c r="L513" i="24" l="1"/>
  <c r="I514" i="24"/>
  <c r="J513" i="24"/>
  <c r="G514" i="24"/>
  <c r="K513" i="24"/>
  <c r="H514" i="24"/>
  <c r="L514" i="24" l="1"/>
  <c r="I515" i="24"/>
  <c r="H515" i="24"/>
  <c r="K514" i="24"/>
  <c r="G515" i="24"/>
  <c r="J514" i="24"/>
  <c r="I516" i="24" l="1"/>
  <c r="L515" i="24"/>
  <c r="J515" i="24"/>
  <c r="G516" i="24"/>
  <c r="H516" i="24"/>
  <c r="K515" i="24"/>
  <c r="I517" i="24" l="1"/>
  <c r="L516" i="24"/>
  <c r="K516" i="24"/>
  <c r="H517" i="24"/>
  <c r="G517" i="24"/>
  <c r="J516" i="24"/>
  <c r="I518" i="24" l="1"/>
  <c r="L517" i="24"/>
  <c r="K517" i="24"/>
  <c r="H518" i="24"/>
  <c r="J517" i="24"/>
  <c r="G518" i="24"/>
  <c r="I519" i="24" l="1"/>
  <c r="L518" i="24"/>
  <c r="J518" i="24"/>
  <c r="G519" i="24"/>
  <c r="H519" i="24"/>
  <c r="K518" i="24"/>
  <c r="I520" i="24" l="1"/>
  <c r="L519" i="24"/>
  <c r="K519" i="24"/>
  <c r="H520" i="24"/>
  <c r="J519" i="24"/>
  <c r="G520" i="24"/>
  <c r="L520" i="24" l="1"/>
  <c r="I521" i="24"/>
  <c r="J520" i="24"/>
  <c r="G521" i="24"/>
  <c r="H521" i="24"/>
  <c r="K520" i="24"/>
  <c r="L521" i="24" l="1"/>
  <c r="I522" i="24"/>
  <c r="J521" i="24"/>
  <c r="G522" i="24"/>
  <c r="K521" i="24"/>
  <c r="H522" i="24"/>
  <c r="I523" i="24" l="1"/>
  <c r="L522" i="24"/>
  <c r="H523" i="24"/>
  <c r="K522" i="24"/>
  <c r="G523" i="24"/>
  <c r="J522" i="24"/>
  <c r="L523" i="24" l="1"/>
  <c r="I524" i="24"/>
  <c r="G524" i="24"/>
  <c r="J523" i="24"/>
  <c r="K523" i="24"/>
  <c r="H524" i="24"/>
  <c r="L524" i="24" l="1"/>
  <c r="I525" i="24"/>
  <c r="H525" i="24"/>
  <c r="K524" i="24"/>
  <c r="J524" i="24"/>
  <c r="G525" i="24"/>
  <c r="I526" i="24" l="1"/>
  <c r="L525" i="24"/>
  <c r="G526" i="24"/>
  <c r="J525" i="24"/>
  <c r="K525" i="24"/>
  <c r="H526" i="24"/>
  <c r="L526" i="24" l="1"/>
  <c r="I527" i="24"/>
  <c r="H527" i="24"/>
  <c r="K526" i="24"/>
  <c r="G527" i="24"/>
  <c r="J526" i="24"/>
  <c r="L527" i="24" l="1"/>
  <c r="I528" i="24"/>
  <c r="G528" i="24"/>
  <c r="J527" i="24"/>
  <c r="K527" i="24"/>
  <c r="H528" i="24"/>
  <c r="I529" i="24" l="1"/>
  <c r="L528" i="24"/>
  <c r="H529" i="24"/>
  <c r="K528" i="24"/>
  <c r="J528" i="24"/>
  <c r="G529" i="24"/>
  <c r="I530" i="24" l="1"/>
  <c r="L529" i="24"/>
  <c r="G530" i="24"/>
  <c r="J529" i="24"/>
  <c r="K529" i="24"/>
  <c r="H530" i="24"/>
  <c r="I531" i="24" l="1"/>
  <c r="L530" i="24"/>
  <c r="K530" i="24"/>
  <c r="H531" i="24"/>
  <c r="J530" i="24"/>
  <c r="G531" i="24"/>
  <c r="I532" i="24" l="1"/>
  <c r="L531" i="24"/>
  <c r="G532" i="24"/>
  <c r="J531" i="24"/>
  <c r="H532" i="24"/>
  <c r="K531" i="24"/>
  <c r="L532" i="24" l="1"/>
  <c r="I533" i="24"/>
  <c r="K532" i="24"/>
  <c r="H533" i="24"/>
  <c r="G533" i="24"/>
  <c r="J532" i="24"/>
  <c r="L533" i="24" l="1"/>
  <c r="I534" i="24"/>
  <c r="J533" i="24"/>
  <c r="G534" i="24"/>
  <c r="H534" i="24"/>
  <c r="K533" i="24"/>
  <c r="I535" i="24" l="1"/>
  <c r="L534" i="24"/>
  <c r="H535" i="24"/>
  <c r="K534" i="24"/>
  <c r="G535" i="24"/>
  <c r="J534" i="24"/>
  <c r="I536" i="24" l="1"/>
  <c r="L535" i="24"/>
  <c r="J535" i="24"/>
  <c r="G536" i="24"/>
  <c r="H536" i="24"/>
  <c r="K535" i="24"/>
  <c r="I537" i="24" l="1"/>
  <c r="L536" i="24"/>
  <c r="K536" i="24"/>
  <c r="H537" i="24"/>
  <c r="G537" i="24"/>
  <c r="J536" i="24"/>
  <c r="L537" i="24" l="1"/>
  <c r="I538" i="24"/>
  <c r="J537" i="24"/>
  <c r="G538" i="24"/>
  <c r="K537" i="24"/>
  <c r="H538" i="24"/>
  <c r="L538" i="24" l="1"/>
  <c r="I539" i="24"/>
  <c r="H539" i="24"/>
  <c r="K538" i="24"/>
  <c r="G539" i="24"/>
  <c r="J538" i="24"/>
  <c r="L539" i="24" l="1"/>
  <c r="I540" i="24"/>
  <c r="G540" i="24"/>
  <c r="J539" i="24"/>
  <c r="H540" i="24"/>
  <c r="K539" i="24"/>
  <c r="L540" i="24" l="1"/>
  <c r="I541" i="24"/>
  <c r="H541" i="24"/>
  <c r="K540" i="24"/>
  <c r="J540" i="24"/>
  <c r="G541" i="24"/>
  <c r="I542" i="24" l="1"/>
  <c r="L541" i="24"/>
  <c r="G542" i="24"/>
  <c r="J541" i="24"/>
  <c r="K541" i="24"/>
  <c r="H542" i="24"/>
  <c r="L542" i="24" l="1"/>
  <c r="I543" i="24"/>
  <c r="H543" i="24"/>
  <c r="K542" i="24"/>
  <c r="G543" i="24"/>
  <c r="J542" i="24"/>
  <c r="L543" i="24" l="1"/>
  <c r="I544" i="24"/>
  <c r="H544" i="24"/>
  <c r="K543" i="24"/>
  <c r="J543" i="24"/>
  <c r="G544" i="24"/>
  <c r="L544" i="24" l="1"/>
  <c r="I545" i="24"/>
  <c r="G545" i="24"/>
  <c r="J544" i="24"/>
  <c r="K544" i="24"/>
  <c r="H545" i="24"/>
  <c r="L545" i="24" l="1"/>
  <c r="I546" i="24"/>
  <c r="H546" i="24"/>
  <c r="K545" i="24"/>
  <c r="J545" i="24"/>
  <c r="G546" i="24"/>
  <c r="L546" i="24" l="1"/>
  <c r="I547" i="24"/>
  <c r="K546" i="24"/>
  <c r="H547" i="24"/>
  <c r="J546" i="24"/>
  <c r="G547" i="24"/>
  <c r="I548" i="24" l="1"/>
  <c r="L547" i="24"/>
  <c r="G548" i="24"/>
  <c r="J547" i="24"/>
  <c r="K547" i="24"/>
  <c r="H548" i="24"/>
  <c r="L548" i="24" l="1"/>
  <c r="I549" i="24"/>
  <c r="J548" i="24"/>
  <c r="G549" i="24"/>
  <c r="H549" i="24"/>
  <c r="K548" i="24"/>
  <c r="L549" i="24" l="1"/>
  <c r="I550" i="24"/>
  <c r="K549" i="24"/>
  <c r="H550" i="24"/>
  <c r="J549" i="24"/>
  <c r="G550" i="24"/>
  <c r="L550" i="24" l="1"/>
  <c r="I551" i="24"/>
  <c r="G551" i="24"/>
  <c r="J550" i="24"/>
  <c r="K550" i="24"/>
  <c r="H551" i="24"/>
  <c r="I552" i="24" l="1"/>
  <c r="L551" i="24"/>
  <c r="J551" i="24"/>
  <c r="G552" i="24"/>
  <c r="H552" i="24"/>
  <c r="K551" i="24"/>
  <c r="I553" i="24" l="1"/>
  <c r="L552" i="24"/>
  <c r="K552" i="24"/>
  <c r="H553" i="24"/>
  <c r="J552" i="24"/>
  <c r="G553" i="24"/>
  <c r="I554" i="24" l="1"/>
  <c r="L553" i="24"/>
  <c r="G554" i="24"/>
  <c r="J553" i="24"/>
  <c r="H554" i="24"/>
  <c r="K553" i="24"/>
  <c r="L554" i="24" l="1"/>
  <c r="I555" i="24"/>
  <c r="H555" i="24"/>
  <c r="K554" i="24"/>
  <c r="J554" i="24"/>
  <c r="G555" i="24"/>
  <c r="L555" i="24" l="1"/>
  <c r="I556" i="24"/>
  <c r="G556" i="24"/>
  <c r="J555" i="24"/>
  <c r="H556" i="24"/>
  <c r="K555" i="24"/>
  <c r="L556" i="24" l="1"/>
  <c r="I557" i="24"/>
  <c r="K556" i="24"/>
  <c r="H557" i="24"/>
  <c r="J556" i="24"/>
  <c r="G557" i="24"/>
  <c r="L557" i="24" l="1"/>
  <c r="I558" i="24"/>
  <c r="G558" i="24"/>
  <c r="J557" i="24"/>
  <c r="H558" i="24"/>
  <c r="K557" i="24"/>
  <c r="L558" i="24" l="1"/>
  <c r="I559" i="24"/>
  <c r="G559" i="24"/>
  <c r="J558" i="24"/>
  <c r="H559" i="24"/>
  <c r="K558" i="24"/>
  <c r="L559" i="24" l="1"/>
  <c r="I560" i="24"/>
  <c r="H560" i="24"/>
  <c r="K559" i="24"/>
  <c r="J559" i="24"/>
  <c r="G560" i="24"/>
  <c r="I561" i="24" l="1"/>
  <c r="L560" i="24"/>
  <c r="K560" i="24"/>
  <c r="H561" i="24"/>
  <c r="G561" i="24"/>
  <c r="J560" i="24"/>
  <c r="L561" i="24" l="1"/>
  <c r="I562" i="24"/>
  <c r="G562" i="24"/>
  <c r="J561" i="24"/>
  <c r="H562" i="24"/>
  <c r="K561" i="24"/>
  <c r="I563" i="24" l="1"/>
  <c r="L562" i="24"/>
  <c r="K562" i="24"/>
  <c r="H563" i="24"/>
  <c r="J562" i="24"/>
  <c r="G563" i="24"/>
  <c r="L563" i="24" l="1"/>
  <c r="I564" i="24"/>
  <c r="J563" i="24"/>
  <c r="G564" i="24"/>
  <c r="H564" i="24"/>
  <c r="K563" i="24"/>
  <c r="I565" i="24" l="1"/>
  <c r="L564" i="24"/>
  <c r="K564" i="24"/>
  <c r="H565" i="24"/>
  <c r="J564" i="24"/>
  <c r="G565" i="24"/>
  <c r="L565" i="24" l="1"/>
  <c r="I566" i="24"/>
  <c r="G566" i="24"/>
  <c r="J565" i="24"/>
  <c r="K565" i="24"/>
  <c r="H566" i="24"/>
  <c r="L566" i="24" l="1"/>
  <c r="I567" i="24"/>
  <c r="G567" i="24"/>
  <c r="J566" i="24"/>
  <c r="H567" i="24"/>
  <c r="K566" i="24"/>
  <c r="L567" i="24" l="1"/>
  <c r="I568" i="24"/>
  <c r="H568" i="24"/>
  <c r="H569" i="24" s="1"/>
  <c r="K567" i="24"/>
  <c r="J567" i="24"/>
  <c r="G568" i="24"/>
  <c r="G569" i="24" s="1"/>
  <c r="J569" i="24" l="1"/>
  <c r="G570" i="24"/>
  <c r="K569" i="24"/>
  <c r="H570" i="24"/>
  <c r="L568" i="24"/>
  <c r="I569" i="24"/>
  <c r="K568" i="24"/>
  <c r="J568" i="24"/>
  <c r="K570" i="24" l="1"/>
  <c r="H571" i="24"/>
  <c r="K571" i="24" s="1"/>
  <c r="J570" i="24"/>
  <c r="G571" i="24"/>
  <c r="J571" i="24" s="1"/>
  <c r="L569" i="24"/>
  <c r="I570" i="24"/>
  <c r="L570" i="24" l="1"/>
  <c r="I571" i="24"/>
  <c r="L571"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010114</author>
  </authors>
  <commentList>
    <comment ref="S3" authorId="0" shapeId="0" xr:uid="{00000000-0006-0000-1400-000001000000}">
      <text>
        <r>
          <rPr>
            <b/>
            <sz val="9"/>
            <color indexed="81"/>
            <rFont val="MS P ゴシック"/>
            <family val="3"/>
            <charset val="128"/>
          </rPr>
          <t>R06.1月新集計に伴う基準値変更により、H28.6～遡及置換</t>
        </r>
      </text>
    </comment>
    <comment ref="W3" authorId="0" shapeId="0" xr:uid="{00000000-0006-0000-1400-000002000000}">
      <text>
        <r>
          <rPr>
            <b/>
            <sz val="9"/>
            <color indexed="81"/>
            <rFont val="MS P ゴシック"/>
            <family val="3"/>
            <charset val="128"/>
          </rPr>
          <t>R06.1月新集計に伴う基準値変更により、H28.6～遡及置換</t>
        </r>
      </text>
    </comment>
    <comment ref="W369" authorId="0" shapeId="0" xr:uid="{00000000-0006-0000-1400-000003000000}">
      <text>
        <r>
          <rPr>
            <b/>
            <sz val="9"/>
            <color indexed="81"/>
            <rFont val="MS P ゴシック"/>
            <family val="3"/>
            <charset val="128"/>
          </rPr>
          <t xml:space="preserve">010114:
</t>
        </r>
        <r>
          <rPr>
            <b/>
            <sz val="9"/>
            <color indexed="33"/>
            <rFont val="MS P ゴシック"/>
            <family val="3"/>
            <charset val="128"/>
          </rPr>
          <t>060412修正
旧)0.90</t>
        </r>
      </text>
    </comment>
    <comment ref="D378" authorId="0" shapeId="0" xr:uid="{00000000-0006-0000-1400-000004000000}">
      <text>
        <r>
          <rPr>
            <sz val="9"/>
            <color indexed="81"/>
            <rFont val="MS P ゴシック"/>
            <family val="3"/>
            <charset val="128"/>
          </rPr>
          <t>R6.11月貿易統計2023確定値
公表に伴い、2023年と過去の
未改訂値の遡及改訂を行い、
2010年から指数を再計算した</t>
        </r>
      </text>
    </comment>
    <comment ref="T378" authorId="0" shapeId="0" xr:uid="{00000000-0006-0000-1400-000005000000}">
      <text>
        <r>
          <rPr>
            <sz val="9"/>
            <color indexed="81"/>
            <rFont val="MS P ゴシック"/>
            <family val="3"/>
            <charset val="128"/>
          </rPr>
          <t>R6.11月貿易統計2023確定値
公表に伴い、2023年と過去の
未改訂値の遡及改訂を行い、
2010年から指数を再計算した</t>
        </r>
      </text>
    </comment>
    <comment ref="C390" authorId="0" shapeId="0" xr:uid="{00000000-0006-0000-1400-000006000000}">
      <text>
        <r>
          <rPr>
            <sz val="9"/>
            <color indexed="81"/>
            <rFont val="MS P ゴシック"/>
            <family val="3"/>
            <charset val="128"/>
          </rPr>
          <t>有効求人倍率等に遡及改定があった
ため、全データを置き換えた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010114</author>
  </authors>
  <commentList>
    <comment ref="R2" authorId="0" shapeId="0" xr:uid="{00000000-0006-0000-1500-000001000000}">
      <text>
        <r>
          <rPr>
            <b/>
            <sz val="9"/>
            <color indexed="81"/>
            <rFont val="MS P ゴシック"/>
            <family val="3"/>
            <charset val="128"/>
          </rPr>
          <t>R06.1月新集計に伴う基準値変更により、H28.6～遡及置換</t>
        </r>
      </text>
    </comment>
    <comment ref="U2" authorId="0" shapeId="0" xr:uid="{00000000-0006-0000-1500-000002000000}">
      <text>
        <r>
          <rPr>
            <b/>
            <sz val="9"/>
            <color indexed="81"/>
            <rFont val="MS P ゴシック"/>
            <family val="3"/>
            <charset val="128"/>
          </rPr>
          <t>R06.1月新集計に伴う基準値変更により、H28.6～遡及置換</t>
        </r>
        <r>
          <rPr>
            <sz val="9"/>
            <color indexed="81"/>
            <rFont val="MS P ゴシック"/>
            <family val="3"/>
            <charset val="128"/>
          </rPr>
          <t xml:space="preserve">
</t>
        </r>
      </text>
    </comment>
    <comment ref="S437" authorId="0" shapeId="0" xr:uid="{00000000-0006-0000-1500-000003000000}">
      <text>
        <r>
          <rPr>
            <sz val="9"/>
            <color indexed="81"/>
            <rFont val="MS P ゴシック"/>
            <family val="3"/>
            <charset val="128"/>
          </rPr>
          <t>R6.11月貿易統計2023確定値
公表に伴い、2023年と過去の
未改訂値の遡及改訂を行い、
2010年から指数を再計算した</t>
        </r>
      </text>
    </comment>
    <comment ref="L449" authorId="0" shapeId="0" xr:uid="{00000000-0006-0000-1500-000004000000}">
      <text>
        <r>
          <rPr>
            <b/>
            <sz val="9"/>
            <color indexed="81"/>
            <rFont val="MS P ゴシック"/>
            <family val="3"/>
            <charset val="128"/>
          </rPr>
          <t>R7.3
遡及改定があった
ため、全データを置き換えた</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GS19110257</author>
  </authors>
  <commentList>
    <comment ref="O480" authorId="0" shapeId="0" xr:uid="{00000000-0006-0000-1600-000001000000}">
      <text>
        <r>
          <rPr>
            <b/>
            <sz val="9"/>
            <color indexed="81"/>
            <rFont val="MS P ゴシック"/>
            <family val="3"/>
            <charset val="128"/>
          </rPr>
          <t>暫定の山
　2021.07.21設定</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GS19110257</author>
    <author>010114</author>
  </authors>
  <commentList>
    <comment ref="G311" authorId="0" shapeId="0" xr:uid="{00000000-0006-0000-1700-000001000000}">
      <text>
        <r>
          <rPr>
            <b/>
            <sz val="20"/>
            <color indexed="10"/>
            <rFont val="MS P ゴシック"/>
            <family val="3"/>
            <charset val="128"/>
          </rPr>
          <t xml:space="preserve">山
H30.８
（2023.02）
</t>
        </r>
      </text>
    </comment>
    <comment ref="G332" authorId="0" shapeId="0" xr:uid="{00000000-0006-0000-1700-000002000000}">
      <text>
        <r>
          <rPr>
            <sz val="20"/>
            <color indexed="81"/>
            <rFont val="MS P ゴシック"/>
            <family val="3"/>
            <charset val="128"/>
          </rPr>
          <t xml:space="preserve">谷
R2.５
（2023.02）
</t>
        </r>
      </text>
    </comment>
    <comment ref="E383" authorId="1" shapeId="0" xr:uid="{00000000-0006-0000-1700-000003000000}">
      <text>
        <r>
          <rPr>
            <sz val="9"/>
            <color indexed="81"/>
            <rFont val="MS P ゴシック"/>
            <family val="3"/>
            <charset val="128"/>
          </rPr>
          <t>R6.11月貿易統計2023確定値
公表に伴い、2023年と過去の
未改訂値の遡及改訂を行い、
2010年から全指数を再計算</t>
        </r>
      </text>
    </comment>
    <comment ref="C384" authorId="1" shapeId="0" xr:uid="{00000000-0006-0000-1700-000004000000}">
      <text>
        <r>
          <rPr>
            <sz val="9"/>
            <color indexed="81"/>
            <rFont val="MS P ゴシック"/>
            <family val="3"/>
            <charset val="128"/>
          </rPr>
          <t>貿易統計確定に
伴い、全遡及改訂</t>
        </r>
      </text>
    </comment>
    <comment ref="C387" authorId="1" shapeId="0" xr:uid="{00000000-0006-0000-1700-000005000000}">
      <text>
        <r>
          <rPr>
            <sz val="9"/>
            <color indexed="81"/>
            <rFont val="MS P ゴシック"/>
            <family val="3"/>
            <charset val="128"/>
          </rPr>
          <t>有効求人倍率の遡及
改定に伴い、全置換</t>
        </r>
      </text>
    </comment>
  </commentList>
</comments>
</file>

<file path=xl/sharedStrings.xml><?xml version="1.0" encoding="utf-8"?>
<sst xmlns="http://schemas.openxmlformats.org/spreadsheetml/2006/main" count="2642" uniqueCount="854">
  <si>
    <t>（注）  原：原数値</t>
    <rPh sb="1" eb="2">
      <t>チュウ</t>
    </rPh>
    <rPh sb="5" eb="6">
      <t>ゲン</t>
    </rPh>
    <rPh sb="7" eb="8">
      <t>ゲン</t>
    </rPh>
    <rPh sb="8" eb="10">
      <t>スウチ</t>
    </rPh>
    <phoneticPr fontId="3"/>
  </si>
  <si>
    <t>　　  　前：原数値前年同月比</t>
    <phoneticPr fontId="3"/>
  </si>
  <si>
    <t xml:space="preserve"> 　　　 季：季節調整値  </t>
    <rPh sb="5" eb="6">
      <t>キ</t>
    </rPh>
    <rPh sb="7" eb="9">
      <t>キセツ</t>
    </rPh>
    <rPh sb="9" eb="12">
      <t>チョウセイチ</t>
    </rPh>
    <phoneticPr fontId="3"/>
  </si>
  <si>
    <t xml:space="preserve"> 　 　　逆：逆サイクル</t>
    <rPh sb="7" eb="8">
      <t>ギャク</t>
    </rPh>
    <phoneticPr fontId="3"/>
  </si>
  <si>
    <t>所定外労働時間
（全産業）</t>
    <rPh sb="0" eb="2">
      <t>ショテイ</t>
    </rPh>
    <rPh sb="2" eb="3">
      <t>ガイ</t>
    </rPh>
    <rPh sb="3" eb="5">
      <t>ロウドウ</t>
    </rPh>
    <rPh sb="5" eb="7">
      <t>ジカン</t>
    </rPh>
    <rPh sb="9" eb="12">
      <t>ゼンサンギョウ</t>
    </rPh>
    <phoneticPr fontId="3"/>
  </si>
  <si>
    <t>労働者（全産業30人以上規模事業所）の１人あたりの所定外労働時間</t>
    <rPh sb="0" eb="3">
      <t>ロウドウシャ</t>
    </rPh>
    <rPh sb="4" eb="5">
      <t>ゼン</t>
    </rPh>
    <rPh sb="5" eb="7">
      <t>サンギョウ</t>
    </rPh>
    <rPh sb="9" eb="10">
      <t>ニン</t>
    </rPh>
    <rPh sb="10" eb="12">
      <t>イジョウ</t>
    </rPh>
    <rPh sb="12" eb="14">
      <t>キボ</t>
    </rPh>
    <rPh sb="14" eb="17">
      <t>ジギョウショ</t>
    </rPh>
    <rPh sb="19" eb="21">
      <t>ヒトリ</t>
    </rPh>
    <rPh sb="25" eb="27">
      <t>ショテイ</t>
    </rPh>
    <rPh sb="27" eb="28">
      <t>ガイ</t>
    </rPh>
    <rPh sb="28" eb="30">
      <t>ロウドウ</t>
    </rPh>
    <rPh sb="30" eb="32">
      <t>ジカン</t>
    </rPh>
    <phoneticPr fontId="3"/>
  </si>
  <si>
    <t>生産財生産指数</t>
    <rPh sb="0" eb="2">
      <t>セイサン</t>
    </rPh>
    <rPh sb="2" eb="3">
      <t>ザイ</t>
    </rPh>
    <rPh sb="3" eb="5">
      <t>セイサン</t>
    </rPh>
    <phoneticPr fontId="3"/>
  </si>
  <si>
    <t>新規求人数
（学卒、パートを除く）</t>
  </si>
  <si>
    <t>企業倒産件数
逆サイクル</t>
  </si>
  <si>
    <t>(件)</t>
  </si>
  <si>
    <t>所定外労働時間数</t>
  </si>
  <si>
    <t>輸出入通関実績(管内分）</t>
  </si>
  <si>
    <t>(人)</t>
  </si>
  <si>
    <t>消費者
物価指数
（盛岡市）
前年同月比</t>
  </si>
  <si>
    <t>前月差</t>
    <rPh sb="0" eb="2">
      <t>ゼンゲツ</t>
    </rPh>
    <phoneticPr fontId="3"/>
  </si>
  <si>
    <t>消費</t>
    <phoneticPr fontId="3"/>
  </si>
  <si>
    <t>１</t>
    <phoneticPr fontId="3"/>
  </si>
  <si>
    <t>２</t>
    <phoneticPr fontId="3"/>
  </si>
  <si>
    <t>８</t>
  </si>
  <si>
    <t>９</t>
  </si>
  <si>
    <t>（１） 概要</t>
    <rPh sb="4" eb="6">
      <t>ガイヨウ</t>
    </rPh>
    <phoneticPr fontId="3"/>
  </si>
  <si>
    <t>（２） 作成方法</t>
    <rPh sb="4" eb="6">
      <t>サクセイ</t>
    </rPh>
    <rPh sb="6" eb="8">
      <t>ホウホウ</t>
    </rPh>
    <phoneticPr fontId="3"/>
  </si>
  <si>
    <t>（３） 利用の仕方</t>
    <rPh sb="4" eb="6">
      <t>リヨウ</t>
    </rPh>
    <rPh sb="7" eb="9">
      <t>シカタ</t>
    </rPh>
    <phoneticPr fontId="3"/>
  </si>
  <si>
    <t>（２） 作成方法</t>
    <phoneticPr fontId="3"/>
  </si>
  <si>
    <t>　　　ＣＩは、景気に敏感な指標の量的な動きを合成した指標です。景気の動きに先行して動く先行指数、ほぼ一致</t>
    <rPh sb="31" eb="33">
      <t>ケイキ</t>
    </rPh>
    <rPh sb="34" eb="35">
      <t>ウゴ</t>
    </rPh>
    <rPh sb="37" eb="39">
      <t>センコウ</t>
    </rPh>
    <rPh sb="41" eb="42">
      <t>ウゴ</t>
    </rPh>
    <rPh sb="43" eb="45">
      <t>センコウ</t>
    </rPh>
    <rPh sb="45" eb="46">
      <t>ユビ</t>
    </rPh>
    <rPh sb="46" eb="47">
      <t>カズ</t>
    </rPh>
    <phoneticPr fontId="3"/>
  </si>
  <si>
    <t>　　して動く一致指数、遅れて動く遅行指数の３つの指数があります。</t>
    <phoneticPr fontId="3"/>
  </si>
  <si>
    <t>　　　個々の指標の前月との変化率を求め、変化幅を一定の方法で調整したうえで合成して作成します。</t>
    <rPh sb="3" eb="5">
      <t>ココ</t>
    </rPh>
    <rPh sb="6" eb="8">
      <t>シヒョウ</t>
    </rPh>
    <rPh sb="9" eb="11">
      <t>ゼンゲツ</t>
    </rPh>
    <rPh sb="13" eb="15">
      <t>ヘンカ</t>
    </rPh>
    <rPh sb="15" eb="16">
      <t>リツ</t>
    </rPh>
    <rPh sb="17" eb="18">
      <t>モト</t>
    </rPh>
    <rPh sb="20" eb="22">
      <t>ヘンカ</t>
    </rPh>
    <rPh sb="22" eb="23">
      <t>ハバ</t>
    </rPh>
    <rPh sb="24" eb="26">
      <t>イッテイ</t>
    </rPh>
    <rPh sb="27" eb="29">
      <t>ホウホウ</t>
    </rPh>
    <rPh sb="30" eb="32">
      <t>チョウセイ</t>
    </rPh>
    <rPh sb="37" eb="39">
      <t>ゴウセイ</t>
    </rPh>
    <rPh sb="41" eb="43">
      <t>サクセイ</t>
    </rPh>
    <phoneticPr fontId="3"/>
  </si>
  <si>
    <t>　　変化の大きさが景気の拡張または後退のテンポを表しています。ただし、景気が拡張局面にあるのか、後退局面</t>
    <rPh sb="2" eb="3">
      <t>ヘン</t>
    </rPh>
    <phoneticPr fontId="3"/>
  </si>
  <si>
    <t>　　にあるのか、景気の転換点はどこかについては、ＤＩと合わせて判断することをお勧めします。</t>
    <phoneticPr fontId="3"/>
  </si>
  <si>
    <t>　③　月々のＣＩの動きについては、極端な外れ値の影響は除かれているものの、不規則な動きも含まれていますの</t>
    <phoneticPr fontId="3"/>
  </si>
  <si>
    <t>　①　一致指数は、景気の現状把握に利用します。また、先行指数は、一般的に一致指数に数か月先行することから、</t>
    <rPh sb="3" eb="5">
      <t>イッチ</t>
    </rPh>
    <rPh sb="5" eb="7">
      <t>シスウ</t>
    </rPh>
    <rPh sb="9" eb="11">
      <t>ケイキ</t>
    </rPh>
    <rPh sb="12" eb="14">
      <t>ゲンジョウ</t>
    </rPh>
    <rPh sb="14" eb="16">
      <t>ハアク</t>
    </rPh>
    <rPh sb="17" eb="19">
      <t>リヨウ</t>
    </rPh>
    <rPh sb="26" eb="28">
      <t>センコウ</t>
    </rPh>
    <rPh sb="28" eb="30">
      <t>シスウ</t>
    </rPh>
    <rPh sb="32" eb="35">
      <t>イッパンテキ</t>
    </rPh>
    <rPh sb="36" eb="38">
      <t>イッチ</t>
    </rPh>
    <rPh sb="38" eb="40">
      <t>シスウ</t>
    </rPh>
    <rPh sb="44" eb="46">
      <t>センコウ</t>
    </rPh>
    <phoneticPr fontId="3"/>
  </si>
  <si>
    <t>　　景気の動きを予知する目的で利用します。遅行指数は、一般的に一致指数に数か月から半年遅れて動くことから、</t>
    <rPh sb="2" eb="4">
      <t>ケイキ</t>
    </rPh>
    <phoneticPr fontId="3"/>
  </si>
  <si>
    <t>　　景気の転換点や局面の確認に利用します。</t>
    <rPh sb="2" eb="3">
      <t>カゲル</t>
    </rPh>
    <rPh sb="3" eb="4">
      <t>キ</t>
    </rPh>
    <phoneticPr fontId="3"/>
  </si>
  <si>
    <t>　②　ＣＩでは、一般的に一致指数が上昇している時が拡張局面、低下しているときが後退局面であり、一致指数の</t>
    <phoneticPr fontId="3"/>
  </si>
  <si>
    <t>　①　各採用系列の各月の値を５か月前の値と比較して、増加（拡張）した時はプラス、増減なし（保ち合い）の時</t>
    <rPh sb="40" eb="42">
      <t>ゾウゲン</t>
    </rPh>
    <phoneticPr fontId="3"/>
  </si>
  <si>
    <t>　　は０、減少した時はマイナスとします。</t>
    <phoneticPr fontId="3"/>
  </si>
  <si>
    <t>　　　下の式により、先行、一致、遅行の系列群ごとに、採用系列数に占める拡張系列数(「＋」となった系列の数）</t>
    <rPh sb="3" eb="4">
      <t>シタ</t>
    </rPh>
    <rPh sb="5" eb="6">
      <t>シキ</t>
    </rPh>
    <rPh sb="48" eb="49">
      <t>ケイ</t>
    </rPh>
    <phoneticPr fontId="3"/>
  </si>
  <si>
    <t>　　が採用系列の数に占める割合を計算します。ただし、保ち合い「０」の場合には、「＋0.5」として下式の拡張系</t>
    <phoneticPr fontId="3"/>
  </si>
  <si>
    <t>　　列数に加えます。</t>
    <phoneticPr fontId="3"/>
  </si>
  <si>
    <t>　②　累積ＤＩについては、毎月のＤＩの値から50を引いた値を累積して作成します。</t>
    <rPh sb="34" eb="36">
      <t>サクセイ</t>
    </rPh>
    <phoneticPr fontId="3"/>
  </si>
  <si>
    <t>　　断します。</t>
    <phoneticPr fontId="3"/>
  </si>
  <si>
    <t>　②　ＤＩでは、50％のラインを横切る点が景気の山・谷と対応するのに対し、累積ＤＩでは、その山と谷がほぼそ</t>
    <phoneticPr fontId="3"/>
  </si>
  <si>
    <t>　　のまま景気の山・谷に対応しており、景気の局面や転換点を視覚的にとらえやすいという利点があります。</t>
    <phoneticPr fontId="3"/>
  </si>
  <si>
    <t>（１）</t>
    <phoneticPr fontId="3"/>
  </si>
  <si>
    <t>（２）</t>
    <phoneticPr fontId="3"/>
  </si>
  <si>
    <t>（３）</t>
    <phoneticPr fontId="3"/>
  </si>
  <si>
    <t>（４）</t>
    <phoneticPr fontId="3"/>
  </si>
  <si>
    <t>（１） 推移</t>
    <rPh sb="4" eb="6">
      <t>スイイ</t>
    </rPh>
    <phoneticPr fontId="3"/>
  </si>
  <si>
    <t xml:space="preserve"> 一致指数の基調判断</t>
    <rPh sb="1" eb="3">
      <t>イッチ</t>
    </rPh>
    <rPh sb="3" eb="5">
      <t>シスウ</t>
    </rPh>
    <rPh sb="6" eb="8">
      <t>キチョウ</t>
    </rPh>
    <rPh sb="8" eb="10">
      <t>ハンダン</t>
    </rPh>
    <phoneticPr fontId="3"/>
  </si>
  <si>
    <t xml:space="preserve"> 一致指数の推移</t>
    <phoneticPr fontId="3"/>
  </si>
  <si>
    <t xml:space="preserve"> 一致指数の前月差に対する個別系列の寄与度</t>
    <phoneticPr fontId="3"/>
  </si>
  <si>
    <t>（２） 採用系列の前月差及び寄与度</t>
    <rPh sb="4" eb="6">
      <t>サイヨウ</t>
    </rPh>
    <rPh sb="6" eb="8">
      <t>ケイレツ</t>
    </rPh>
    <rPh sb="9" eb="11">
      <t>ゼンゲツ</t>
    </rPh>
    <rPh sb="11" eb="12">
      <t>サ</t>
    </rPh>
    <rPh sb="12" eb="13">
      <t>オヨ</t>
    </rPh>
    <rPh sb="14" eb="17">
      <t>キヨド</t>
    </rPh>
    <phoneticPr fontId="3"/>
  </si>
  <si>
    <t>（１） 先行指数</t>
    <rPh sb="4" eb="6">
      <t>センコウ</t>
    </rPh>
    <rPh sb="6" eb="8">
      <t>シスウ</t>
    </rPh>
    <phoneticPr fontId="3"/>
  </si>
  <si>
    <t>（２） 一致指数</t>
    <rPh sb="4" eb="6">
      <t>イッチ</t>
    </rPh>
    <rPh sb="6" eb="8">
      <t>シスウ</t>
    </rPh>
    <phoneticPr fontId="3"/>
  </si>
  <si>
    <t>（３） 遅行指数</t>
    <rPh sb="4" eb="6">
      <t>チコウ</t>
    </rPh>
    <rPh sb="6" eb="8">
      <t>シスウ</t>
    </rPh>
    <phoneticPr fontId="3"/>
  </si>
  <si>
    <t>６．ＣＩ時系列表</t>
    <rPh sb="4" eb="7">
      <t>ジケイレツ</t>
    </rPh>
    <rPh sb="7" eb="8">
      <t>ヒョウ</t>
    </rPh>
    <phoneticPr fontId="3"/>
  </si>
  <si>
    <t>７．個別系列の数値</t>
    <rPh sb="2" eb="4">
      <t>コベツ</t>
    </rPh>
    <rPh sb="4" eb="6">
      <t>ケイレツ</t>
    </rPh>
    <rPh sb="7" eb="9">
      <t>スウチ</t>
    </rPh>
    <phoneticPr fontId="16"/>
  </si>
  <si>
    <t>13．ＣＩを用いた景気の基調判断の基準</t>
    <rPh sb="6" eb="7">
      <t>モチ</t>
    </rPh>
    <rPh sb="9" eb="11">
      <t>ケイキ</t>
    </rPh>
    <rPh sb="12" eb="14">
      <t>キチョウ</t>
    </rPh>
    <rPh sb="14" eb="16">
      <t>ハンダン</t>
    </rPh>
    <rPh sb="17" eb="19">
      <t>キジュン</t>
    </rPh>
    <phoneticPr fontId="3"/>
  </si>
  <si>
    <t>14．個別系列の概要</t>
    <rPh sb="3" eb="5">
      <t>コベツ</t>
    </rPh>
    <rPh sb="5" eb="7">
      <t>ケイレツ</t>
    </rPh>
    <rPh sb="8" eb="10">
      <t>ガイヨウ</t>
    </rPh>
    <phoneticPr fontId="3"/>
  </si>
  <si>
    <t>２　ＣＩについて</t>
    <phoneticPr fontId="3"/>
  </si>
  <si>
    <t>３　ＤＩについて</t>
    <phoneticPr fontId="3"/>
  </si>
  <si>
    <t>　　 景気動向指数には、主として景気変動の大きさやテンポ（量感）の測定に用いるＣＩ（コンポジッ ト・インデッ</t>
    <phoneticPr fontId="3"/>
  </si>
  <si>
    <t>LG1</t>
    <phoneticPr fontId="3"/>
  </si>
  <si>
    <t>（注）</t>
    <phoneticPr fontId="3"/>
  </si>
  <si>
    <t>　　　</t>
    <phoneticPr fontId="16"/>
  </si>
  <si>
    <t>前月差（ポイント）</t>
    <rPh sb="0" eb="2">
      <t>ゼンゲツ</t>
    </rPh>
    <rPh sb="2" eb="3">
      <t>サ</t>
    </rPh>
    <phoneticPr fontId="3"/>
  </si>
  <si>
    <t>　（学卒、パートを除く）</t>
    <phoneticPr fontId="3"/>
  </si>
  <si>
    <t>前月比伸び率（％）</t>
    <rPh sb="0" eb="2">
      <t>ゼンゲツ</t>
    </rPh>
    <rPh sb="2" eb="3">
      <t>ヒ</t>
    </rPh>
    <rPh sb="3" eb="4">
      <t>ノ</t>
    </rPh>
    <rPh sb="5" eb="6">
      <t>リツ</t>
    </rPh>
    <phoneticPr fontId="3"/>
  </si>
  <si>
    <t>　（全産業）</t>
    <phoneticPr fontId="3"/>
  </si>
  <si>
    <r>
      <t>寄与度</t>
    </r>
    <r>
      <rPr>
        <sz val="10"/>
        <color indexed="10"/>
        <rFont val="HGSｺﾞｼｯｸM"/>
        <family val="3"/>
        <charset val="128"/>
      </rPr>
      <t>（逆サイクル）</t>
    </r>
    <rPh sb="0" eb="3">
      <t>キヨド</t>
    </rPh>
    <phoneticPr fontId="3"/>
  </si>
  <si>
    <t>　（軽自動車含む）</t>
    <phoneticPr fontId="3"/>
  </si>
  <si>
    <t>　（全戸数）</t>
    <phoneticPr fontId="3"/>
  </si>
  <si>
    <t>　 （全産業）</t>
    <phoneticPr fontId="3"/>
  </si>
  <si>
    <t>常用雇用指数
（全産業）</t>
    <phoneticPr fontId="16"/>
  </si>
  <si>
    <t xml:space="preserve">前：原数値前年同月比 </t>
    <rPh sb="0" eb="1">
      <t>ゼン</t>
    </rPh>
    <phoneticPr fontId="3"/>
  </si>
  <si>
    <t>季：季節調整値</t>
    <rPh sb="0" eb="1">
      <t>キセツ</t>
    </rPh>
    <phoneticPr fontId="3"/>
  </si>
  <si>
    <t>１</t>
    <phoneticPr fontId="3"/>
  </si>
  <si>
    <t>２</t>
    <phoneticPr fontId="3"/>
  </si>
  <si>
    <t>３</t>
    <phoneticPr fontId="3"/>
  </si>
  <si>
    <t>４</t>
    <phoneticPr fontId="3"/>
  </si>
  <si>
    <t>５</t>
    <phoneticPr fontId="3"/>
  </si>
  <si>
    <t>６</t>
    <phoneticPr fontId="3"/>
  </si>
  <si>
    <t>７</t>
    <phoneticPr fontId="3"/>
  </si>
  <si>
    <t>第９循環</t>
    <rPh sb="0" eb="1">
      <t>ダイ</t>
    </rPh>
    <rPh sb="2" eb="4">
      <t>ジュンカン</t>
    </rPh>
    <phoneticPr fontId="3"/>
  </si>
  <si>
    <t>第８循環</t>
    <rPh sb="0" eb="1">
      <t>ダイ</t>
    </rPh>
    <rPh sb="2" eb="4">
      <t>ジュンカン</t>
    </rPh>
    <phoneticPr fontId="3"/>
  </si>
  <si>
    <t>第７循環</t>
    <rPh sb="0" eb="1">
      <t>ダイ</t>
    </rPh>
    <rPh sb="2" eb="4">
      <t>ジュンカン</t>
    </rPh>
    <phoneticPr fontId="3"/>
  </si>
  <si>
    <t>第６循環</t>
    <rPh sb="0" eb="1">
      <t>ダイ</t>
    </rPh>
    <rPh sb="2" eb="4">
      <t>ジュンカン</t>
    </rPh>
    <phoneticPr fontId="3"/>
  </si>
  <si>
    <t>第５循環</t>
    <rPh sb="0" eb="1">
      <t>ダイ</t>
    </rPh>
    <rPh sb="2" eb="4">
      <t>ジュンカン</t>
    </rPh>
    <phoneticPr fontId="3"/>
  </si>
  <si>
    <t>第４循環</t>
    <rPh sb="0" eb="1">
      <t>ダイ</t>
    </rPh>
    <rPh sb="2" eb="4">
      <t>ジュンカン</t>
    </rPh>
    <phoneticPr fontId="3"/>
  </si>
  <si>
    <t>第３循環</t>
    <rPh sb="0" eb="1">
      <t>ダイ</t>
    </rPh>
    <rPh sb="2" eb="4">
      <t>ジュンカン</t>
    </rPh>
    <phoneticPr fontId="3"/>
  </si>
  <si>
    <t>第２循環</t>
    <rPh sb="0" eb="1">
      <t>ダイ</t>
    </rPh>
    <rPh sb="2" eb="4">
      <t>ジュンカン</t>
    </rPh>
    <phoneticPr fontId="3"/>
  </si>
  <si>
    <t>第１循環</t>
    <rPh sb="0" eb="1">
      <t>ダイ</t>
    </rPh>
    <rPh sb="2" eb="4">
      <t>ジュンカン</t>
    </rPh>
    <phoneticPr fontId="3"/>
  </si>
  <si>
    <t>13．ＣＩを用いた景気の基調判断の基準</t>
    <rPh sb="6" eb="7">
      <t>モチ</t>
    </rPh>
    <rPh sb="9" eb="11">
      <t>ケイキ</t>
    </rPh>
    <phoneticPr fontId="3"/>
  </si>
  <si>
    <t>　過半数の系列が</t>
    <rPh sb="1" eb="4">
      <t>カハンスウ</t>
    </rPh>
    <rPh sb="5" eb="7">
      <t>ケイレツ</t>
    </rPh>
    <phoneticPr fontId="3"/>
  </si>
  <si>
    <t>建設財生産指数</t>
    <phoneticPr fontId="3"/>
  </si>
  <si>
    <t>〃</t>
    <phoneticPr fontId="3"/>
  </si>
  <si>
    <t>新車新規登録台数</t>
    <phoneticPr fontId="3"/>
  </si>
  <si>
    <t>新設住宅着工戸数</t>
    <phoneticPr fontId="3"/>
  </si>
  <si>
    <t>有効求人倍率</t>
    <phoneticPr fontId="3"/>
  </si>
  <si>
    <t>２．ＣＩ先行指数の動き</t>
    <rPh sb="4" eb="6">
      <t>センコウ</t>
    </rPh>
    <rPh sb="6" eb="8">
      <t>シスウ</t>
    </rPh>
    <rPh sb="9" eb="10">
      <t>ウゴ</t>
    </rPh>
    <phoneticPr fontId="3"/>
  </si>
  <si>
    <t>３．ＣＩ一致指数の動き</t>
    <rPh sb="4" eb="6">
      <t>イッチ</t>
    </rPh>
    <rPh sb="6" eb="8">
      <t>シスウ</t>
    </rPh>
    <rPh sb="9" eb="10">
      <t>ウゴ</t>
    </rPh>
    <phoneticPr fontId="3"/>
  </si>
  <si>
    <t>４．ＣＩ遅行指数の動き</t>
    <rPh sb="4" eb="6">
      <t>チコウ</t>
    </rPh>
    <rPh sb="6" eb="8">
      <t>シスウ</t>
    </rPh>
    <rPh sb="9" eb="10">
      <t>ウゴ</t>
    </rPh>
    <phoneticPr fontId="3"/>
  </si>
  <si>
    <t>1（前月保合）</t>
    <rPh sb="4" eb="5">
      <t>ホ</t>
    </rPh>
    <rPh sb="5" eb="6">
      <t>ア</t>
    </rPh>
    <phoneticPr fontId="3"/>
  </si>
  <si>
    <t>景気の山</t>
    <rPh sb="0" eb="2">
      <t>ケイキ</t>
    </rPh>
    <rPh sb="3" eb="4">
      <t>ヤマ</t>
    </rPh>
    <phoneticPr fontId="3"/>
  </si>
  <si>
    <t>景気の谷</t>
    <rPh sb="0" eb="2">
      <t>ケイキ</t>
    </rPh>
    <rPh sb="3" eb="4">
      <t>タニ</t>
    </rPh>
    <phoneticPr fontId="3"/>
  </si>
  <si>
    <t>回復期</t>
    <rPh sb="0" eb="2">
      <t>カイフク</t>
    </rPh>
    <rPh sb="2" eb="3">
      <t>キ</t>
    </rPh>
    <phoneticPr fontId="3"/>
  </si>
  <si>
    <t xml:space="preserve"> 後退期</t>
    <rPh sb="1" eb="4">
      <t>コウタイキ</t>
    </rPh>
    <phoneticPr fontId="3"/>
  </si>
  <si>
    <t>不況期</t>
    <rPh sb="0" eb="3">
      <t>フキョウキ</t>
    </rPh>
    <phoneticPr fontId="3"/>
  </si>
  <si>
    <t>景気循環</t>
    <rPh sb="0" eb="2">
      <t>ケイキ</t>
    </rPh>
    <rPh sb="2" eb="4">
      <t>ジュンカン</t>
    </rPh>
    <phoneticPr fontId="3"/>
  </si>
  <si>
    <t>全国</t>
    <rPh sb="0" eb="1">
      <t>ゼン</t>
    </rPh>
    <rPh sb="1" eb="2">
      <t>コク</t>
    </rPh>
    <phoneticPr fontId="3"/>
  </si>
  <si>
    <t>岩手県</t>
    <rPh sb="0" eb="1">
      <t>イワ</t>
    </rPh>
    <rPh sb="1" eb="2">
      <t>テ</t>
    </rPh>
    <rPh sb="2" eb="3">
      <t>ケン</t>
    </rPh>
    <phoneticPr fontId="3"/>
  </si>
  <si>
    <t>谷</t>
    <rPh sb="0" eb="1">
      <t>タニ</t>
    </rPh>
    <phoneticPr fontId="3"/>
  </si>
  <si>
    <t>山</t>
    <rPh sb="0" eb="1">
      <t>ヤマ</t>
    </rPh>
    <phoneticPr fontId="3"/>
  </si>
  <si>
    <t>第10循環</t>
    <rPh sb="0" eb="1">
      <t>ダイ</t>
    </rPh>
    <rPh sb="3" eb="5">
      <t>ジュンカン</t>
    </rPh>
    <phoneticPr fontId="3"/>
  </si>
  <si>
    <t>第11循環</t>
    <rPh sb="0" eb="1">
      <t>ダイ</t>
    </rPh>
    <rPh sb="3" eb="5">
      <t>ジュンカン</t>
    </rPh>
    <phoneticPr fontId="3"/>
  </si>
  <si>
    <t>第12循環</t>
    <rPh sb="0" eb="1">
      <t>ダイ</t>
    </rPh>
    <rPh sb="3" eb="5">
      <t>ジュンカン</t>
    </rPh>
    <phoneticPr fontId="3"/>
  </si>
  <si>
    <t>第13循環</t>
    <rPh sb="0" eb="1">
      <t>ダイ</t>
    </rPh>
    <rPh sb="3" eb="5">
      <t>ジュンカン</t>
    </rPh>
    <phoneticPr fontId="3"/>
  </si>
  <si>
    <t>内容</t>
    <rPh sb="0" eb="2">
      <t>ナイヨウ</t>
    </rPh>
    <phoneticPr fontId="3"/>
  </si>
  <si>
    <t>収録資料</t>
    <rPh sb="0" eb="2">
      <t>シュウロク</t>
    </rPh>
    <rPh sb="2" eb="4">
      <t>シリョウ</t>
    </rPh>
    <phoneticPr fontId="3"/>
  </si>
  <si>
    <t>新規求人数
（学卒、パートを除く）</t>
    <rPh sb="4" eb="5">
      <t>カズ</t>
    </rPh>
    <phoneticPr fontId="3"/>
  </si>
  <si>
    <t>学卒、パートを除く新規求人数</t>
    <rPh sb="0" eb="2">
      <t>ガクソツ</t>
    </rPh>
    <rPh sb="7" eb="8">
      <t>ノゾ</t>
    </rPh>
    <rPh sb="9" eb="11">
      <t>シンキ</t>
    </rPh>
    <rPh sb="11" eb="14">
      <t>キュウジンスウ</t>
    </rPh>
    <phoneticPr fontId="3"/>
  </si>
  <si>
    <t>岩手県の労働市場</t>
    <rPh sb="0" eb="3">
      <t>イワテケン</t>
    </rPh>
    <phoneticPr fontId="3"/>
  </si>
  <si>
    <t>県調査統計課</t>
    <rPh sb="0" eb="1">
      <t>ケン</t>
    </rPh>
    <rPh sb="1" eb="3">
      <t>チョウサ</t>
    </rPh>
    <phoneticPr fontId="3"/>
  </si>
  <si>
    <t>岩手県鉱工業生産指数</t>
    <rPh sb="0" eb="3">
      <t>イワテケン</t>
    </rPh>
    <rPh sb="3" eb="6">
      <t>コウコウギョウ</t>
    </rPh>
    <phoneticPr fontId="3"/>
  </si>
  <si>
    <t>県自動車販売店協会／自販連</t>
    <rPh sb="0" eb="1">
      <t>ケン</t>
    </rPh>
    <rPh sb="1" eb="4">
      <t>ジドウシャ</t>
    </rPh>
    <rPh sb="10" eb="11">
      <t>ジ</t>
    </rPh>
    <rPh sb="11" eb="12">
      <t>ハン</t>
    </rPh>
    <rPh sb="12" eb="13">
      <t>レン</t>
    </rPh>
    <phoneticPr fontId="3"/>
  </si>
  <si>
    <t>新車販売・登録台数</t>
    <rPh sb="0" eb="2">
      <t>シンシャ</t>
    </rPh>
    <rPh sb="2" eb="4">
      <t>ハンバイ</t>
    </rPh>
    <rPh sb="5" eb="7">
      <t>トウロク</t>
    </rPh>
    <rPh sb="7" eb="9">
      <t>ダイスウ</t>
    </rPh>
    <phoneticPr fontId="3"/>
  </si>
  <si>
    <t>（軽自動車を含む）</t>
    <rPh sb="1" eb="5">
      <t>ケイジドウシャ</t>
    </rPh>
    <rPh sb="6" eb="7">
      <t>フク</t>
    </rPh>
    <phoneticPr fontId="3"/>
  </si>
  <si>
    <t>全国軽自動車協会連合会</t>
    <rPh sb="0" eb="2">
      <t>ゼンコク</t>
    </rPh>
    <rPh sb="2" eb="6">
      <t>ケイジドウシャ</t>
    </rPh>
    <rPh sb="6" eb="8">
      <t>キョウカイ</t>
    </rPh>
    <rPh sb="8" eb="11">
      <t>レンゴウカイ</t>
    </rPh>
    <phoneticPr fontId="3"/>
  </si>
  <si>
    <t>軽四輪車県別新車販売台数</t>
    <rPh sb="0" eb="1">
      <t>ケイ</t>
    </rPh>
    <rPh sb="1" eb="3">
      <t>ヨンリン</t>
    </rPh>
    <rPh sb="3" eb="4">
      <t>シャ</t>
    </rPh>
    <rPh sb="4" eb="6">
      <t>ケンベツ</t>
    </rPh>
    <rPh sb="6" eb="8">
      <t>シンシャ</t>
    </rPh>
    <rPh sb="8" eb="10">
      <t>ハンバイ</t>
    </rPh>
    <rPh sb="10" eb="12">
      <t>ダイスウ</t>
    </rPh>
    <phoneticPr fontId="3"/>
  </si>
  <si>
    <t>（全戸数）</t>
    <rPh sb="1" eb="2">
      <t>ゼン</t>
    </rPh>
    <rPh sb="2" eb="4">
      <t>コスウ</t>
    </rPh>
    <phoneticPr fontId="3"/>
  </si>
  <si>
    <t>企業業況判断ＤＩ</t>
    <rPh sb="0" eb="2">
      <t>キギョウ</t>
    </rPh>
    <phoneticPr fontId="3"/>
  </si>
  <si>
    <t>（学卒、パートを除く）</t>
    <rPh sb="1" eb="3">
      <t>ガクソツ</t>
    </rPh>
    <rPh sb="8" eb="9">
      <t>ノゾ</t>
    </rPh>
    <phoneticPr fontId="3"/>
  </si>
  <si>
    <t>県税務課</t>
    <rPh sb="0" eb="1">
      <t>ケン</t>
    </rPh>
    <rPh sb="1" eb="3">
      <t>ゼイム</t>
    </rPh>
    <phoneticPr fontId="3"/>
  </si>
  <si>
    <t>ＣＩ先行指数</t>
    <rPh sb="2" eb="4">
      <t>センコウ</t>
    </rPh>
    <rPh sb="4" eb="6">
      <t>シスウ</t>
    </rPh>
    <phoneticPr fontId="3"/>
  </si>
  <si>
    <t>一致指数トレンド成分</t>
    <rPh sb="0" eb="2">
      <t>イッチ</t>
    </rPh>
    <rPh sb="2" eb="4">
      <t>シスウ</t>
    </rPh>
    <rPh sb="8" eb="10">
      <t>セイブン</t>
    </rPh>
    <phoneticPr fontId="3"/>
  </si>
  <si>
    <t>前月差</t>
    <rPh sb="0" eb="2">
      <t>ゼンゲツ</t>
    </rPh>
    <rPh sb="2" eb="3">
      <t>サ</t>
    </rPh>
    <phoneticPr fontId="3"/>
  </si>
  <si>
    <t>寄与度</t>
    <rPh sb="0" eb="3">
      <t>キヨド</t>
    </rPh>
    <phoneticPr fontId="3"/>
  </si>
  <si>
    <t>11月</t>
    <rPh sb="2" eb="3">
      <t>ガツ</t>
    </rPh>
    <phoneticPr fontId="3"/>
  </si>
  <si>
    <t>12月</t>
    <rPh sb="2" eb="3">
      <t>ガツ</t>
    </rPh>
    <phoneticPr fontId="3"/>
  </si>
  <si>
    <t>L7 企業業況判断ＤＩ</t>
    <rPh sb="3" eb="5">
      <t>キギョウ</t>
    </rPh>
    <rPh sb="5" eb="7">
      <t>ギョウキョウ</t>
    </rPh>
    <rPh sb="7" eb="9">
      <t>ハンダン</t>
    </rPh>
    <phoneticPr fontId="3"/>
  </si>
  <si>
    <t>Ｃ．Ｉ．指数</t>
    <rPh sb="4" eb="6">
      <t>シスウ</t>
    </rPh>
    <phoneticPr fontId="3"/>
  </si>
  <si>
    <t/>
  </si>
  <si>
    <t>３か月後方移動平均</t>
    <rPh sb="2" eb="3">
      <t>ゲツ</t>
    </rPh>
    <rPh sb="3" eb="5">
      <t>コウホウ</t>
    </rPh>
    <rPh sb="5" eb="7">
      <t>イドウ</t>
    </rPh>
    <rPh sb="7" eb="9">
      <t>ヘイキン</t>
    </rPh>
    <phoneticPr fontId="3"/>
  </si>
  <si>
    <t>７か月後方移動平均</t>
    <rPh sb="2" eb="3">
      <t>ゲツ</t>
    </rPh>
    <rPh sb="3" eb="5">
      <t>コウホウ</t>
    </rPh>
    <rPh sb="5" eb="7">
      <t>イドウ</t>
    </rPh>
    <rPh sb="7" eb="9">
      <t>ヘイキン</t>
    </rPh>
    <phoneticPr fontId="3"/>
  </si>
  <si>
    <t>同・３か月後方移動平均</t>
    <rPh sb="0" eb="1">
      <t>ドウ</t>
    </rPh>
    <rPh sb="4" eb="5">
      <t>ゲツ</t>
    </rPh>
    <rPh sb="5" eb="7">
      <t>コウホウ</t>
    </rPh>
    <rPh sb="7" eb="9">
      <t>イドウ</t>
    </rPh>
    <rPh sb="9" eb="11">
      <t>ヘイキン</t>
    </rPh>
    <phoneticPr fontId="3"/>
  </si>
  <si>
    <t>同・７か月後方移動平均</t>
    <rPh sb="0" eb="1">
      <t>ドウ</t>
    </rPh>
    <rPh sb="4" eb="5">
      <t>ゲツ</t>
    </rPh>
    <rPh sb="5" eb="7">
      <t>コウホウ</t>
    </rPh>
    <rPh sb="7" eb="9">
      <t>イドウ</t>
    </rPh>
    <rPh sb="9" eb="11">
      <t>ヘイキン</t>
    </rPh>
    <phoneticPr fontId="3"/>
  </si>
  <si>
    <t>和暦</t>
  </si>
  <si>
    <t>西暦</t>
  </si>
  <si>
    <t>月</t>
  </si>
  <si>
    <t>対称変化率</t>
  </si>
  <si>
    <t>L1</t>
  </si>
  <si>
    <t>L2</t>
  </si>
  <si>
    <t>L3</t>
  </si>
  <si>
    <t>L4</t>
  </si>
  <si>
    <t>L5</t>
  </si>
  <si>
    <t>L6</t>
  </si>
  <si>
    <t>L7</t>
  </si>
  <si>
    <t>C1</t>
  </si>
  <si>
    <t>C2</t>
  </si>
  <si>
    <t>C3</t>
  </si>
  <si>
    <t>C4</t>
  </si>
  <si>
    <t>C5</t>
  </si>
  <si>
    <t>C6</t>
  </si>
  <si>
    <t>LG1</t>
  </si>
  <si>
    <t>LG2</t>
  </si>
  <si>
    <t>LG3</t>
  </si>
  <si>
    <t>建設財
生産指数</t>
  </si>
  <si>
    <t>生産財
生産指数</t>
  </si>
  <si>
    <t>新車販売
台数
（軽自動車を
含む）</t>
  </si>
  <si>
    <t>新設住宅
着工戸数
（全戸数）</t>
  </si>
  <si>
    <t>企業業況
判断ＤＩ</t>
  </si>
  <si>
    <t>有効求人
倍率（学卒、パートを除く）</t>
  </si>
  <si>
    <t>鉱工業
生産指数</t>
  </si>
  <si>
    <t>常用雇用
指数
（全産業）</t>
  </si>
  <si>
    <t>資本財
生産指数</t>
  </si>
  <si>
    <t>実質勤労者世帯
家計消費支出
（盛岡市）</t>
  </si>
  <si>
    <t>（％）</t>
  </si>
  <si>
    <t>（台)</t>
  </si>
  <si>
    <t>(戸)</t>
  </si>
  <si>
    <t>(％)</t>
  </si>
  <si>
    <t>(倍)</t>
  </si>
  <si>
    <t>(百万円)</t>
  </si>
  <si>
    <t>ＬＧ</t>
    <phoneticPr fontId="3"/>
  </si>
  <si>
    <t>先行指数寄与度</t>
    <rPh sb="0" eb="2">
      <t>センコウ</t>
    </rPh>
    <rPh sb="2" eb="4">
      <t>シスウ</t>
    </rPh>
    <rPh sb="4" eb="7">
      <t>キヨド</t>
    </rPh>
    <phoneticPr fontId="3"/>
  </si>
  <si>
    <t>一致指数寄与度</t>
    <rPh sb="0" eb="2">
      <t>イッチ</t>
    </rPh>
    <rPh sb="2" eb="4">
      <t>シスウ</t>
    </rPh>
    <rPh sb="4" eb="7">
      <t>キヨド</t>
    </rPh>
    <phoneticPr fontId="3"/>
  </si>
  <si>
    <t>遅行指数寄与度</t>
    <rPh sb="0" eb="2">
      <t>チコウ</t>
    </rPh>
    <rPh sb="2" eb="4">
      <t>シスウ</t>
    </rPh>
    <rPh sb="4" eb="7">
      <t>キヨド</t>
    </rPh>
    <phoneticPr fontId="3"/>
  </si>
  <si>
    <t>ＣＩ一致指数</t>
    <rPh sb="2" eb="4">
      <t>イッチ</t>
    </rPh>
    <rPh sb="4" eb="6">
      <t>シスウ</t>
    </rPh>
    <phoneticPr fontId="3"/>
  </si>
  <si>
    <t>ＣＩ遅行指数</t>
    <rPh sb="2" eb="4">
      <t>チコウ</t>
    </rPh>
    <rPh sb="4" eb="6">
      <t>シスウ</t>
    </rPh>
    <phoneticPr fontId="3"/>
  </si>
  <si>
    <t>網掛け</t>
    <rPh sb="0" eb="2">
      <t>アミカ</t>
    </rPh>
    <phoneticPr fontId="3"/>
  </si>
  <si>
    <t>月</t>
    <rPh sb="0" eb="1">
      <t>ツキ</t>
    </rPh>
    <phoneticPr fontId="3"/>
  </si>
  <si>
    <t>年</t>
    <rPh sb="0" eb="1">
      <t>ネン</t>
    </rPh>
    <phoneticPr fontId="3"/>
  </si>
  <si>
    <t>10月</t>
  </si>
  <si>
    <t>11月</t>
  </si>
  <si>
    <t>12月</t>
  </si>
  <si>
    <t>目次</t>
    <rPh sb="0" eb="2">
      <t>モクジ</t>
    </rPh>
    <phoneticPr fontId="3"/>
  </si>
  <si>
    <t>岩手県景気動向指数</t>
    <rPh sb="0" eb="3">
      <t>イワテケン</t>
    </rPh>
    <rPh sb="3" eb="5">
      <t>ケイキ</t>
    </rPh>
    <rPh sb="5" eb="7">
      <t>ドウコウ</t>
    </rPh>
    <rPh sb="7" eb="9">
      <t>シスウ</t>
    </rPh>
    <phoneticPr fontId="3"/>
  </si>
  <si>
    <t>「岩手県景気動向指数」は、当部調査統計課のホームページでもご覧になれます。</t>
    <rPh sb="14" eb="15">
      <t>ブ</t>
    </rPh>
    <phoneticPr fontId="3"/>
  </si>
  <si>
    <t>５．ＣＩ時系列グラフ</t>
    <rPh sb="4" eb="7">
      <t>ジケイレツ</t>
    </rPh>
    <phoneticPr fontId="3"/>
  </si>
  <si>
    <t>８．（参考）ＤＩ変化方向表</t>
    <rPh sb="3" eb="5">
      <t>サンコウ</t>
    </rPh>
    <rPh sb="8" eb="10">
      <t>ヘンカ</t>
    </rPh>
    <rPh sb="10" eb="12">
      <t>ホウコウ</t>
    </rPh>
    <rPh sb="12" eb="13">
      <t>ヒョウ</t>
    </rPh>
    <phoneticPr fontId="3"/>
  </si>
  <si>
    <t>９．（参考）ＤＩ時系列グラフ</t>
    <rPh sb="3" eb="5">
      <t>サンコウ</t>
    </rPh>
    <rPh sb="8" eb="11">
      <t>ジケイレツ</t>
    </rPh>
    <phoneticPr fontId="3"/>
  </si>
  <si>
    <t>10．（参考）ＤＩ時系列表</t>
    <rPh sb="4" eb="6">
      <t>サンコウ</t>
    </rPh>
    <rPh sb="9" eb="12">
      <t>ジケイレツ</t>
    </rPh>
    <rPh sb="12" eb="13">
      <t>ヒョウ</t>
    </rPh>
    <phoneticPr fontId="3"/>
  </si>
  <si>
    <t>《基調判断の定義と基準》</t>
    <rPh sb="1" eb="3">
      <t>キチョウ</t>
    </rPh>
    <rPh sb="3" eb="5">
      <t>ハンダン</t>
    </rPh>
    <rPh sb="6" eb="8">
      <t>テイギ</t>
    </rPh>
    <rPh sb="9" eb="11">
      <t>キジュン</t>
    </rPh>
    <phoneticPr fontId="3"/>
  </si>
  <si>
    <t>基調判断</t>
    <rPh sb="0" eb="2">
      <t>キチョウ</t>
    </rPh>
    <rPh sb="2" eb="4">
      <t>ハンダン</t>
    </rPh>
    <phoneticPr fontId="3"/>
  </si>
  <si>
    <t>定義</t>
    <rPh sb="0" eb="2">
      <t>テイギ</t>
    </rPh>
    <phoneticPr fontId="3"/>
  </si>
  <si>
    <t>基準</t>
    <rPh sb="0" eb="2">
      <t>キジュン</t>
    </rPh>
    <phoneticPr fontId="3"/>
  </si>
  <si>
    <t>①改善</t>
    <rPh sb="1" eb="3">
      <t>カイゼン</t>
    </rPh>
    <phoneticPr fontId="3"/>
  </si>
  <si>
    <t>１．概要</t>
    <rPh sb="2" eb="4">
      <t>ガイヨウ</t>
    </rPh>
    <phoneticPr fontId="3"/>
  </si>
  <si>
    <t>寄与度がプラスの系列</t>
    <rPh sb="0" eb="3">
      <t>キヨド</t>
    </rPh>
    <rPh sb="8" eb="10">
      <t>ケイレツ</t>
    </rPh>
    <phoneticPr fontId="3"/>
  </si>
  <si>
    <t>寄与度がマイナスの系列</t>
    <rPh sb="0" eb="3">
      <t>キヨド</t>
    </rPh>
    <rPh sb="9" eb="11">
      <t>ケイレツ</t>
    </rPh>
    <phoneticPr fontId="3"/>
  </si>
  <si>
    <t>１</t>
  </si>
  <si>
    <t>前</t>
  </si>
  <si>
    <t>２</t>
  </si>
  <si>
    <t>３</t>
  </si>
  <si>
    <t>４</t>
  </si>
  <si>
    <t>５</t>
  </si>
  <si>
    <t>６</t>
  </si>
  <si>
    <t>７</t>
  </si>
  <si>
    <t>分野</t>
    <rPh sb="0" eb="2">
      <t>ブンヤ</t>
    </rPh>
    <phoneticPr fontId="3"/>
  </si>
  <si>
    <t>系列名</t>
    <rPh sb="0" eb="2">
      <t>ケイレツ</t>
    </rPh>
    <rPh sb="2" eb="3">
      <t>メイ</t>
    </rPh>
    <phoneticPr fontId="3"/>
  </si>
  <si>
    <t>先行系列</t>
    <rPh sb="0" eb="1">
      <t>サキ</t>
    </rPh>
    <phoneticPr fontId="3"/>
  </si>
  <si>
    <t>労働</t>
    <rPh sb="0" eb="2">
      <t>ロウドウ</t>
    </rPh>
    <phoneticPr fontId="3"/>
  </si>
  <si>
    <t>新規求人数
（学卒、パートを除く）</t>
    <rPh sb="0" eb="2">
      <t>シンキ</t>
    </rPh>
    <rPh sb="2" eb="5">
      <t>キュウジンスウ</t>
    </rPh>
    <rPh sb="7" eb="9">
      <t>ガクソツ</t>
    </rPh>
    <rPh sb="14" eb="15">
      <t>ノゾ</t>
    </rPh>
    <phoneticPr fontId="3"/>
  </si>
  <si>
    <t>生産</t>
    <rPh sb="0" eb="1">
      <t>ショウ</t>
    </rPh>
    <rPh sb="1" eb="2">
      <t>サン</t>
    </rPh>
    <phoneticPr fontId="3"/>
  </si>
  <si>
    <t>季</t>
    <rPh sb="0" eb="1">
      <t>キ</t>
    </rPh>
    <phoneticPr fontId="3"/>
  </si>
  <si>
    <t>新車新規登録台数
（軽自動車を含む）</t>
    <rPh sb="0" eb="2">
      <t>シンシャ</t>
    </rPh>
    <rPh sb="2" eb="4">
      <t>シンキ</t>
    </rPh>
    <rPh sb="4" eb="6">
      <t>トウロク</t>
    </rPh>
    <rPh sb="6" eb="8">
      <t>ダイスウ</t>
    </rPh>
    <rPh sb="10" eb="14">
      <t>ケイジドウシャ</t>
    </rPh>
    <rPh sb="15" eb="16">
      <t>フク</t>
    </rPh>
    <phoneticPr fontId="3"/>
  </si>
  <si>
    <t>新設住宅着工戸数
（全戸数）</t>
    <rPh sb="0" eb="2">
      <t>シンセツ</t>
    </rPh>
    <rPh sb="2" eb="4">
      <t>ジュウタク</t>
    </rPh>
    <rPh sb="4" eb="6">
      <t>チャッコウ</t>
    </rPh>
    <rPh sb="6" eb="8">
      <t>コスウ</t>
    </rPh>
    <rPh sb="10" eb="11">
      <t>ゼン</t>
    </rPh>
    <rPh sb="11" eb="13">
      <t>コスウ</t>
    </rPh>
    <phoneticPr fontId="3"/>
  </si>
  <si>
    <t>企業経営</t>
    <rPh sb="0" eb="2">
      <t>キギョウ</t>
    </rPh>
    <rPh sb="2" eb="4">
      <t>ケイエイ</t>
    </rPh>
    <phoneticPr fontId="3"/>
  </si>
  <si>
    <t>企業業況判断ＤＩ</t>
    <rPh sb="0" eb="2">
      <t>キギョウ</t>
    </rPh>
    <rPh sb="2" eb="4">
      <t>ギョウキョウ</t>
    </rPh>
    <rPh sb="4" eb="6">
      <t>ハンダン</t>
    </rPh>
    <phoneticPr fontId="3"/>
  </si>
  <si>
    <t>拡張系列数</t>
    <rPh sb="0" eb="1">
      <t>ヒロム</t>
    </rPh>
    <rPh sb="1" eb="2">
      <t>ハリ</t>
    </rPh>
    <rPh sb="2" eb="3">
      <t>ケイ</t>
    </rPh>
    <rPh sb="3" eb="4">
      <t>レツ</t>
    </rPh>
    <rPh sb="4" eb="5">
      <t>カズ</t>
    </rPh>
    <phoneticPr fontId="3"/>
  </si>
  <si>
    <t>採用系列数</t>
    <rPh sb="0" eb="1">
      <t>サイ</t>
    </rPh>
    <rPh sb="1" eb="2">
      <t>ヨウ</t>
    </rPh>
    <rPh sb="2" eb="3">
      <t>ケイ</t>
    </rPh>
    <rPh sb="3" eb="4">
      <t>レツ</t>
    </rPh>
    <rPh sb="4" eb="5">
      <t>カズ</t>
    </rPh>
    <phoneticPr fontId="3"/>
  </si>
  <si>
    <t>先行指数（ＤＩ）</t>
    <rPh sb="0" eb="1">
      <t>サキ</t>
    </rPh>
    <rPh sb="1" eb="2">
      <t>ギョウ</t>
    </rPh>
    <rPh sb="2" eb="3">
      <t>ユビ</t>
    </rPh>
    <rPh sb="3" eb="4">
      <t>カズ</t>
    </rPh>
    <phoneticPr fontId="3"/>
  </si>
  <si>
    <t>一致系列</t>
    <rPh sb="0" eb="1">
      <t>イチ</t>
    </rPh>
    <rPh sb="1" eb="2">
      <t>チ</t>
    </rPh>
    <phoneticPr fontId="3"/>
  </si>
  <si>
    <t>労働</t>
    <rPh sb="0" eb="1">
      <t>ロウ</t>
    </rPh>
    <rPh sb="1" eb="2">
      <t>ハタラキ</t>
    </rPh>
    <phoneticPr fontId="3"/>
  </si>
  <si>
    <t>有効求人倍率
（学卒、パートを除く）</t>
    <rPh sb="0" eb="2">
      <t>ユウコウ</t>
    </rPh>
    <rPh sb="2" eb="4">
      <t>キュウジン</t>
    </rPh>
    <rPh sb="4" eb="6">
      <t>バイリツ</t>
    </rPh>
    <rPh sb="8" eb="10">
      <t>ガクソツ</t>
    </rPh>
    <rPh sb="15" eb="16">
      <t>ノゾ</t>
    </rPh>
    <phoneticPr fontId="3"/>
  </si>
  <si>
    <t>季</t>
    <rPh sb="0" eb="1">
      <t>キセツ</t>
    </rPh>
    <phoneticPr fontId="3"/>
  </si>
  <si>
    <t>所定外労働時間
（全産業）</t>
    <rPh sb="0" eb="2">
      <t>ショテイ</t>
    </rPh>
    <rPh sb="2" eb="3">
      <t>ソト</t>
    </rPh>
    <rPh sb="3" eb="5">
      <t>ロウドウ</t>
    </rPh>
    <rPh sb="5" eb="7">
      <t>ジカン</t>
    </rPh>
    <rPh sb="9" eb="10">
      <t>ゼン</t>
    </rPh>
    <rPh sb="10" eb="12">
      <t>サンギョウ</t>
    </rPh>
    <phoneticPr fontId="3"/>
  </si>
  <si>
    <t>消費</t>
    <rPh sb="0" eb="2">
      <t>ショウヒ</t>
    </rPh>
    <phoneticPr fontId="3"/>
  </si>
  <si>
    <t>企業
経営</t>
    <rPh sb="0" eb="2">
      <t>キギョウ</t>
    </rPh>
    <rPh sb="3" eb="5">
      <t>ケイエイ</t>
    </rPh>
    <phoneticPr fontId="3"/>
  </si>
  <si>
    <t>季逆</t>
    <rPh sb="0" eb="1">
      <t>キ</t>
    </rPh>
    <rPh sb="1" eb="2">
      <t>ギャク</t>
    </rPh>
    <phoneticPr fontId="3"/>
  </si>
  <si>
    <t>一致指数（ＤＩ）</t>
    <rPh sb="0" eb="1">
      <t>イチ</t>
    </rPh>
    <rPh sb="1" eb="2">
      <t>イタス</t>
    </rPh>
    <rPh sb="2" eb="3">
      <t>ユビ</t>
    </rPh>
    <rPh sb="3" eb="4">
      <t>カズ</t>
    </rPh>
    <phoneticPr fontId="3"/>
  </si>
  <si>
    <t>遅行系列</t>
    <rPh sb="0" eb="1">
      <t>オク</t>
    </rPh>
    <phoneticPr fontId="3"/>
  </si>
  <si>
    <t>常用雇用指数
（全産業）</t>
    <rPh sb="0" eb="2">
      <t>ジョウヨウ</t>
    </rPh>
    <rPh sb="2" eb="4">
      <t>コヨウ</t>
    </rPh>
    <rPh sb="4" eb="6">
      <t>シスウ</t>
    </rPh>
    <rPh sb="8" eb="9">
      <t>ゼン</t>
    </rPh>
    <rPh sb="9" eb="11">
      <t>サンギョウ</t>
    </rPh>
    <phoneticPr fontId="3"/>
  </si>
  <si>
    <t>資本財生産指数</t>
    <rPh sb="0" eb="2">
      <t>シホン</t>
    </rPh>
    <rPh sb="2" eb="3">
      <t>ザイ</t>
    </rPh>
    <rPh sb="3" eb="5">
      <t>セイサン</t>
    </rPh>
    <rPh sb="5" eb="7">
      <t>シスウ</t>
    </rPh>
    <phoneticPr fontId="3"/>
  </si>
  <si>
    <t>物価</t>
    <rPh sb="0" eb="2">
      <t>ブッカ</t>
    </rPh>
    <phoneticPr fontId="3"/>
  </si>
  <si>
    <t>消費者物価指数
（盛岡市）</t>
    <rPh sb="0" eb="3">
      <t>ショウヒシャ</t>
    </rPh>
    <rPh sb="3" eb="5">
      <t>ブッカ</t>
    </rPh>
    <rPh sb="5" eb="7">
      <t>シスウ</t>
    </rPh>
    <rPh sb="9" eb="12">
      <t>モリオカシ</t>
    </rPh>
    <phoneticPr fontId="3"/>
  </si>
  <si>
    <t>遅行指数（ＤＩ）</t>
    <rPh sb="0" eb="1">
      <t>オソ</t>
    </rPh>
    <rPh sb="1" eb="2">
      <t>センコウ</t>
    </rPh>
    <rPh sb="2" eb="3">
      <t>ユビ</t>
    </rPh>
    <rPh sb="3" eb="4">
      <t>カズ</t>
    </rPh>
    <phoneticPr fontId="3"/>
  </si>
  <si>
    <t>季</t>
  </si>
  <si>
    <t>１　景気動向指数とは</t>
    <rPh sb="2" eb="4">
      <t>ケイキ</t>
    </rPh>
    <rPh sb="4" eb="6">
      <t>ドウコウ</t>
    </rPh>
    <rPh sb="6" eb="8">
      <t>シスウ</t>
    </rPh>
    <phoneticPr fontId="3"/>
  </si>
  <si>
    <t>･･･････････････････････････････</t>
    <phoneticPr fontId="3"/>
  </si>
  <si>
    <t>11．（参考）累積ＤＩグラフ</t>
    <rPh sb="4" eb="6">
      <t>サンコウ</t>
    </rPh>
    <rPh sb="7" eb="9">
      <t>ルイセキ</t>
    </rPh>
    <phoneticPr fontId="3"/>
  </si>
  <si>
    <t>･･･････････････････････････････</t>
    <phoneticPr fontId="3"/>
  </si>
  <si>
    <t>12．景気動向指数の利用の手引き</t>
    <rPh sb="3" eb="5">
      <t>ケイキ</t>
    </rPh>
    <rPh sb="5" eb="7">
      <t>ドウコウ</t>
    </rPh>
    <rPh sb="7" eb="9">
      <t>シスウ</t>
    </rPh>
    <rPh sb="10" eb="12">
      <t>リヨウ</t>
    </rPh>
    <rPh sb="13" eb="15">
      <t>テビ</t>
    </rPh>
    <phoneticPr fontId="3"/>
  </si>
  <si>
    <t>･･･････････････････････････････</t>
  </si>
  <si>
    <t>先行指数</t>
    <rPh sb="0" eb="2">
      <t>センコウ</t>
    </rPh>
    <rPh sb="2" eb="4">
      <t>シスウ</t>
    </rPh>
    <phoneticPr fontId="3"/>
  </si>
  <si>
    <t>一致指数</t>
    <rPh sb="0" eb="2">
      <t>イッチ</t>
    </rPh>
    <rPh sb="2" eb="4">
      <t>シスウ</t>
    </rPh>
    <phoneticPr fontId="3"/>
  </si>
  <si>
    <t>遅行指数</t>
    <rPh sb="0" eb="2">
      <t>チコウ</t>
    </rPh>
    <rPh sb="2" eb="4">
      <t>シスウ</t>
    </rPh>
    <phoneticPr fontId="3"/>
  </si>
  <si>
    <t>１月</t>
    <rPh sb="1" eb="2">
      <t>ガツ</t>
    </rPh>
    <phoneticPr fontId="3"/>
  </si>
  <si>
    <t>２月</t>
    <rPh sb="1" eb="2">
      <t>ガツ</t>
    </rPh>
    <phoneticPr fontId="3"/>
  </si>
  <si>
    <t>３月</t>
    <rPh sb="1" eb="2">
      <t>ガツ</t>
    </rPh>
    <phoneticPr fontId="3"/>
  </si>
  <si>
    <t>乗用車＋トラック＋バス</t>
    <rPh sb="0" eb="3">
      <t>ジョウヨウシャ</t>
    </rPh>
    <phoneticPr fontId="3"/>
  </si>
  <si>
    <t>目盛</t>
    <rPh sb="0" eb="2">
      <t>メモリ</t>
    </rPh>
    <phoneticPr fontId="3"/>
  </si>
  <si>
    <t>・・・　初期登録（入力）　・・・</t>
    <rPh sb="4" eb="6">
      <t>ショキ</t>
    </rPh>
    <rPh sb="6" eb="8">
      <t>トウロク</t>
    </rPh>
    <rPh sb="9" eb="11">
      <t>ニュウリョク</t>
    </rPh>
    <phoneticPr fontId="3"/>
  </si>
  <si>
    <t>景気動向指数</t>
    <rPh sb="0" eb="2">
      <t>ケイキ</t>
    </rPh>
    <rPh sb="2" eb="4">
      <t>ドウコウ</t>
    </rPh>
    <rPh sb="4" eb="6">
      <t>シスウ</t>
    </rPh>
    <phoneticPr fontId="3"/>
  </si>
  <si>
    <t>データ公表日</t>
    <rPh sb="3" eb="5">
      <t>コウヒョウ</t>
    </rPh>
    <rPh sb="5" eb="6">
      <t>ヒ</t>
    </rPh>
    <phoneticPr fontId="3"/>
  </si>
  <si>
    <t xml:space="preserve">年 </t>
    <rPh sb="0" eb="1">
      <t>ネン</t>
    </rPh>
    <phoneticPr fontId="3"/>
  </si>
  <si>
    <t>日</t>
    <rPh sb="0" eb="1">
      <t>ニチ</t>
    </rPh>
    <phoneticPr fontId="3"/>
  </si>
  <si>
    <t>最新データ該当月　　</t>
    <rPh sb="0" eb="2">
      <t>サイシン</t>
    </rPh>
    <rPh sb="5" eb="7">
      <t>ガイトウ</t>
    </rPh>
    <rPh sb="7" eb="8">
      <t>ツキ</t>
    </rPh>
    <phoneticPr fontId="3"/>
  </si>
  <si>
    <t>更新：</t>
    <rPh sb="0" eb="2">
      <t>コウシン</t>
    </rPh>
    <phoneticPr fontId="3"/>
  </si>
  <si>
    <t>転送：</t>
    <rPh sb="0" eb="2">
      <t>テンソウ</t>
    </rPh>
    <phoneticPr fontId="3"/>
  </si>
  <si>
    <t>先行指数</t>
  </si>
  <si>
    <t>一致指数</t>
  </si>
  <si>
    <t>遅行指数</t>
  </si>
  <si>
    <t>年月</t>
    <rPh sb="0" eb="1">
      <t>トシ</t>
    </rPh>
    <phoneticPr fontId="3"/>
  </si>
  <si>
    <t>ＣＤＩ</t>
    <phoneticPr fontId="3"/>
  </si>
  <si>
    <t>累積ＤＩ</t>
    <phoneticPr fontId="3"/>
  </si>
  <si>
    <t>目盛り</t>
    <rPh sb="0" eb="2">
      <t>メモ</t>
    </rPh>
    <phoneticPr fontId="3"/>
  </si>
  <si>
    <t>網かけ</t>
    <rPh sb="0" eb="1">
      <t>アミ</t>
    </rPh>
    <phoneticPr fontId="3"/>
  </si>
  <si>
    <t>CDI</t>
    <phoneticPr fontId="3"/>
  </si>
  <si>
    <t>累積</t>
    <rPh sb="0" eb="2">
      <t>ルイセキ</t>
    </rPh>
    <phoneticPr fontId="3"/>
  </si>
  <si>
    <t>今月は ⇒</t>
    <rPh sb="0" eb="2">
      <t>コンゲツ</t>
    </rPh>
    <phoneticPr fontId="3"/>
  </si>
  <si>
    <t>４月</t>
    <rPh sb="1" eb="2">
      <t>ガツ</t>
    </rPh>
    <phoneticPr fontId="3"/>
  </si>
  <si>
    <t>３か月後方移動平均</t>
    <rPh sb="2" eb="3">
      <t>ゲツ</t>
    </rPh>
    <rPh sb="3" eb="5">
      <t>コウホウ</t>
    </rPh>
    <rPh sb="5" eb="7">
      <t>イドウ</t>
    </rPh>
    <rPh sb="7" eb="9">
      <t>ヘイキン</t>
    </rPh>
    <phoneticPr fontId="16"/>
  </si>
  <si>
    <t>７か月後方移動平均</t>
    <rPh sb="2" eb="3">
      <t>ゲツ</t>
    </rPh>
    <rPh sb="3" eb="5">
      <t>コウホウ</t>
    </rPh>
    <rPh sb="5" eb="7">
      <t>イドウ</t>
    </rPh>
    <rPh sb="7" eb="9">
      <t>ヘイキン</t>
    </rPh>
    <phoneticPr fontId="16"/>
  </si>
  <si>
    <t>先行指数</t>
    <rPh sb="0" eb="2">
      <t>センコウ</t>
    </rPh>
    <rPh sb="2" eb="4">
      <t>シスウ</t>
    </rPh>
    <phoneticPr fontId="16"/>
  </si>
  <si>
    <t>一致指数</t>
    <rPh sb="0" eb="2">
      <t>イッチ</t>
    </rPh>
    <rPh sb="2" eb="4">
      <t>シスウ</t>
    </rPh>
    <phoneticPr fontId="16"/>
  </si>
  <si>
    <t>遅行指数</t>
    <rPh sb="0" eb="2">
      <t>チコウ</t>
    </rPh>
    <rPh sb="2" eb="4">
      <t>シスウ</t>
    </rPh>
    <phoneticPr fontId="16"/>
  </si>
  <si>
    <t>(ポイント)</t>
    <phoneticPr fontId="3"/>
  </si>
  <si>
    <t>推移</t>
    <rPh sb="0" eb="1">
      <t>スイ</t>
    </rPh>
    <rPh sb="1" eb="2">
      <t>ウツリ</t>
    </rPh>
    <phoneticPr fontId="16"/>
  </si>
  <si>
    <t>Ｃ．Ｉ．指数　前月差</t>
    <rPh sb="4" eb="6">
      <t>シスウ</t>
    </rPh>
    <rPh sb="7" eb="9">
      <t>ゼンゲツ</t>
    </rPh>
    <rPh sb="9" eb="10">
      <t>サ</t>
    </rPh>
    <phoneticPr fontId="3"/>
  </si>
  <si>
    <t>３か月後方移動平均　前月差</t>
    <rPh sb="2" eb="3">
      <t>ゲツ</t>
    </rPh>
    <rPh sb="3" eb="5">
      <t>コウホウ</t>
    </rPh>
    <rPh sb="5" eb="7">
      <t>イドウ</t>
    </rPh>
    <rPh sb="7" eb="9">
      <t>ヘイキン</t>
    </rPh>
    <rPh sb="10" eb="12">
      <t>ゼンゲツ</t>
    </rPh>
    <rPh sb="12" eb="13">
      <t>サ</t>
    </rPh>
    <phoneticPr fontId="3"/>
  </si>
  <si>
    <t>７か月後方移動平均　前月差</t>
    <rPh sb="2" eb="3">
      <t>ゲツ</t>
    </rPh>
    <rPh sb="3" eb="5">
      <t>コウホウ</t>
    </rPh>
    <rPh sb="5" eb="7">
      <t>イドウ</t>
    </rPh>
    <rPh sb="7" eb="9">
      <t>ヘイキン</t>
    </rPh>
    <rPh sb="10" eb="12">
      <t>ゼンゲツ</t>
    </rPh>
    <rPh sb="12" eb="13">
      <t>サ</t>
    </rPh>
    <phoneticPr fontId="3"/>
  </si>
  <si>
    <t>C1 有効求人倍率</t>
    <rPh sb="3" eb="5">
      <t>ユウコウ</t>
    </rPh>
    <rPh sb="5" eb="7">
      <t>キュウジン</t>
    </rPh>
    <rPh sb="7" eb="9">
      <t>バイリツ</t>
    </rPh>
    <phoneticPr fontId="3"/>
  </si>
  <si>
    <t>７．個別系列の数値</t>
    <rPh sb="2" eb="4">
      <t>コベツ</t>
    </rPh>
    <rPh sb="4" eb="6">
      <t>ケイレツ</t>
    </rPh>
    <rPh sb="7" eb="9">
      <t>スウチ</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</si>
  <si>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</si>
  <si>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</si>
  <si>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</si>
  <si>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</si>
  <si>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</si>
  <si>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</si>
  <si>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 xml:space="preserve">     過半数の系列が</t>
    <rPh sb="5" eb="8">
      <t>カハンスウ</t>
    </rPh>
    <rPh sb="9" eb="11">
      <t>ケイレツ</t>
    </rPh>
    <phoneticPr fontId="3"/>
  </si>
  <si>
    <t>（全国）</t>
    <rPh sb="1" eb="2">
      <t>ゼン</t>
    </rPh>
    <rPh sb="2" eb="3">
      <t>コク</t>
    </rPh>
    <phoneticPr fontId="3"/>
  </si>
  <si>
    <t>L6</t>
    <phoneticPr fontId="3"/>
  </si>
  <si>
    <t>(注)</t>
    <rPh sb="1" eb="2">
      <t>チュウ</t>
    </rPh>
    <phoneticPr fontId="3"/>
  </si>
  <si>
    <t>累積ＤＩ（先行に2,000、
遅行に-500を加算）</t>
    <rPh sb="5" eb="7">
      <t>センコウ</t>
    </rPh>
    <rPh sb="15" eb="17">
      <t>チコウ</t>
    </rPh>
    <rPh sb="23" eb="25">
      <t>カサン</t>
    </rPh>
    <phoneticPr fontId="3"/>
  </si>
  <si>
    <t>今月</t>
    <rPh sb="0" eb="2">
      <t>コンゲツ</t>
    </rPh>
    <phoneticPr fontId="3"/>
  </si>
  <si>
    <t>１か月前</t>
    <rPh sb="2" eb="4">
      <t>ゲツマエ</t>
    </rPh>
    <phoneticPr fontId="3"/>
  </si>
  <si>
    <t>２か月前</t>
    <rPh sb="2" eb="4">
      <t>ゲツマエ</t>
    </rPh>
    <phoneticPr fontId="3"/>
  </si>
  <si>
    <t>３か月前</t>
    <rPh sb="2" eb="3">
      <t>ゲツ</t>
    </rPh>
    <rPh sb="3" eb="4">
      <t>マエ</t>
    </rPh>
    <phoneticPr fontId="3"/>
  </si>
  <si>
    <t>４か月前</t>
    <rPh sb="2" eb="3">
      <t>ゲツ</t>
    </rPh>
    <rPh sb="3" eb="4">
      <t>マエ</t>
    </rPh>
    <phoneticPr fontId="3"/>
  </si>
  <si>
    <t>５か月前</t>
    <rPh sb="2" eb="3">
      <t>ゲツ</t>
    </rPh>
    <rPh sb="3" eb="4">
      <t>マエ</t>
    </rPh>
    <phoneticPr fontId="3"/>
  </si>
  <si>
    <t>L1 新規求人数</t>
    <rPh sb="3" eb="5">
      <t>シンキ</t>
    </rPh>
    <rPh sb="5" eb="8">
      <t>キュウジンスウ</t>
    </rPh>
    <phoneticPr fontId="3"/>
  </si>
  <si>
    <t>L4 新車新規登録台数</t>
    <rPh sb="3" eb="5">
      <t>シンシャ</t>
    </rPh>
    <rPh sb="5" eb="7">
      <t>シンキ</t>
    </rPh>
    <rPh sb="7" eb="9">
      <t>トウロク</t>
    </rPh>
    <rPh sb="9" eb="11">
      <t>ダイスウ</t>
    </rPh>
    <phoneticPr fontId="3"/>
  </si>
  <si>
    <t>L5 新設住宅着工戸数</t>
    <rPh sb="3" eb="5">
      <t>シンセツ</t>
    </rPh>
    <rPh sb="5" eb="7">
      <t>ジュウタク</t>
    </rPh>
    <rPh sb="7" eb="9">
      <t>チャッコウ</t>
    </rPh>
    <rPh sb="9" eb="11">
      <t>コスウ</t>
    </rPh>
    <phoneticPr fontId="3"/>
  </si>
  <si>
    <t>（注）</t>
    <phoneticPr fontId="3"/>
  </si>
  <si>
    <t>②足踏み</t>
    <rPh sb="1" eb="2">
      <t>アシ</t>
    </rPh>
    <rPh sb="2" eb="3">
      <t>ブ</t>
    </rPh>
    <phoneticPr fontId="3"/>
  </si>
  <si>
    <t>④悪化</t>
    <rPh sb="1" eb="3">
      <t>アッカ</t>
    </rPh>
    <phoneticPr fontId="3"/>
  </si>
  <si>
    <t>景気後退の可能性が高いことを示す。</t>
    <rPh sb="0" eb="2">
      <t>ケイキ</t>
    </rPh>
    <rPh sb="2" eb="4">
      <t>コウタイ</t>
    </rPh>
    <rPh sb="5" eb="8">
      <t>カノウセイ</t>
    </rPh>
    <rPh sb="9" eb="10">
      <t>タカ</t>
    </rPh>
    <rPh sb="14" eb="15">
      <t>シメ</t>
    </rPh>
    <phoneticPr fontId="3"/>
  </si>
  <si>
    <t>⑤下げ止まり</t>
    <rPh sb="1" eb="2">
      <t>サ</t>
    </rPh>
    <rPh sb="3" eb="4">
      <t>ド</t>
    </rPh>
    <phoneticPr fontId="3"/>
  </si>
  <si>
    <t>景気拡張の可能性が高いことを示す。</t>
    <rPh sb="0" eb="2">
      <t>ケイキ</t>
    </rPh>
    <rPh sb="2" eb="4">
      <t>カクチョウ</t>
    </rPh>
    <rPh sb="5" eb="8">
      <t>カノウセイ</t>
    </rPh>
    <rPh sb="9" eb="10">
      <t>タカ</t>
    </rPh>
    <rPh sb="14" eb="15">
      <t>シメ</t>
    </rPh>
    <phoneticPr fontId="3"/>
  </si>
  <si>
    <t>前月差</t>
    <rPh sb="0" eb="3">
      <t>ゼンゲツサ</t>
    </rPh>
    <phoneticPr fontId="16"/>
  </si>
  <si>
    <t>前月差</t>
    <rPh sb="0" eb="2">
      <t>ゼンゲツ</t>
    </rPh>
    <rPh sb="2" eb="3">
      <t>サ</t>
    </rPh>
    <phoneticPr fontId="16"/>
  </si>
  <si>
    <t>基準時点の設定
（2005年の平均）</t>
    <rPh sb="0" eb="2">
      <t>キジュン</t>
    </rPh>
    <rPh sb="2" eb="4">
      <t>ジテン</t>
    </rPh>
    <rPh sb="5" eb="7">
      <t>セッテイ</t>
    </rPh>
    <rPh sb="13" eb="14">
      <t>ネン</t>
    </rPh>
    <rPh sb="15" eb="17">
      <t>ヘイキン</t>
    </rPh>
    <phoneticPr fontId="3"/>
  </si>
  <si>
    <t>○</t>
    <phoneticPr fontId="3"/>
  </si>
  <si>
    <t>(ポイント)</t>
    <phoneticPr fontId="3"/>
  </si>
  <si>
    <t>いわての統計情報イーハトーブ・データ館</t>
    <phoneticPr fontId="3"/>
  </si>
  <si>
    <t>１．概要　</t>
    <phoneticPr fontId="3"/>
  </si>
  <si>
    <t>･･･････････････････････････････</t>
    <phoneticPr fontId="3"/>
  </si>
  <si>
    <t>･･･････････････････････････････</t>
    <phoneticPr fontId="3"/>
  </si>
  <si>
    <t>･･･････････････････････････････</t>
    <phoneticPr fontId="3"/>
  </si>
  <si>
    <t>･･･････････････････････････････</t>
    <phoneticPr fontId="3"/>
  </si>
  <si>
    <t>･･･････････････････････････････</t>
    <phoneticPr fontId="3"/>
  </si>
  <si>
    <t>･･･････････････････････････････</t>
    <phoneticPr fontId="3"/>
  </si>
  <si>
    <t>14．個別系列の概要</t>
    <phoneticPr fontId="3"/>
  </si>
  <si>
    <t>先行系列</t>
    <phoneticPr fontId="3"/>
  </si>
  <si>
    <t>一致系列</t>
    <phoneticPr fontId="3"/>
  </si>
  <si>
    <t>遅行系列</t>
    <phoneticPr fontId="3"/>
  </si>
  <si>
    <t>(逆サイクル)</t>
    <phoneticPr fontId="3"/>
  </si>
  <si>
    <t>S63</t>
    <phoneticPr fontId="3"/>
  </si>
  <si>
    <t>H1</t>
    <phoneticPr fontId="3"/>
  </si>
  <si>
    <t>H2</t>
    <phoneticPr fontId="3"/>
  </si>
  <si>
    <t>H3</t>
    <phoneticPr fontId="3"/>
  </si>
  <si>
    <t>H4</t>
    <phoneticPr fontId="3"/>
  </si>
  <si>
    <t>H5</t>
    <phoneticPr fontId="3"/>
  </si>
  <si>
    <t>H6</t>
    <phoneticPr fontId="3"/>
  </si>
  <si>
    <t>H7</t>
    <phoneticPr fontId="3"/>
  </si>
  <si>
    <t>H8</t>
    <phoneticPr fontId="3"/>
  </si>
  <si>
    <t>H9</t>
    <phoneticPr fontId="3"/>
  </si>
  <si>
    <t>H10</t>
    <phoneticPr fontId="3"/>
  </si>
  <si>
    <t>H11</t>
    <phoneticPr fontId="3"/>
  </si>
  <si>
    <t>H12</t>
    <phoneticPr fontId="3"/>
  </si>
  <si>
    <t>H13</t>
    <phoneticPr fontId="3"/>
  </si>
  <si>
    <t>H14</t>
    <phoneticPr fontId="3"/>
  </si>
  <si>
    <t>H15</t>
    <phoneticPr fontId="3"/>
  </si>
  <si>
    <t>H16</t>
    <phoneticPr fontId="3"/>
  </si>
  <si>
    <t>H17</t>
    <phoneticPr fontId="3"/>
  </si>
  <si>
    <t>H18</t>
    <phoneticPr fontId="3"/>
  </si>
  <si>
    <t>H19</t>
    <phoneticPr fontId="3"/>
  </si>
  <si>
    <t>H20</t>
    <phoneticPr fontId="3"/>
  </si>
  <si>
    <t>H21</t>
    <phoneticPr fontId="3"/>
  </si>
  <si>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3"/>
  </si>
  <si>
    <t>H5</t>
    <phoneticPr fontId="3"/>
  </si>
  <si>
    <t>H6</t>
    <phoneticPr fontId="3"/>
  </si>
  <si>
    <t>H7</t>
    <phoneticPr fontId="3"/>
  </si>
  <si>
    <t>H8</t>
    <phoneticPr fontId="3"/>
  </si>
  <si>
    <t>H9</t>
    <phoneticPr fontId="3"/>
  </si>
  <si>
    <t>H10</t>
    <phoneticPr fontId="3"/>
  </si>
  <si>
    <t>H11</t>
    <phoneticPr fontId="3"/>
  </si>
  <si>
    <t>H12</t>
    <phoneticPr fontId="3"/>
  </si>
  <si>
    <t>H13</t>
    <phoneticPr fontId="3"/>
  </si>
  <si>
    <t>H14</t>
    <phoneticPr fontId="3"/>
  </si>
  <si>
    <t>H15</t>
    <phoneticPr fontId="3"/>
  </si>
  <si>
    <t>H16</t>
    <phoneticPr fontId="3"/>
  </si>
  <si>
    <t>H17</t>
    <phoneticPr fontId="3"/>
  </si>
  <si>
    <t>H18</t>
    <phoneticPr fontId="3"/>
  </si>
  <si>
    <t>H19</t>
    <phoneticPr fontId="3"/>
  </si>
  <si>
    <t>H20</t>
    <phoneticPr fontId="3"/>
  </si>
  <si>
    <t>H21</t>
    <phoneticPr fontId="3"/>
  </si>
  <si>
    <t>H22</t>
    <phoneticPr fontId="3"/>
  </si>
  <si>
    <t>（注）</t>
    <rPh sb="1" eb="2">
      <t>チュウ</t>
    </rPh>
    <phoneticPr fontId="3"/>
  </si>
  <si>
    <t>H22</t>
    <phoneticPr fontId="3"/>
  </si>
  <si>
    <t>一致
トレンド成分</t>
    <rPh sb="0" eb="2">
      <t>イッチ</t>
    </rPh>
    <rPh sb="7" eb="9">
      <t>セイブン</t>
    </rPh>
    <phoneticPr fontId="3"/>
  </si>
  <si>
    <t>（注）網かけ部分は景気後退期を示す。</t>
    <rPh sb="1" eb="2">
      <t>チュウ</t>
    </rPh>
    <rPh sb="3" eb="4">
      <t>アミ</t>
    </rPh>
    <rPh sb="6" eb="8">
      <t>ブブン</t>
    </rPh>
    <rPh sb="9" eb="11">
      <t>ケイキ</t>
    </rPh>
    <rPh sb="11" eb="14">
      <t>コウタイキ</t>
    </rPh>
    <rPh sb="15" eb="16">
      <t>シメ</t>
    </rPh>
    <phoneticPr fontId="3"/>
  </si>
  <si>
    <t>２月</t>
    <phoneticPr fontId="3"/>
  </si>
  <si>
    <t>３月</t>
    <phoneticPr fontId="3"/>
  </si>
  <si>
    <t>４月</t>
    <phoneticPr fontId="3"/>
  </si>
  <si>
    <t>５月</t>
    <phoneticPr fontId="3"/>
  </si>
  <si>
    <t>６月</t>
    <phoneticPr fontId="3"/>
  </si>
  <si>
    <t>７月</t>
    <phoneticPr fontId="3"/>
  </si>
  <si>
    <t>８月</t>
    <phoneticPr fontId="3"/>
  </si>
  <si>
    <t>９月</t>
    <phoneticPr fontId="3"/>
  </si>
  <si>
    <t>L1</t>
    <phoneticPr fontId="3"/>
  </si>
  <si>
    <t>（％）</t>
    <phoneticPr fontId="16"/>
  </si>
  <si>
    <t>（台）</t>
    <phoneticPr fontId="16"/>
  </si>
  <si>
    <t>（戸）</t>
    <phoneticPr fontId="16"/>
  </si>
  <si>
    <r>
      <t xml:space="preserve">新設住宅
着工戸数
</t>
    </r>
    <r>
      <rPr>
        <sz val="9"/>
        <rFont val="HGSｺﾞｼｯｸM"/>
        <family val="3"/>
        <charset val="128"/>
      </rPr>
      <t>(全戸数)</t>
    </r>
    <rPh sb="5" eb="7">
      <t>チャッコウ</t>
    </rPh>
    <rPh sb="7" eb="9">
      <t>コスウ</t>
    </rPh>
    <phoneticPr fontId="16"/>
  </si>
  <si>
    <r>
      <t xml:space="preserve">新車新規
登録台数
</t>
    </r>
    <r>
      <rPr>
        <sz val="7"/>
        <rFont val="HGSｺﾞｼｯｸM"/>
        <family val="3"/>
        <charset val="128"/>
      </rPr>
      <t>(軽自動車を含む)</t>
    </r>
    <rPh sb="5" eb="7">
      <t>トウロク</t>
    </rPh>
    <rPh sb="7" eb="9">
      <t>ダイスウ</t>
    </rPh>
    <phoneticPr fontId="16"/>
  </si>
  <si>
    <t>C1</t>
    <phoneticPr fontId="3"/>
  </si>
  <si>
    <t>（倍）</t>
    <phoneticPr fontId="16"/>
  </si>
  <si>
    <t>（％）</t>
    <phoneticPr fontId="16"/>
  </si>
  <si>
    <t>　縮小傾向（ＤＩ≦ 50％）</t>
    <rPh sb="1" eb="3">
      <t>シュクショウ</t>
    </rPh>
    <rPh sb="3" eb="5">
      <t>ケイコウ</t>
    </rPh>
    <phoneticPr fontId="3"/>
  </si>
  <si>
    <t xml:space="preserve">     拡大傾向（ＤＩ≧ 50％）</t>
    <rPh sb="5" eb="7">
      <t>カクダイ</t>
    </rPh>
    <rPh sb="7" eb="9">
      <t>ケイコウ</t>
    </rPh>
    <phoneticPr fontId="3"/>
  </si>
  <si>
    <t>　 クス）と、主として景気変動の方向や景気転換点（景気の山・谷）の判定に用いるＤＩ （ディフュージョン・イン</t>
    <phoneticPr fontId="3"/>
  </si>
  <si>
    <t>　 デックス）があります。</t>
    <phoneticPr fontId="3"/>
  </si>
  <si>
    <t>第14循環</t>
    <rPh sb="0" eb="1">
      <t>ダイ</t>
    </rPh>
    <rPh sb="3" eb="5">
      <t>ジュンカン</t>
    </rPh>
    <phoneticPr fontId="3"/>
  </si>
  <si>
    <t>全国と岩手県の景気基準日付</t>
    <rPh sb="9" eb="11">
      <t>キジュン</t>
    </rPh>
    <phoneticPr fontId="3"/>
  </si>
  <si>
    <t>法人事業税
・地方法人特別税調定額</t>
    <rPh sb="7" eb="9">
      <t>チホウ</t>
    </rPh>
    <rPh sb="9" eb="11">
      <t>ホウジン</t>
    </rPh>
    <rPh sb="11" eb="13">
      <t>トクベツ</t>
    </rPh>
    <rPh sb="13" eb="14">
      <t>ゼイ</t>
    </rPh>
    <phoneticPr fontId="16"/>
  </si>
  <si>
    <t>法人事業税・地方法人特別税調定額</t>
    <rPh sb="0" eb="2">
      <t>ホウジン</t>
    </rPh>
    <rPh sb="2" eb="4">
      <t>ジギョウ</t>
    </rPh>
    <rPh sb="4" eb="5">
      <t>ゼイ</t>
    </rPh>
    <rPh sb="6" eb="8">
      <t>チホウ</t>
    </rPh>
    <rPh sb="8" eb="10">
      <t>ホウジン</t>
    </rPh>
    <rPh sb="10" eb="12">
      <t>トクベツ</t>
    </rPh>
    <rPh sb="12" eb="13">
      <t>ゼイ</t>
    </rPh>
    <rPh sb="13" eb="14">
      <t>チョウテイ</t>
    </rPh>
    <rPh sb="14" eb="15">
      <t>テイジ</t>
    </rPh>
    <rPh sb="15" eb="16">
      <t>ガク</t>
    </rPh>
    <phoneticPr fontId="3"/>
  </si>
  <si>
    <t>法人事業税・地方法人特別税調定額</t>
    <rPh sb="6" eb="8">
      <t>チホウ</t>
    </rPh>
    <rPh sb="8" eb="10">
      <t>ホウジン</t>
    </rPh>
    <rPh sb="10" eb="12">
      <t>トクベツ</t>
    </rPh>
    <rPh sb="12" eb="13">
      <t>ゼイ</t>
    </rPh>
    <phoneticPr fontId="3"/>
  </si>
  <si>
    <t>岩手労働局
職業安定部</t>
    <rPh sb="0" eb="2">
      <t>イワテケン</t>
    </rPh>
    <rPh sb="2" eb="4">
      <t>ロウドウ</t>
    </rPh>
    <rPh sb="4" eb="5">
      <t>キョク</t>
    </rPh>
    <phoneticPr fontId="3"/>
  </si>
  <si>
    <t>東北経済産業局
調査課</t>
    <rPh sb="0" eb="2">
      <t>トウホク</t>
    </rPh>
    <rPh sb="2" eb="4">
      <t>ケイザイ</t>
    </rPh>
    <rPh sb="4" eb="6">
      <t>サンギョウ</t>
    </rPh>
    <rPh sb="6" eb="7">
      <t>キョク</t>
    </rPh>
    <phoneticPr fontId="3"/>
  </si>
  <si>
    <t>県税徴収状況調・地方法人特別税の調定額等に関する調</t>
    <rPh sb="0" eb="2">
      <t>ケンゼイ</t>
    </rPh>
    <rPh sb="2" eb="4">
      <t>チョウシュウ</t>
    </rPh>
    <rPh sb="4" eb="6">
      <t>ジョウキョウ</t>
    </rPh>
    <rPh sb="6" eb="7">
      <t>シラベ</t>
    </rPh>
    <rPh sb="8" eb="10">
      <t>チホウ</t>
    </rPh>
    <rPh sb="10" eb="12">
      <t>ホウジン</t>
    </rPh>
    <rPh sb="12" eb="14">
      <t>トクベツ</t>
    </rPh>
    <rPh sb="14" eb="15">
      <t>ゼイ</t>
    </rPh>
    <rPh sb="16" eb="17">
      <t>チョウ</t>
    </rPh>
    <rPh sb="17" eb="20">
      <t>テイガクナド</t>
    </rPh>
    <rPh sb="21" eb="22">
      <t>カン</t>
    </rPh>
    <rPh sb="24" eb="25">
      <t>チョウ</t>
    </rPh>
    <phoneticPr fontId="3"/>
  </si>
  <si>
    <t>ｒ：改訂値</t>
    <rPh sb="2" eb="4">
      <t>カイテイ</t>
    </rPh>
    <rPh sb="4" eb="5">
      <t>チ</t>
    </rPh>
    <phoneticPr fontId="3"/>
  </si>
  <si>
    <t>▽</t>
    <phoneticPr fontId="3"/>
  </si>
  <si>
    <t>33. 6</t>
    <phoneticPr fontId="3"/>
  </si>
  <si>
    <t>Ｓ26.10</t>
    <phoneticPr fontId="3"/>
  </si>
  <si>
    <t xml:space="preserve"> 29.11</t>
    <phoneticPr fontId="3"/>
  </si>
  <si>
    <t>46.12</t>
    <phoneticPr fontId="3"/>
  </si>
  <si>
    <t>50. 3</t>
    <phoneticPr fontId="3"/>
  </si>
  <si>
    <t>52.10</t>
    <phoneticPr fontId="3"/>
  </si>
  <si>
    <t>58. 2</t>
    <phoneticPr fontId="3"/>
  </si>
  <si>
    <t>61.11</t>
    <phoneticPr fontId="3"/>
  </si>
  <si>
    <t>Ｈ 5.10</t>
    <phoneticPr fontId="3"/>
  </si>
  <si>
    <t>11. 1</t>
    <phoneticPr fontId="3"/>
  </si>
  <si>
    <t>Ｓ26. 6</t>
    <phoneticPr fontId="3"/>
  </si>
  <si>
    <t>29. 1</t>
    <phoneticPr fontId="3"/>
  </si>
  <si>
    <t>32. 6</t>
    <phoneticPr fontId="3"/>
  </si>
  <si>
    <t>36.12</t>
    <phoneticPr fontId="3"/>
  </si>
  <si>
    <t>39.10</t>
    <phoneticPr fontId="3"/>
  </si>
  <si>
    <t>45. 7</t>
    <phoneticPr fontId="3"/>
  </si>
  <si>
    <t>48.11</t>
    <phoneticPr fontId="3"/>
  </si>
  <si>
    <t>52. 1</t>
    <phoneticPr fontId="3"/>
  </si>
  <si>
    <t>55. 2</t>
    <phoneticPr fontId="3"/>
  </si>
  <si>
    <t>60. 6</t>
    <phoneticPr fontId="3"/>
  </si>
  <si>
    <t>Ｈ 3. 2</t>
    <phoneticPr fontId="3"/>
  </si>
  <si>
    <t>9. 5</t>
    <phoneticPr fontId="3"/>
  </si>
  <si>
    <t>29.11</t>
    <phoneticPr fontId="3"/>
  </si>
  <si>
    <t>37.10</t>
    <phoneticPr fontId="3"/>
  </si>
  <si>
    <t>40.10</t>
    <phoneticPr fontId="3"/>
  </si>
  <si>
    <t>Ｓ38. 1</t>
    <phoneticPr fontId="3"/>
  </si>
  <si>
    <t>40. 9</t>
    <phoneticPr fontId="3"/>
  </si>
  <si>
    <t>46. 6</t>
    <phoneticPr fontId="3"/>
  </si>
  <si>
    <t>50. 8</t>
    <phoneticPr fontId="3"/>
  </si>
  <si>
    <t>57. 8</t>
    <phoneticPr fontId="3"/>
  </si>
  <si>
    <t>62. 2</t>
    <phoneticPr fontId="3"/>
  </si>
  <si>
    <t>11. 5</t>
    <phoneticPr fontId="3"/>
  </si>
  <si>
    <t>Ｓ37. 2</t>
    <phoneticPr fontId="3"/>
  </si>
  <si>
    <t>39. 9</t>
    <phoneticPr fontId="3"/>
  </si>
  <si>
    <t>45. 5</t>
    <phoneticPr fontId="3"/>
  </si>
  <si>
    <t>48. 9</t>
    <phoneticPr fontId="3"/>
  </si>
  <si>
    <t>52. 2</t>
    <phoneticPr fontId="3"/>
  </si>
  <si>
    <t>54.10</t>
    <phoneticPr fontId="3"/>
  </si>
  <si>
    <t>60.11</t>
    <phoneticPr fontId="3"/>
  </si>
  <si>
    <t>Ｈ 3. 6</t>
    <phoneticPr fontId="3"/>
  </si>
  <si>
    <t>9. 7</t>
    <phoneticPr fontId="3"/>
  </si>
  <si>
    <t>　　方向を合成した総合的な経済指標です。ＣＩと同様に、先行、一致、遅行の３つの指数があります。</t>
    <rPh sb="2" eb="3">
      <t>ホウ</t>
    </rPh>
    <phoneticPr fontId="3"/>
  </si>
  <si>
    <t>　　　ＤＩは、生産、雇用などの多くの経済指標の中から、景気の動きを敏感に反映する指標を選び、各指標の変化</t>
    <phoneticPr fontId="3"/>
  </si>
  <si>
    <t>　 て、景気の現状把握及び将来予測に用いるために作成する統合的な景気指標です。</t>
    <phoneticPr fontId="3"/>
  </si>
  <si>
    <t>　　 景気動向指数は、生産、雇用など様々な経済活動での重要かつ景気に敏感な指標の動きを統合することによっ</t>
    <rPh sb="3" eb="5">
      <t>ケイキ</t>
    </rPh>
    <rPh sb="5" eb="7">
      <t>ドウコウ</t>
    </rPh>
    <rPh sb="7" eb="9">
      <t>シスウ</t>
    </rPh>
    <rPh sb="11" eb="13">
      <t>セイサン</t>
    </rPh>
    <rPh sb="14" eb="16">
      <t>コヨウ</t>
    </rPh>
    <rPh sb="18" eb="20">
      <t>サマザマ</t>
    </rPh>
    <rPh sb="21" eb="23">
      <t>ケイザイ</t>
    </rPh>
    <rPh sb="23" eb="25">
      <t>カツドウ</t>
    </rPh>
    <rPh sb="27" eb="29">
      <t>ジュウヨウ</t>
    </rPh>
    <rPh sb="31" eb="33">
      <t>ケイキ</t>
    </rPh>
    <rPh sb="34" eb="36">
      <t>ビンカン</t>
    </rPh>
    <rPh sb="37" eb="39">
      <t>シヒョウ</t>
    </rPh>
    <rPh sb="40" eb="41">
      <t>ウゴ</t>
    </rPh>
    <rPh sb="43" eb="45">
      <t>トウゴウ</t>
    </rPh>
    <phoneticPr fontId="3"/>
  </si>
  <si>
    <t>季
逆</t>
    <rPh sb="2" eb="3">
      <t>ギャク</t>
    </rPh>
    <phoneticPr fontId="3"/>
  </si>
  <si>
    <t>雇用保険受給者実人員</t>
    <rPh sb="0" eb="2">
      <t>コヨウ</t>
    </rPh>
    <rPh sb="2" eb="4">
      <t>ホケン</t>
    </rPh>
    <rPh sb="4" eb="7">
      <t>ジュキュウシャ</t>
    </rPh>
    <rPh sb="7" eb="8">
      <t>ジツ</t>
    </rPh>
    <rPh sb="8" eb="10">
      <t>ジンイン</t>
    </rPh>
    <phoneticPr fontId="3"/>
  </si>
  <si>
    <t>企業倒産件数</t>
    <rPh sb="0" eb="2">
      <t>キギョウ</t>
    </rPh>
    <rPh sb="2" eb="4">
      <t>トウサン</t>
    </rPh>
    <rPh sb="4" eb="6">
      <t>ケンスウ</t>
    </rPh>
    <phoneticPr fontId="3"/>
  </si>
  <si>
    <t>倒産月報</t>
    <rPh sb="0" eb="2">
      <t>トウサン</t>
    </rPh>
    <rPh sb="2" eb="4">
      <t>ゲッポウ</t>
    </rPh>
    <phoneticPr fontId="3"/>
  </si>
  <si>
    <t>岩手県内企業倒産（負債総額1000万円以上・含内整理）</t>
    <rPh sb="0" eb="3">
      <t>イワテケン</t>
    </rPh>
    <rPh sb="3" eb="4">
      <t>ナイ</t>
    </rPh>
    <rPh sb="4" eb="6">
      <t>キギョウ</t>
    </rPh>
    <rPh sb="6" eb="8">
      <t>トウサン</t>
    </rPh>
    <rPh sb="9" eb="11">
      <t>フサイ</t>
    </rPh>
    <rPh sb="11" eb="13">
      <t>ソウガク</t>
    </rPh>
    <rPh sb="17" eb="19">
      <t>マンエン</t>
    </rPh>
    <rPh sb="19" eb="21">
      <t>イジョウ</t>
    </rPh>
    <rPh sb="22" eb="23">
      <t>フク</t>
    </rPh>
    <rPh sb="23" eb="24">
      <t>ナイ</t>
    </rPh>
    <rPh sb="24" eb="26">
      <t>セイリ</t>
    </rPh>
    <phoneticPr fontId="3"/>
  </si>
  <si>
    <t>原
逆</t>
    <rPh sb="0" eb="1">
      <t>ゲン</t>
    </rPh>
    <rPh sb="2" eb="3">
      <t>ギャク</t>
    </rPh>
    <phoneticPr fontId="3"/>
  </si>
  <si>
    <t>求職者給付（高年齢求職者給付金及び特例一時金を除く。）を受けた受給資格者数</t>
    <phoneticPr fontId="3"/>
  </si>
  <si>
    <t>原逆</t>
    <rPh sb="0" eb="1">
      <t>ゲン</t>
    </rPh>
    <rPh sb="1" eb="2">
      <t>ギャク</t>
    </rPh>
    <phoneticPr fontId="3"/>
  </si>
  <si>
    <t>原：原数値</t>
    <rPh sb="0" eb="1">
      <t>ゲン</t>
    </rPh>
    <rPh sb="2" eb="3">
      <t>ゲン</t>
    </rPh>
    <rPh sb="3" eb="5">
      <t>スウチ</t>
    </rPh>
    <phoneticPr fontId="3"/>
  </si>
  <si>
    <t>前</t>
    <rPh sb="0" eb="1">
      <t>マエ</t>
    </rPh>
    <phoneticPr fontId="3"/>
  </si>
  <si>
    <t>L6 企業倒産件数</t>
    <rPh sb="3" eb="5">
      <t>キギョウ</t>
    </rPh>
    <rPh sb="5" eb="7">
      <t>トウサン</t>
    </rPh>
    <rPh sb="7" eb="9">
      <t>ケンスウ</t>
    </rPh>
    <phoneticPr fontId="3"/>
  </si>
  <si>
    <t>　 （盛岡市）（前年同月比）</t>
    <rPh sb="8" eb="10">
      <t>ゼンネン</t>
    </rPh>
    <rPh sb="10" eb="12">
      <t>ドウゲツ</t>
    </rPh>
    <rPh sb="12" eb="13">
      <t>ヒ</t>
    </rPh>
    <phoneticPr fontId="3"/>
  </si>
  <si>
    <t>　　地方法人特別税調定額</t>
    <rPh sb="2" eb="4">
      <t>チホウ</t>
    </rPh>
    <rPh sb="4" eb="6">
      <t>ホウジン</t>
    </rPh>
    <rPh sb="6" eb="8">
      <t>トクベツ</t>
    </rPh>
    <rPh sb="8" eb="9">
      <t>ゼイ</t>
    </rPh>
    <rPh sb="9" eb="11">
      <t>チョウテイ</t>
    </rPh>
    <rPh sb="11" eb="12">
      <t>ガク</t>
    </rPh>
    <phoneticPr fontId="3"/>
  </si>
  <si>
    <t>（人）</t>
    <rPh sb="1" eb="2">
      <t>ヒト</t>
    </rPh>
    <phoneticPr fontId="16"/>
  </si>
  <si>
    <t>（件）</t>
    <rPh sb="1" eb="2">
      <t>ケン</t>
    </rPh>
    <phoneticPr fontId="16"/>
  </si>
  <si>
    <t>H23</t>
    <phoneticPr fontId="3"/>
  </si>
  <si>
    <t>法人事業税
・地方法人特別税調定額</t>
  </si>
  <si>
    <t>耐久消費財生産指数</t>
    <rPh sb="0" eb="2">
      <t>タイキュウ</t>
    </rPh>
    <rPh sb="2" eb="5">
      <t>ショウヒザイ</t>
    </rPh>
    <rPh sb="5" eb="7">
      <t>セイサン</t>
    </rPh>
    <rPh sb="7" eb="9">
      <t>シスウ</t>
    </rPh>
    <phoneticPr fontId="3"/>
  </si>
  <si>
    <t>季</t>
    <phoneticPr fontId="3"/>
  </si>
  <si>
    <t>投資財生産指数</t>
    <rPh sb="0" eb="3">
      <t>トウシザイ</t>
    </rPh>
    <phoneticPr fontId="3"/>
  </si>
  <si>
    <t>輸出入通関実績</t>
    <rPh sb="0" eb="2">
      <t>ユシュツ</t>
    </rPh>
    <rPh sb="2" eb="3">
      <t>ハイ</t>
    </rPh>
    <rPh sb="3" eb="5">
      <t>ツウカン</t>
    </rPh>
    <rPh sb="5" eb="7">
      <t>ジッセキ</t>
    </rPh>
    <phoneticPr fontId="3"/>
  </si>
  <si>
    <t>資本財生産指数</t>
    <rPh sb="0" eb="3">
      <t>シホンザイ</t>
    </rPh>
    <rPh sb="3" eb="5">
      <t>セイサン</t>
    </rPh>
    <phoneticPr fontId="3"/>
  </si>
  <si>
    <t>実質勤労者世帯消費支出
（盛岡市）</t>
    <rPh sb="0" eb="2">
      <t>ジッシツ</t>
    </rPh>
    <rPh sb="2" eb="5">
      <t>キンロウシャ</t>
    </rPh>
    <rPh sb="5" eb="7">
      <t>セタイ</t>
    </rPh>
    <rPh sb="7" eb="9">
      <t>ショウヒ</t>
    </rPh>
    <rPh sb="9" eb="11">
      <t>シシュツ</t>
    </rPh>
    <rPh sb="13" eb="16">
      <t>モリオカシ</t>
    </rPh>
    <phoneticPr fontId="3"/>
  </si>
  <si>
    <t>　（学卒、パートを除く）</t>
    <phoneticPr fontId="3"/>
  </si>
  <si>
    <t>L2 建設財生産指数</t>
    <rPh sb="3" eb="5">
      <t>ケンセツ</t>
    </rPh>
    <rPh sb="5" eb="6">
      <t>ザイ</t>
    </rPh>
    <rPh sb="6" eb="8">
      <t>セイサン</t>
    </rPh>
    <rPh sb="8" eb="10">
      <t>シスウ</t>
    </rPh>
    <phoneticPr fontId="3"/>
  </si>
  <si>
    <t>L3 耐久消費財生産指数</t>
    <rPh sb="3" eb="5">
      <t>タイキュウ</t>
    </rPh>
    <rPh sb="5" eb="8">
      <t>ショウヒザイ</t>
    </rPh>
    <rPh sb="8" eb="10">
      <t>セイサン</t>
    </rPh>
    <rPh sb="10" eb="12">
      <t>シスウ</t>
    </rPh>
    <phoneticPr fontId="3"/>
  </si>
  <si>
    <t>C2 雇用保険受給者実人員</t>
    <rPh sb="3" eb="5">
      <t>コヨウ</t>
    </rPh>
    <rPh sb="5" eb="7">
      <t>ホケン</t>
    </rPh>
    <rPh sb="7" eb="10">
      <t>ジュキュウシャ</t>
    </rPh>
    <rPh sb="10" eb="11">
      <t>ジツ</t>
    </rPh>
    <rPh sb="11" eb="13">
      <t>ジンイン</t>
    </rPh>
    <phoneticPr fontId="3"/>
  </si>
  <si>
    <t>C3 所定外労働時間数</t>
    <rPh sb="3" eb="5">
      <t>ショテイ</t>
    </rPh>
    <rPh sb="5" eb="6">
      <t>ガイ</t>
    </rPh>
    <rPh sb="6" eb="8">
      <t>ロウドウ</t>
    </rPh>
    <rPh sb="8" eb="10">
      <t>ジカン</t>
    </rPh>
    <rPh sb="10" eb="11">
      <t>スウ</t>
    </rPh>
    <phoneticPr fontId="3"/>
  </si>
  <si>
    <t xml:space="preserve">C4 投資財生産指数 </t>
    <rPh sb="3" eb="6">
      <t>トウシザイ</t>
    </rPh>
    <rPh sb="6" eb="8">
      <t>セイサン</t>
    </rPh>
    <rPh sb="8" eb="10">
      <t>シスウ</t>
    </rPh>
    <phoneticPr fontId="3"/>
  </si>
  <si>
    <t>（注）逆サイクルとは、指数の上昇、下降が景気の動きと反対になることをいう。「C2 雇用保険</t>
    <rPh sb="1" eb="2">
      <t>チュウ</t>
    </rPh>
    <rPh sb="3" eb="4">
      <t>ギャク</t>
    </rPh>
    <rPh sb="11" eb="13">
      <t>シスウ</t>
    </rPh>
    <rPh sb="14" eb="16">
      <t>ジョウショウ</t>
    </rPh>
    <rPh sb="17" eb="19">
      <t>カコウ</t>
    </rPh>
    <rPh sb="20" eb="22">
      <t>ケイキ</t>
    </rPh>
    <rPh sb="23" eb="24">
      <t>ウゴ</t>
    </rPh>
    <rPh sb="26" eb="28">
      <t>ハンタイ</t>
    </rPh>
    <phoneticPr fontId="3"/>
  </si>
  <si>
    <t>LG2 資本財生産指数</t>
    <rPh sb="4" eb="7">
      <t>シホンザイ</t>
    </rPh>
    <rPh sb="7" eb="9">
      <t>セイサン</t>
    </rPh>
    <rPh sb="9" eb="11">
      <t>シスウ</t>
    </rPh>
    <phoneticPr fontId="3"/>
  </si>
  <si>
    <r>
      <t xml:space="preserve">新規求人数
</t>
    </r>
    <r>
      <rPr>
        <sz val="8"/>
        <rFont val="HGSｺﾞｼｯｸM"/>
        <family val="3"/>
        <charset val="128"/>
      </rPr>
      <t>（学卒・パートを除く）</t>
    </r>
    <phoneticPr fontId="16"/>
  </si>
  <si>
    <t>耐久消費財
生産指数</t>
  </si>
  <si>
    <t>耐久消費財
生産指数</t>
    <rPh sb="0" eb="2">
      <t>タイキュウ</t>
    </rPh>
    <rPh sb="2" eb="5">
      <t>ショウヒザイ</t>
    </rPh>
    <phoneticPr fontId="3"/>
  </si>
  <si>
    <t>建設財
生産指数</t>
    <phoneticPr fontId="3"/>
  </si>
  <si>
    <t>投資財
生産指数</t>
  </si>
  <si>
    <t>投資財
生産指数</t>
    <rPh sb="0" eb="2">
      <t>トウシ</t>
    </rPh>
    <rPh sb="2" eb="3">
      <t>ザイ</t>
    </rPh>
    <rPh sb="4" eb="6">
      <t>セイサン</t>
    </rPh>
    <rPh sb="6" eb="8">
      <t>シスウ</t>
    </rPh>
    <phoneticPr fontId="16"/>
  </si>
  <si>
    <t>雇用保険受給者実人員</t>
  </si>
  <si>
    <t>（時間）</t>
  </si>
  <si>
    <t>（時間）</t>
    <phoneticPr fontId="16"/>
  </si>
  <si>
    <t>(100万円)</t>
  </si>
  <si>
    <t>(100万円)</t>
    <phoneticPr fontId="16"/>
  </si>
  <si>
    <t>資本財
生産指数</t>
    <rPh sb="0" eb="3">
      <t>シホンザイ</t>
    </rPh>
    <rPh sb="4" eb="6">
      <t>セイサン</t>
    </rPh>
    <rPh sb="6" eb="8">
      <t>シスウ</t>
    </rPh>
    <phoneticPr fontId="3"/>
  </si>
  <si>
    <t>実質勤労者世帯家計消費支出</t>
    <rPh sb="0" eb="2">
      <t>ジッシツ</t>
    </rPh>
    <rPh sb="2" eb="5">
      <t>キンロウシャ</t>
    </rPh>
    <rPh sb="5" eb="7">
      <t>セタイ</t>
    </rPh>
    <rPh sb="7" eb="9">
      <t>カケイ</t>
    </rPh>
    <rPh sb="9" eb="11">
      <t>ショウヒ</t>
    </rPh>
    <rPh sb="11" eb="13">
      <t>シシュツ</t>
    </rPh>
    <phoneticPr fontId="3"/>
  </si>
  <si>
    <t>投資財生産指数</t>
    <rPh sb="0" eb="2">
      <t>トウシ</t>
    </rPh>
    <phoneticPr fontId="3"/>
  </si>
  <si>
    <t>輸出入</t>
    <rPh sb="0" eb="2">
      <t>ユシュツ</t>
    </rPh>
    <rPh sb="2" eb="3">
      <t>ハイ</t>
    </rPh>
    <phoneticPr fontId="3"/>
  </si>
  <si>
    <t>鉱工業
生産指数</t>
    <rPh sb="4" eb="6">
      <t>セイサン</t>
    </rPh>
    <rPh sb="6" eb="8">
      <t>シスウ</t>
    </rPh>
    <phoneticPr fontId="16"/>
  </si>
  <si>
    <t>生産財
生産指数</t>
    <phoneticPr fontId="16"/>
  </si>
  <si>
    <t>C5 鉱工業生産指数</t>
    <rPh sb="3" eb="6">
      <t>コウコウギョウ</t>
    </rPh>
    <phoneticPr fontId="3"/>
  </si>
  <si>
    <t>C6 生産財生産指数</t>
    <rPh sb="3" eb="6">
      <t>セイサンザイ</t>
    </rPh>
    <phoneticPr fontId="3"/>
  </si>
  <si>
    <t>鉱工業生産指数</t>
    <rPh sb="0" eb="3">
      <t>コウコウギョウ</t>
    </rPh>
    <phoneticPr fontId="3"/>
  </si>
  <si>
    <t>鉱工業生産指数</t>
    <rPh sb="0" eb="3">
      <t>コウコウギョウ</t>
    </rPh>
    <rPh sb="3" eb="5">
      <t>セイサン</t>
    </rPh>
    <phoneticPr fontId="3"/>
  </si>
  <si>
    <t>生産財生産指数</t>
    <rPh sb="0" eb="3">
      <t>セイサンザイ</t>
    </rPh>
    <phoneticPr fontId="3"/>
  </si>
  <si>
    <t>人件費比率</t>
    <rPh sb="0" eb="2">
      <t>ジンケン</t>
    </rPh>
    <rPh sb="2" eb="3">
      <t>ヒ</t>
    </rPh>
    <rPh sb="3" eb="5">
      <t>ヒリツ</t>
    </rPh>
    <phoneticPr fontId="3"/>
  </si>
  <si>
    <t>LG5</t>
    <phoneticPr fontId="3"/>
  </si>
  <si>
    <t>LG6</t>
    <phoneticPr fontId="3"/>
  </si>
  <si>
    <t>LG4</t>
    <phoneticPr fontId="3"/>
  </si>
  <si>
    <t>LG7</t>
    <phoneticPr fontId="3"/>
  </si>
  <si>
    <t>（％）</t>
    <phoneticPr fontId="3"/>
  </si>
  <si>
    <t>(％)</t>
    <phoneticPr fontId="3"/>
  </si>
  <si>
    <t>LG6 消費者物価指数</t>
    <rPh sb="4" eb="7">
      <t>ショウヒシャ</t>
    </rPh>
    <rPh sb="7" eb="9">
      <t>ブッカ</t>
    </rPh>
    <rPh sb="9" eb="11">
      <t>シスウ</t>
    </rPh>
    <phoneticPr fontId="3"/>
  </si>
  <si>
    <t>LG7 法人事業税・</t>
    <rPh sb="4" eb="6">
      <t>ホウジン</t>
    </rPh>
    <rPh sb="6" eb="8">
      <t>ジギョウ</t>
    </rPh>
    <rPh sb="8" eb="9">
      <t>ゼイ</t>
    </rPh>
    <phoneticPr fontId="3"/>
  </si>
  <si>
    <t>　 （盛岡市）</t>
    <phoneticPr fontId="3"/>
  </si>
  <si>
    <t>　 （前年同月比）</t>
    <rPh sb="3" eb="5">
      <t>ゼンネン</t>
    </rPh>
    <rPh sb="5" eb="6">
      <t>オナ</t>
    </rPh>
    <rPh sb="6" eb="7">
      <t>ツキ</t>
    </rPh>
    <rPh sb="7" eb="8">
      <t>ヒ</t>
    </rPh>
    <phoneticPr fontId="3"/>
  </si>
  <si>
    <t>季
逆</t>
    <phoneticPr fontId="3"/>
  </si>
  <si>
    <t>常用雇用指数（製造業30人以上規模事業所）×名目賃金指数（製造業30人以上規模事業所）÷製造工業生産指数×国内企業物価指数（工業製品）×100</t>
    <rPh sb="0" eb="2">
      <t>ジョウヨウ</t>
    </rPh>
    <rPh sb="2" eb="4">
      <t>コヨウ</t>
    </rPh>
    <rPh sb="4" eb="6">
      <t>シスウ</t>
    </rPh>
    <rPh sb="7" eb="10">
      <t>セイゾウギョウ</t>
    </rPh>
    <rPh sb="12" eb="13">
      <t>ニン</t>
    </rPh>
    <rPh sb="13" eb="15">
      <t>イジョウ</t>
    </rPh>
    <rPh sb="15" eb="17">
      <t>キボ</t>
    </rPh>
    <rPh sb="17" eb="20">
      <t>ジギョウショ</t>
    </rPh>
    <rPh sb="22" eb="24">
      <t>メイモク</t>
    </rPh>
    <rPh sb="24" eb="26">
      <t>チンギン</t>
    </rPh>
    <rPh sb="34" eb="35">
      <t>ニン</t>
    </rPh>
    <rPh sb="35" eb="37">
      <t>イジョウ</t>
    </rPh>
    <rPh sb="37" eb="39">
      <t>キボ</t>
    </rPh>
    <rPh sb="39" eb="42">
      <t>ジギョウショ</t>
    </rPh>
    <phoneticPr fontId="3"/>
  </si>
  <si>
    <t>毎月勤労統計調査
地方調査結果</t>
    <rPh sb="13" eb="15">
      <t>ケッカ</t>
    </rPh>
    <phoneticPr fontId="3"/>
  </si>
  <si>
    <t>人件費比率</t>
    <phoneticPr fontId="3"/>
  </si>
  <si>
    <t>（製造業）</t>
    <phoneticPr fontId="3"/>
  </si>
  <si>
    <t>岩手県鉱工業生産指数</t>
    <phoneticPr fontId="3"/>
  </si>
  <si>
    <t>日本銀行調査統計局</t>
    <rPh sb="4" eb="6">
      <t>チョウサ</t>
    </rPh>
    <rPh sb="6" eb="9">
      <t>トウケイキョク</t>
    </rPh>
    <phoneticPr fontId="3"/>
  </si>
  <si>
    <t>企業物価指数</t>
    <rPh sb="0" eb="2">
      <t>キギョウ</t>
    </rPh>
    <rPh sb="2" eb="4">
      <t>ブッカ</t>
    </rPh>
    <rPh sb="4" eb="6">
      <t>シスウ</t>
    </rPh>
    <phoneticPr fontId="3"/>
  </si>
  <si>
    <t>季節調整法</t>
    <rPh sb="0" eb="2">
      <t>キセツ</t>
    </rPh>
    <rPh sb="2" eb="4">
      <t>チョウセイ</t>
    </rPh>
    <rPh sb="4" eb="5">
      <t>ホウ</t>
    </rPh>
    <phoneticPr fontId="3"/>
  </si>
  <si>
    <t>X-12-ARIMA</t>
    <phoneticPr fontId="3"/>
  </si>
  <si>
    <t>ー</t>
    <phoneticPr fontId="3"/>
  </si>
  <si>
    <t>前年同月比</t>
    <rPh sb="0" eb="2">
      <t>ゼンネン</t>
    </rPh>
    <rPh sb="2" eb="3">
      <t>オナ</t>
    </rPh>
    <rPh sb="3" eb="4">
      <t>ツキ</t>
    </rPh>
    <rPh sb="4" eb="5">
      <t>ヒ</t>
    </rPh>
    <phoneticPr fontId="3"/>
  </si>
  <si>
    <t>H24</t>
    <phoneticPr fontId="3"/>
  </si>
  <si>
    <t>家計調査</t>
    <rPh sb="0" eb="2">
      <t>カケイ</t>
    </rPh>
    <rPh sb="2" eb="4">
      <t>チョウサ</t>
    </rPh>
    <phoneticPr fontId="3"/>
  </si>
  <si>
    <t>盛岡市消費者物価指数</t>
    <rPh sb="0" eb="3">
      <t>モリオカシ</t>
    </rPh>
    <rPh sb="3" eb="6">
      <t>ショウヒシャ</t>
    </rPh>
    <rPh sb="6" eb="8">
      <t>ブッカ</t>
    </rPh>
    <rPh sb="8" eb="10">
      <t>シスウ</t>
    </rPh>
    <phoneticPr fontId="3"/>
  </si>
  <si>
    <t>盛岡市消費者物価指数</t>
    <rPh sb="0" eb="3">
      <t>モリオカシ</t>
    </rPh>
    <rPh sb="3" eb="6">
      <t>ショウヒシャ</t>
    </rPh>
    <phoneticPr fontId="3"/>
  </si>
  <si>
    <r>
      <t>消費者物価指数</t>
    </r>
    <r>
      <rPr>
        <sz val="9"/>
        <rFont val="HGSｺﾞｼｯｸM"/>
        <family val="3"/>
        <charset val="128"/>
      </rPr>
      <t xml:space="preserve">
（盛岡市）
</t>
    </r>
    <r>
      <rPr>
        <sz val="8"/>
        <rFont val="HGSｺﾞｼｯｸM"/>
        <family val="3"/>
        <charset val="128"/>
      </rPr>
      <t>（前年同月比）</t>
    </r>
    <phoneticPr fontId="16"/>
  </si>
  <si>
    <t>輸出入
通関実績</t>
    <rPh sb="0" eb="2">
      <t>ユシュツ</t>
    </rPh>
    <rPh sb="2" eb="3">
      <t>ハイ</t>
    </rPh>
    <rPh sb="4" eb="6">
      <t>ツウカン</t>
    </rPh>
    <rPh sb="6" eb="8">
      <t>ジッセキ</t>
    </rPh>
    <phoneticPr fontId="16"/>
  </si>
  <si>
    <r>
      <t xml:space="preserve">LG5 </t>
    </r>
    <r>
      <rPr>
        <sz val="9"/>
        <rFont val="HGSｺﾞｼｯｸM"/>
        <family val="3"/>
        <charset val="128"/>
      </rPr>
      <t>実質勤労者世帯家計消費支出</t>
    </r>
    <phoneticPr fontId="3"/>
  </si>
  <si>
    <t>　　　</t>
    <phoneticPr fontId="16"/>
  </si>
  <si>
    <t xml:space="preserve">         </t>
    <phoneticPr fontId="16"/>
  </si>
  <si>
    <t>ｒ：改訂値（季節調整の再計算を行ったことによる。）</t>
    <rPh sb="2" eb="4">
      <t>カイテイ</t>
    </rPh>
    <rPh sb="4" eb="5">
      <t>チ</t>
    </rPh>
    <phoneticPr fontId="3"/>
  </si>
  <si>
    <t>（１） 先行系列</t>
    <phoneticPr fontId="3"/>
  </si>
  <si>
    <t>（２） 一致系列</t>
    <phoneticPr fontId="3"/>
  </si>
  <si>
    <t>（３） 遅行系列</t>
    <phoneticPr fontId="3"/>
  </si>
  <si>
    <t>（１） 先行指数</t>
    <phoneticPr fontId="3"/>
  </si>
  <si>
    <t>（２） 一致指数</t>
    <phoneticPr fontId="3"/>
  </si>
  <si>
    <t>（３） 遅行指数</t>
    <phoneticPr fontId="3"/>
  </si>
  <si>
    <t>ｒ：改訂値</t>
    <phoneticPr fontId="3"/>
  </si>
  <si>
    <t>系列名</t>
    <phoneticPr fontId="3"/>
  </si>
  <si>
    <t>　　（前年同月比を除く）。したがって、既に他の報告書等で公表された数値とは異なる。</t>
    <phoneticPr fontId="3"/>
  </si>
  <si>
    <t>　　（前年同月比を除く）。したがって、既に他の報告書等で公表された数値とは異なる。</t>
    <phoneticPr fontId="3"/>
  </si>
  <si>
    <t>４．</t>
    <phoneticPr fontId="3"/>
  </si>
  <si>
    <t>１．</t>
    <phoneticPr fontId="3"/>
  </si>
  <si>
    <t>３</t>
    <phoneticPr fontId="3"/>
  </si>
  <si>
    <t>４</t>
    <phoneticPr fontId="3"/>
  </si>
  <si>
    <t>５</t>
    <phoneticPr fontId="3"/>
  </si>
  <si>
    <t>６</t>
    <phoneticPr fontId="3"/>
  </si>
  <si>
    <t>７</t>
    <phoneticPr fontId="3"/>
  </si>
  <si>
    <t>２</t>
    <phoneticPr fontId="3"/>
  </si>
  <si>
    <t>５</t>
    <phoneticPr fontId="3"/>
  </si>
  <si>
    <t>６</t>
    <phoneticPr fontId="3"/>
  </si>
  <si>
    <t>生産</t>
    <phoneticPr fontId="3"/>
  </si>
  <si>
    <t>建設財生産指数</t>
    <phoneticPr fontId="3"/>
  </si>
  <si>
    <t>４　景気基準日付</t>
    <phoneticPr fontId="3"/>
  </si>
  <si>
    <t>（注）逆サイクルとは、指数の上昇、下降が景気の動きと反対になることをいう。「L6 企業倒産</t>
    <rPh sb="1" eb="2">
      <t>チュウ</t>
    </rPh>
    <rPh sb="3" eb="4">
      <t>ギャク</t>
    </rPh>
    <rPh sb="11" eb="13">
      <t>シスウ</t>
    </rPh>
    <rPh sb="14" eb="16">
      <t>ジョウショウ</t>
    </rPh>
    <rPh sb="17" eb="19">
      <t>カコウ</t>
    </rPh>
    <rPh sb="20" eb="22">
      <t>ケイキ</t>
    </rPh>
    <rPh sb="23" eb="24">
      <t>ウゴ</t>
    </rPh>
    <rPh sb="26" eb="28">
      <t>ハンタイ</t>
    </rPh>
    <phoneticPr fontId="3"/>
  </si>
  <si>
    <t>　　　因になる。</t>
    <phoneticPr fontId="3"/>
  </si>
  <si>
    <t>H 5</t>
    <phoneticPr fontId="3"/>
  </si>
  <si>
    <t>H 6</t>
    <phoneticPr fontId="3"/>
  </si>
  <si>
    <t>H 7</t>
    <phoneticPr fontId="3"/>
  </si>
  <si>
    <t>H 8</t>
    <phoneticPr fontId="3"/>
  </si>
  <si>
    <t>H 9</t>
    <phoneticPr fontId="3"/>
  </si>
  <si>
    <t>H 10</t>
    <phoneticPr fontId="3"/>
  </si>
  <si>
    <t>H 11</t>
    <phoneticPr fontId="3"/>
  </si>
  <si>
    <t>（人）</t>
    <rPh sb="1" eb="2">
      <t>ニン</t>
    </rPh>
    <phoneticPr fontId="16"/>
  </si>
  <si>
    <t>１．</t>
    <phoneticPr fontId="3"/>
  </si>
  <si>
    <t>1．</t>
    <phoneticPr fontId="3"/>
  </si>
  <si>
    <t>７．個別系列の数値</t>
    <phoneticPr fontId="3"/>
  </si>
  <si>
    <t>（円）</t>
    <rPh sb="1" eb="2">
      <t>エン</t>
    </rPh>
    <phoneticPr fontId="3"/>
  </si>
  <si>
    <t>　　　月差がプラスになれば、ＣＩ一致指数に対する寄与度のマイナス要因となり、逆に前月差が</t>
    <phoneticPr fontId="3"/>
  </si>
  <si>
    <t>　　　マイナスになれば、プラス要因になる。</t>
    <phoneticPr fontId="3"/>
  </si>
  <si>
    <t>２．</t>
    <phoneticPr fontId="3"/>
  </si>
  <si>
    <t>＋、－は、個別系列数値の５か月前との比較である。</t>
    <phoneticPr fontId="3"/>
  </si>
  <si>
    <t>40.10</t>
    <phoneticPr fontId="3"/>
  </si>
  <si>
    <t>37.10</t>
    <phoneticPr fontId="3"/>
  </si>
  <si>
    <t>Ｈ25</t>
    <phoneticPr fontId="3"/>
  </si>
  <si>
    <t>逆：系列の中には、景気の上昇期に減少し、下降期に増加するものがある。このような系列は、景気との対応</t>
    <rPh sb="0" eb="1">
      <t>ギャク</t>
    </rPh>
    <phoneticPr fontId="3"/>
  </si>
  <si>
    <t xml:space="preserve">      関係が逆になっていることから「逆サイクルの系列」と呼び、減少している時を＋、増加している時を－ </t>
    <phoneticPr fontId="3"/>
  </si>
  <si>
    <t xml:space="preserve">      として、変化方向を逆に見ることにより、ＤＩの採用系列としている。</t>
    <phoneticPr fontId="3"/>
  </si>
  <si>
    <t xml:space="preserve">     ▽</t>
    <phoneticPr fontId="3"/>
  </si>
  <si>
    <t>　　　件数」は逆サイクルとなっており、したがって、指数の前月差がプラスになれば、ＣＩ先</t>
    <rPh sb="7" eb="8">
      <t>ギャク</t>
    </rPh>
    <rPh sb="42" eb="43">
      <t>セン</t>
    </rPh>
    <phoneticPr fontId="3"/>
  </si>
  <si>
    <t>　　　行指数に対する寄与度のマイナス要因となり、逆に前月差がマイナスになれば、プラス要</t>
    <rPh sb="3" eb="4">
      <t>ユ</t>
    </rPh>
    <phoneticPr fontId="3"/>
  </si>
  <si>
    <t>３．</t>
    <phoneticPr fontId="3"/>
  </si>
  <si>
    <t xml:space="preserve"> </t>
    <phoneticPr fontId="3"/>
  </si>
  <si>
    <t>上昇</t>
    <rPh sb="0" eb="2">
      <t>ジョウショウ</t>
    </rPh>
    <phoneticPr fontId="3"/>
  </si>
  <si>
    <t>下降</t>
    <rPh sb="0" eb="2">
      <t>カコウ</t>
    </rPh>
    <phoneticPr fontId="3"/>
  </si>
  <si>
    <t>持ち合い</t>
    <rPh sb="0" eb="1">
      <t>モ</t>
    </rPh>
    <rPh sb="2" eb="3">
      <t>ア</t>
    </rPh>
    <phoneticPr fontId="3"/>
  </si>
  <si>
    <t>連続</t>
    <rPh sb="0" eb="2">
      <t>レンゾク</t>
    </rPh>
    <phoneticPr fontId="3"/>
  </si>
  <si>
    <t>ぶり</t>
    <phoneticPr fontId="3"/>
  </si>
  <si>
    <t>（持ち合い）</t>
    <rPh sb="1" eb="2">
      <t>モ</t>
    </rPh>
    <rPh sb="3" eb="4">
      <t>ア</t>
    </rPh>
    <phoneticPr fontId="3"/>
  </si>
  <si>
    <t>Ｈ26</t>
    <phoneticPr fontId="3"/>
  </si>
  <si>
    <t>第15循環</t>
    <rPh sb="0" eb="1">
      <t>ダイ</t>
    </rPh>
    <rPh sb="3" eb="5">
      <t>ジュンカン</t>
    </rPh>
    <phoneticPr fontId="3"/>
  </si>
  <si>
    <t>11. 1</t>
    <phoneticPr fontId="3"/>
  </si>
  <si>
    <t>12.11</t>
    <phoneticPr fontId="3"/>
  </si>
  <si>
    <t>14. 1</t>
    <phoneticPr fontId="3"/>
  </si>
  <si>
    <t>11. 5</t>
    <phoneticPr fontId="3"/>
  </si>
  <si>
    <t>12.12</t>
    <phoneticPr fontId="3"/>
  </si>
  <si>
    <t>21. 3</t>
    <phoneticPr fontId="3"/>
  </si>
  <si>
    <t>19.10</t>
    <phoneticPr fontId="3"/>
  </si>
  <si>
    <t>20. 2</t>
    <phoneticPr fontId="3"/>
  </si>
  <si>
    <t>Ｈ27</t>
    <phoneticPr fontId="3"/>
  </si>
  <si>
    <t>24.11</t>
    <phoneticPr fontId="3"/>
  </si>
  <si>
    <t>24. 3</t>
    <phoneticPr fontId="3"/>
  </si>
  <si>
    <t>上方への局面変化</t>
    <rPh sb="0" eb="2">
      <t>ジョウホウ</t>
    </rPh>
    <rPh sb="4" eb="6">
      <t>キョクメン</t>
    </rPh>
    <rPh sb="6" eb="8">
      <t>ヘンカ</t>
    </rPh>
    <phoneticPr fontId="3"/>
  </si>
  <si>
    <t>下方への局面変化</t>
    <rPh sb="0" eb="2">
      <t>カホウ</t>
    </rPh>
    <rPh sb="4" eb="6">
      <t>キョクメン</t>
    </rPh>
    <rPh sb="6" eb="8">
      <t>ヘンカ</t>
    </rPh>
    <phoneticPr fontId="3"/>
  </si>
  <si>
    <t>景気拡張の動きが足踏み状態になっている可能性が高いことを示す。</t>
    <phoneticPr fontId="3"/>
  </si>
  <si>
    <t>景気後退の動きが下げ止まっている可能性が高いことを示す。</t>
    <phoneticPr fontId="3"/>
  </si>
  <si>
    <t>上記①～⑤に該当しない場合は、前月の基調判断を踏襲する。</t>
    <phoneticPr fontId="3"/>
  </si>
  <si>
    <t>LG3 完全失業率</t>
    <rPh sb="4" eb="6">
      <t>カンゼン</t>
    </rPh>
    <rPh sb="6" eb="8">
      <t>シツギョウ</t>
    </rPh>
    <rPh sb="8" eb="9">
      <t>リツ</t>
    </rPh>
    <phoneticPr fontId="3"/>
  </si>
  <si>
    <r>
      <t>寄与度</t>
    </r>
    <r>
      <rPr>
        <sz val="10"/>
        <color indexed="10"/>
        <rFont val="HGSｺﾞｼｯｸM"/>
        <family val="3"/>
        <charset val="128"/>
      </rPr>
      <t>（逆サイクル）</t>
    </r>
    <rPh sb="0" eb="3">
      <t>キヨド</t>
    </rPh>
    <phoneticPr fontId="3"/>
  </si>
  <si>
    <t>　（全国）（季節調整値）</t>
    <rPh sb="2" eb="4">
      <t>ゼンコク</t>
    </rPh>
    <rPh sb="6" eb="8">
      <t>キセツ</t>
    </rPh>
    <rPh sb="8" eb="10">
      <t>チョウセイ</t>
    </rPh>
    <rPh sb="10" eb="11">
      <t>チ</t>
    </rPh>
    <phoneticPr fontId="3"/>
  </si>
  <si>
    <t>完全失業率
（全国）（季節調整値）</t>
    <rPh sb="0" eb="2">
      <t>カンゼン</t>
    </rPh>
    <rPh sb="2" eb="4">
      <t>シツギョウ</t>
    </rPh>
    <rPh sb="4" eb="5">
      <t>リツ</t>
    </rPh>
    <rPh sb="7" eb="9">
      <t>ゼンコク</t>
    </rPh>
    <rPh sb="11" eb="13">
      <t>キセツ</t>
    </rPh>
    <rPh sb="13" eb="15">
      <t>チョウセイ</t>
    </rPh>
    <rPh sb="15" eb="16">
      <t>チ</t>
    </rPh>
    <phoneticPr fontId="3"/>
  </si>
  <si>
    <t>完全失業率</t>
    <rPh sb="0" eb="2">
      <t>カンゼン</t>
    </rPh>
    <rPh sb="2" eb="4">
      <t>シツギョウ</t>
    </rPh>
    <rPh sb="4" eb="5">
      <t>リツ</t>
    </rPh>
    <phoneticPr fontId="3"/>
  </si>
  <si>
    <t>季逆</t>
    <rPh sb="1" eb="2">
      <t>ギャク</t>
    </rPh>
    <phoneticPr fontId="3"/>
  </si>
  <si>
    <t>完全失業率
（全国、季節調整値）
逆サイクル</t>
    <rPh sb="0" eb="2">
      <t>カンゼン</t>
    </rPh>
    <rPh sb="2" eb="4">
      <t>シツギョウ</t>
    </rPh>
    <rPh sb="4" eb="5">
      <t>リツ</t>
    </rPh>
    <rPh sb="7" eb="9">
      <t>ゼンコク</t>
    </rPh>
    <rPh sb="10" eb="12">
      <t>キセツ</t>
    </rPh>
    <rPh sb="12" eb="14">
      <t>チョウセイ</t>
    </rPh>
    <rPh sb="14" eb="15">
      <t>チ</t>
    </rPh>
    <rPh sb="17" eb="18">
      <t>ギャク</t>
    </rPh>
    <phoneticPr fontId="3"/>
  </si>
  <si>
    <t>完全失業率
（全国）（季節調整値）
逆サイクル</t>
    <rPh sb="0" eb="2">
      <t>カンゼン</t>
    </rPh>
    <rPh sb="2" eb="4">
      <t>シツギョウ</t>
    </rPh>
    <rPh sb="4" eb="5">
      <t>リツ</t>
    </rPh>
    <rPh sb="7" eb="9">
      <t>ゼンコク</t>
    </rPh>
    <rPh sb="11" eb="13">
      <t>キセツ</t>
    </rPh>
    <rPh sb="13" eb="15">
      <t>チョウセイ</t>
    </rPh>
    <rPh sb="15" eb="16">
      <t>チ</t>
    </rPh>
    <rPh sb="18" eb="19">
      <t>ギャク</t>
    </rPh>
    <phoneticPr fontId="3"/>
  </si>
  <si>
    <t>Ｈ28</t>
    <phoneticPr fontId="3"/>
  </si>
  <si>
    <t>（注）逆サイクルとは、指数の上昇、下降が景気の動きと反対になることをいう。「LG3完全失業率」</t>
    <rPh sb="1" eb="2">
      <t>チュウ</t>
    </rPh>
    <rPh sb="3" eb="4">
      <t>ギャク</t>
    </rPh>
    <rPh sb="11" eb="13">
      <t>シスウ</t>
    </rPh>
    <rPh sb="14" eb="16">
      <t>ジョウショウ</t>
    </rPh>
    <rPh sb="17" eb="19">
      <t>カコウ</t>
    </rPh>
    <rPh sb="20" eb="22">
      <t>ケイキ</t>
    </rPh>
    <rPh sb="23" eb="24">
      <t>ウゴ</t>
    </rPh>
    <rPh sb="26" eb="28">
      <t>ハンタイ</t>
    </rPh>
    <rPh sb="41" eb="43">
      <t>カンゼン</t>
    </rPh>
    <rPh sb="43" eb="45">
      <t>シツギョウ</t>
    </rPh>
    <rPh sb="45" eb="46">
      <t>リツ</t>
    </rPh>
    <phoneticPr fontId="3"/>
  </si>
  <si>
    <t>　　マイナス要因となり、逆に前月差がマイナスになれば、プラス要因になる。</t>
    <phoneticPr fontId="3"/>
  </si>
  <si>
    <t>LG4 百貨店・スーパー販売額</t>
    <rPh sb="4" eb="7">
      <t>ヒャッカテン</t>
    </rPh>
    <rPh sb="12" eb="14">
      <t>ハンバイ</t>
    </rPh>
    <rPh sb="14" eb="15">
      <t>ガク</t>
    </rPh>
    <phoneticPr fontId="3"/>
  </si>
  <si>
    <t>百貨店・
スーパー
販売額
(前年同月比)</t>
    <rPh sb="0" eb="3">
      <t>ヒャッカテン</t>
    </rPh>
    <rPh sb="10" eb="12">
      <t>ハンバイ</t>
    </rPh>
    <rPh sb="12" eb="13">
      <t>ガク</t>
    </rPh>
    <rPh sb="15" eb="17">
      <t>ゼンネン</t>
    </rPh>
    <rPh sb="17" eb="19">
      <t>ドウゲツ</t>
    </rPh>
    <rPh sb="19" eb="20">
      <t>ヒ</t>
    </rPh>
    <phoneticPr fontId="3"/>
  </si>
  <si>
    <t>百貨店・スーパー販売額</t>
    <rPh sb="0" eb="3">
      <t>ヒャッカテン</t>
    </rPh>
    <rPh sb="8" eb="10">
      <t>ハンバイ</t>
    </rPh>
    <rPh sb="10" eb="11">
      <t>ガク</t>
    </rPh>
    <phoneticPr fontId="3"/>
  </si>
  <si>
    <t>百貨店・スーパー販売額</t>
    <rPh sb="0" eb="3">
      <t>ヒャッカテン</t>
    </rPh>
    <phoneticPr fontId="3"/>
  </si>
  <si>
    <t>百貨店・
スーパー販売額</t>
    <rPh sb="0" eb="3">
      <t>ヒャッカテン</t>
    </rPh>
    <rPh sb="9" eb="11">
      <t>ハンバイ</t>
    </rPh>
    <rPh sb="11" eb="12">
      <t>ガク</t>
    </rPh>
    <phoneticPr fontId="3"/>
  </si>
  <si>
    <t>東北地域
百貨店・スーパー
販売額動向</t>
    <rPh sb="0" eb="2">
      <t>トウホク</t>
    </rPh>
    <rPh sb="2" eb="4">
      <t>チイキ</t>
    </rPh>
    <rPh sb="5" eb="8">
      <t>ヒャッカテン</t>
    </rPh>
    <rPh sb="14" eb="16">
      <t>ハンバイ</t>
    </rPh>
    <phoneticPr fontId="3"/>
  </si>
  <si>
    <t>C8 輸出入通関実績</t>
    <rPh sb="3" eb="5">
      <t>ユシュツ</t>
    </rPh>
    <rPh sb="5" eb="6">
      <t>ハイ</t>
    </rPh>
    <rPh sb="6" eb="8">
      <t>ツウカン</t>
    </rPh>
    <rPh sb="8" eb="10">
      <t>ジッセキ</t>
    </rPh>
    <phoneticPr fontId="3"/>
  </si>
  <si>
    <t>C7</t>
    <phoneticPr fontId="3"/>
  </si>
  <si>
    <t>C8</t>
    <phoneticPr fontId="3"/>
  </si>
  <si>
    <t>８</t>
    <phoneticPr fontId="3"/>
  </si>
  <si>
    <t>Ｈ29</t>
    <phoneticPr fontId="3"/>
  </si>
  <si>
    <t>　　　</t>
    <phoneticPr fontId="3"/>
  </si>
  <si>
    <t>　　</t>
    <phoneticPr fontId="3"/>
  </si>
  <si>
    <t>　　で、３か月後方移動平均や７か月後方移動平均をとるなどして、月々の値をならしてみることをお勧めします。</t>
    <rPh sb="7" eb="9">
      <t>コウホウ</t>
    </rPh>
    <rPh sb="17" eb="19">
      <t>コウホウ</t>
    </rPh>
    <phoneticPr fontId="3"/>
  </si>
  <si>
    <t>　　　受給者実人員」及び「C７ 人件費比率」は逆サイクルとなっており、したがって、指数の前</t>
    <rPh sb="10" eb="11">
      <t>オヨ</t>
    </rPh>
    <rPh sb="16" eb="19">
      <t>ジンケンヒ</t>
    </rPh>
    <rPh sb="19" eb="21">
      <t>ヒリツ</t>
    </rPh>
    <phoneticPr fontId="3"/>
  </si>
  <si>
    <t>　　は逆サイクルとなっており、したがって、指数の前月差がプラスになれば、ＣＩ遅行指数に対す</t>
    <rPh sb="3" eb="4">
      <t>ギャク</t>
    </rPh>
    <rPh sb="38" eb="40">
      <t>チコウ</t>
    </rPh>
    <phoneticPr fontId="3"/>
  </si>
  <si>
    <t>　　る寄与度のマイナス要因となり、逆に前月差がプラスになれば、ＣＩ遅行指数に対する寄与度の</t>
    <rPh sb="33" eb="35">
      <t>チコウ</t>
    </rPh>
    <phoneticPr fontId="3"/>
  </si>
  <si>
    <t>資料出所</t>
    <rPh sb="0" eb="2">
      <t>シリョウ</t>
    </rPh>
    <rPh sb="2" eb="4">
      <t>シュッショ</t>
    </rPh>
    <phoneticPr fontId="3"/>
  </si>
  <si>
    <t xml:space="preserve"> 好況期</t>
    <rPh sb="1" eb="4">
      <t>コウキョウキ</t>
    </rPh>
    <phoneticPr fontId="3"/>
  </si>
  <si>
    <t>　①　一致指数が連続して50％を上回っている時が景気の拡張局面、50％を下回っている時が後退局面であると判</t>
    <rPh sb="22" eb="23">
      <t>トキ</t>
    </rPh>
    <rPh sb="27" eb="29">
      <t>カクチョウ</t>
    </rPh>
    <rPh sb="42" eb="43">
      <t>トキ</t>
    </rPh>
    <phoneticPr fontId="3"/>
  </si>
  <si>
    <t>Ｈ30</t>
    <phoneticPr fontId="3"/>
  </si>
  <si>
    <t>Ｈ31</t>
    <phoneticPr fontId="3"/>
  </si>
  <si>
    <t>00</t>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</si>
  <si>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</si>
  <si>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</si>
  <si>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</si>
  <si>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</si>
  <si>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</si>
  <si>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</si>
  <si>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</si>
  <si>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</si>
  <si>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</si>
  <si>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10</t>
    <phoneticPr fontId="3"/>
  </si>
  <si>
    <t>11</t>
    <phoneticPr fontId="3"/>
  </si>
  <si>
    <t>12</t>
    <phoneticPr fontId="3"/>
  </si>
  <si>
    <t>ＣＩ一致指数の「振幅」の目安（標準偏差）</t>
    <rPh sb="2" eb="4">
      <t>イッチ</t>
    </rPh>
    <rPh sb="4" eb="6">
      <t>シスウ</t>
    </rPh>
    <rPh sb="8" eb="10">
      <t>シンプク</t>
    </rPh>
    <rPh sb="12" eb="14">
      <t>メヤス</t>
    </rPh>
    <rPh sb="15" eb="17">
      <t>ヒョウジュン</t>
    </rPh>
    <rPh sb="17" eb="19">
      <t>ヘンサ</t>
    </rPh>
    <phoneticPr fontId="3"/>
  </si>
  <si>
    <t>法人事業税+地方法人特別税調定額</t>
    <phoneticPr fontId="3"/>
  </si>
  <si>
    <t>R2</t>
    <phoneticPr fontId="3"/>
  </si>
  <si>
    <t>Ｒ２</t>
    <phoneticPr fontId="3"/>
  </si>
  <si>
    <t>H24</t>
  </si>
  <si>
    <t>H25</t>
  </si>
  <si>
    <t>H26</t>
  </si>
  <si>
    <t>H27</t>
  </si>
  <si>
    <t>H28</t>
  </si>
  <si>
    <t>H29</t>
  </si>
  <si>
    <t>H30</t>
  </si>
  <si>
    <t>R２</t>
  </si>
  <si>
    <t>H31/R１</t>
  </si>
  <si>
    <t>岩手県ふるさと振興部</t>
    <rPh sb="0" eb="3">
      <t>イワテケン</t>
    </rPh>
    <rPh sb="7" eb="9">
      <t>シンコウ</t>
    </rPh>
    <rPh sb="9" eb="10">
      <t>ブ</t>
    </rPh>
    <phoneticPr fontId="3"/>
  </si>
  <si>
    <t>第16循環</t>
    <rPh sb="0" eb="1">
      <t>ダイ</t>
    </rPh>
    <rPh sb="3" eb="5">
      <t>ジュンカン</t>
    </rPh>
    <phoneticPr fontId="3"/>
  </si>
  <si>
    <t>Ｒ3</t>
    <phoneticPr fontId="3"/>
  </si>
  <si>
    <t>R3</t>
    <phoneticPr fontId="3"/>
  </si>
  <si>
    <t>R３</t>
  </si>
  <si>
    <t>R３</t>
    <phoneticPr fontId="3"/>
  </si>
  <si>
    <t>消費者物価指数
（盛岡市）</t>
    <rPh sb="9" eb="12">
      <t>モリオカシ</t>
    </rPh>
    <phoneticPr fontId="3"/>
  </si>
  <si>
    <t>Ｒ４</t>
    <phoneticPr fontId="3"/>
  </si>
  <si>
    <t>R４</t>
    <phoneticPr fontId="3"/>
  </si>
  <si>
    <t>R4</t>
    <phoneticPr fontId="3"/>
  </si>
  <si>
    <t>全産業（30人以上規模事業所）の常用雇用指数（R２＝100）</t>
    <rPh sb="0" eb="1">
      <t>ゼン</t>
    </rPh>
    <rPh sb="1" eb="3">
      <t>サンギョウ</t>
    </rPh>
    <rPh sb="6" eb="7">
      <t>ニン</t>
    </rPh>
    <rPh sb="7" eb="9">
      <t>イジョウ</t>
    </rPh>
    <rPh sb="9" eb="11">
      <t>キボ</t>
    </rPh>
    <rPh sb="11" eb="14">
      <t>ジギョウショ</t>
    </rPh>
    <phoneticPr fontId="3"/>
  </si>
  <si>
    <t>30.10</t>
    <phoneticPr fontId="3"/>
  </si>
  <si>
    <t>Ｒ 2. 5</t>
    <phoneticPr fontId="3"/>
  </si>
  <si>
    <t>https://www3.pref.iwate.jp/webdb/view/outside/s14Tokei/top.html</t>
    <phoneticPr fontId="3"/>
  </si>
  <si>
    <t>　過去における景気循環の転換点を景気基準日付（山・谷）といい、景気の拡張局面と後退局面とを分ける分岐点です。
　景気基準日付は、ＤＩの動きのほか、主要経済指標の動きなども総合的に勘案して設定しています。
　令和５年２月には、国の第16循環に対応する景気の山を平成30年８月に、景気の谷を令和２年５月に確定しました。</t>
    <rPh sb="34" eb="36">
      <t>カクチョウ</t>
    </rPh>
    <rPh sb="151" eb="153">
      <t>カクテイ</t>
    </rPh>
    <phoneticPr fontId="3"/>
  </si>
  <si>
    <t>Ｒ5</t>
    <phoneticPr fontId="3"/>
  </si>
  <si>
    <t>R5</t>
    <phoneticPr fontId="3"/>
  </si>
  <si>
    <t>R５</t>
    <phoneticPr fontId="3"/>
  </si>
  <si>
    <t>Ｒ6</t>
    <phoneticPr fontId="3"/>
  </si>
  <si>
    <t>R6</t>
    <phoneticPr fontId="3"/>
  </si>
  <si>
    <t>R６</t>
    <phoneticPr fontId="3"/>
  </si>
  <si>
    <t>←　毎月直す？</t>
    <rPh sb="2" eb="4">
      <t>マイツキ</t>
    </rPh>
    <rPh sb="4" eb="5">
      <t>ナオ</t>
    </rPh>
    <phoneticPr fontId="3"/>
  </si>
  <si>
    <t>〇</t>
    <phoneticPr fontId="3"/>
  </si>
  <si>
    <t>令和６年</t>
    <rPh sb="0" eb="2">
      <t>レイワ</t>
    </rPh>
    <rPh sb="3" eb="4">
      <t>ネン</t>
    </rPh>
    <phoneticPr fontId="3"/>
  </si>
  <si>
    <t>S54</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</si>
  <si>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</si>
  <si>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</si>
  <si>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</si>
  <si>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</si>
  <si>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</si>
  <si>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</si>
  <si>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</si>
  <si>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</si>
  <si>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</si>
  <si>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phoneticPr fontId="3"/>
  </si>
  <si>
    <t>23</t>
    <phoneticPr fontId="3"/>
  </si>
  <si>
    <t>24</t>
    <phoneticPr fontId="3"/>
  </si>
  <si>
    <t>R1</t>
    <phoneticPr fontId="3"/>
  </si>
  <si>
    <t>/</t>
    <phoneticPr fontId="3"/>
  </si>
  <si>
    <t>リンク先シート：各月DI数値</t>
    <rPh sb="3" eb="4">
      <t>サキ</t>
    </rPh>
    <rPh sb="8" eb="10">
      <t>カクツキ</t>
    </rPh>
    <rPh sb="12" eb="14">
      <t>スウチ</t>
    </rPh>
    <phoneticPr fontId="3"/>
  </si>
  <si>
    <t>CIシートAG列</t>
    <rPh sb="7" eb="8">
      <t>レツ</t>
    </rPh>
    <phoneticPr fontId="3"/>
  </si>
  <si>
    <t>(令和２年=103.3)</t>
    <rPh sb="1" eb="3">
      <t>レイワ</t>
    </rPh>
    <phoneticPr fontId="3"/>
  </si>
  <si>
    <t>原</t>
    <rPh sb="0" eb="1">
      <t>ゲン</t>
    </rPh>
    <phoneticPr fontId="3"/>
  </si>
  <si>
    <t>(X-12-ARIMA)</t>
  </si>
  <si>
    <t>財別生産指数　建設財
季節調整済指数（Ｒ2＝100）</t>
    <rPh sb="0" eb="2">
      <t>ザイベツ</t>
    </rPh>
    <rPh sb="2" eb="4">
      <t>セイサン</t>
    </rPh>
    <rPh sb="4" eb="6">
      <t>シスウ</t>
    </rPh>
    <rPh sb="11" eb="13">
      <t>キセツ</t>
    </rPh>
    <rPh sb="13" eb="15">
      <t>チョウセイ</t>
    </rPh>
    <rPh sb="15" eb="16">
      <t>ズミ</t>
    </rPh>
    <rPh sb="16" eb="18">
      <t>シスウ</t>
    </rPh>
    <phoneticPr fontId="3"/>
  </si>
  <si>
    <t>財別生産指数　耐久消費財
季節調整済指数（Ｒ2＝100）</t>
    <phoneticPr fontId="3"/>
  </si>
  <si>
    <t>(株)東京商工リサーチ
盛岡支店</t>
    <rPh sb="0" eb="3">
      <t>カブ</t>
    </rPh>
    <rPh sb="3" eb="5">
      <t>トウキョウ</t>
    </rPh>
    <rPh sb="5" eb="7">
      <t>ショウコウ</t>
    </rPh>
    <rPh sb="12" eb="14">
      <t>モリオカ</t>
    </rPh>
    <rPh sb="14" eb="16">
      <t>シテン</t>
    </rPh>
    <phoneticPr fontId="3"/>
  </si>
  <si>
    <t>日本銀行盛岡事務所</t>
    <rPh sb="3" eb="5">
      <t>モリオカ</t>
    </rPh>
    <rPh sb="6" eb="8">
      <t>ジム</t>
    </rPh>
    <rPh sb="8" eb="9">
      <t>ショ</t>
    </rPh>
    <phoneticPr fontId="3"/>
  </si>
  <si>
    <t>岩手県企業短期経済観測
調査結果</t>
    <phoneticPr fontId="3"/>
  </si>
  <si>
    <t>(X-12-ARIMA)</t>
    <phoneticPr fontId="167"/>
  </si>
  <si>
    <t>有効求人倍率
（受理地別・季節調整値）</t>
    <rPh sb="0" eb="5">
      <t>ユウコウキュウジンバイリツ</t>
    </rPh>
    <rPh sb="8" eb="10">
      <t>ジュリ</t>
    </rPh>
    <rPh sb="10" eb="11">
      <t>チ</t>
    </rPh>
    <rPh sb="11" eb="12">
      <t>ベツ</t>
    </rPh>
    <rPh sb="13" eb="15">
      <t>キセツ</t>
    </rPh>
    <rPh sb="15" eb="18">
      <t>チョウセイチ</t>
    </rPh>
    <phoneticPr fontId="3"/>
  </si>
  <si>
    <t>一般職業紹介状況</t>
    <phoneticPr fontId="3"/>
  </si>
  <si>
    <t>財別生産指数　投資財
季節調整済指数（Ｒ2＝100）</t>
    <phoneticPr fontId="3"/>
  </si>
  <si>
    <t>業種別生産指数　鉱工業
季節調整済指数（Ｒ2＝100）</t>
    <rPh sb="0" eb="1">
      <t>ギョウシュ</t>
    </rPh>
    <rPh sb="1" eb="2">
      <t>ベツ</t>
    </rPh>
    <rPh sb="3" eb="5">
      <t>セイサン</t>
    </rPh>
    <rPh sb="4" eb="5">
      <t>リョウ</t>
    </rPh>
    <rPh sb="5" eb="7">
      <t>シスウ</t>
    </rPh>
    <rPh sb="15" eb="16">
      <t>ズ</t>
    </rPh>
    <rPh sb="16" eb="18">
      <t>シスウ</t>
    </rPh>
    <phoneticPr fontId="3"/>
  </si>
  <si>
    <t>財別生産指数　生産財
季節調整済指数（Ｒ2＝100）</t>
    <phoneticPr fontId="3"/>
  </si>
  <si>
    <t>(X-12-ARIMA)</t>
    <phoneticPr fontId="3"/>
  </si>
  <si>
    <t>宮古港、釜石港、大船渡港の合計金額
（千円）</t>
    <rPh sb="0" eb="2">
      <t>ミヤコ</t>
    </rPh>
    <rPh sb="2" eb="3">
      <t>ミナト</t>
    </rPh>
    <rPh sb="4" eb="6">
      <t>カマイシ</t>
    </rPh>
    <rPh sb="6" eb="7">
      <t>ミナト</t>
    </rPh>
    <rPh sb="8" eb="11">
      <t>オオフナト</t>
    </rPh>
    <rPh sb="11" eb="12">
      <t>ミナト</t>
    </rPh>
    <rPh sb="13" eb="15">
      <t>ゴウケイ</t>
    </rPh>
    <rPh sb="15" eb="17">
      <t>キンガク</t>
    </rPh>
    <rPh sb="19" eb="20">
      <t>セン</t>
    </rPh>
    <rPh sb="20" eb="21">
      <t>エン</t>
    </rPh>
    <phoneticPr fontId="3"/>
  </si>
  <si>
    <t>財務省関税局
（政府統計の総合窓口「e-Stat」）</t>
    <rPh sb="0" eb="3">
      <t>ザイムショウ</t>
    </rPh>
    <rPh sb="3" eb="5">
      <t>カンゼイ</t>
    </rPh>
    <rPh sb="5" eb="6">
      <t>キョク</t>
    </rPh>
    <phoneticPr fontId="3"/>
  </si>
  <si>
    <t>財務省　普通貿易統計
税関別</t>
    <rPh sb="0" eb="3">
      <t>ザイムショウ</t>
    </rPh>
    <rPh sb="4" eb="8">
      <t>フツウボウエキ</t>
    </rPh>
    <rPh sb="8" eb="10">
      <t>トウケイ</t>
    </rPh>
    <rPh sb="11" eb="13">
      <t>ゼイカン</t>
    </rPh>
    <rPh sb="13" eb="14">
      <t>ベツ</t>
    </rPh>
    <phoneticPr fontId="3"/>
  </si>
  <si>
    <t>常用雇用指数（全産業）</t>
    <phoneticPr fontId="3"/>
  </si>
  <si>
    <t>財別生産指数　資本財</t>
    <rPh sb="7" eb="9">
      <t>シホン</t>
    </rPh>
    <rPh sb="9" eb="10">
      <t>ザイ</t>
    </rPh>
    <phoneticPr fontId="3"/>
  </si>
  <si>
    <t>季節調整済指数（Ｒ2＝100）</t>
    <rPh sb="4" eb="5">
      <t>ズ</t>
    </rPh>
    <rPh sb="5" eb="7">
      <t>シスウ</t>
    </rPh>
    <phoneticPr fontId="167"/>
  </si>
  <si>
    <t>完全失業率　季節調整値</t>
    <rPh sb="0" eb="2">
      <t>カンゼン</t>
    </rPh>
    <rPh sb="2" eb="4">
      <t>シツギョウ</t>
    </rPh>
    <rPh sb="4" eb="5">
      <t>リツ</t>
    </rPh>
    <rPh sb="6" eb="8">
      <t>キセツ</t>
    </rPh>
    <rPh sb="8" eb="11">
      <t>チョウセイチ</t>
    </rPh>
    <phoneticPr fontId="3"/>
  </si>
  <si>
    <t>総務省統計局
内閣府景気動向指数</t>
    <rPh sb="0" eb="2">
      <t>ソウム</t>
    </rPh>
    <rPh sb="2" eb="3">
      <t>ショウ</t>
    </rPh>
    <rPh sb="3" eb="6">
      <t>トウケイキョク</t>
    </rPh>
    <rPh sb="7" eb="9">
      <t>ナイカク</t>
    </rPh>
    <rPh sb="9" eb="10">
      <t>フ</t>
    </rPh>
    <rPh sb="10" eb="12">
      <t>ケイキ</t>
    </rPh>
    <rPh sb="12" eb="14">
      <t>ドウコウ</t>
    </rPh>
    <rPh sb="14" eb="16">
      <t>シスウ</t>
    </rPh>
    <phoneticPr fontId="3"/>
  </si>
  <si>
    <t>労働力調査（基本集計）
内閣府景気動向指数
（完全失業率）</t>
    <rPh sb="0" eb="3">
      <t>ロウドウリョク</t>
    </rPh>
    <rPh sb="3" eb="5">
      <t>チョウサ</t>
    </rPh>
    <rPh sb="6" eb="8">
      <t>キホン</t>
    </rPh>
    <rPh sb="8" eb="10">
      <t>シュウケイ</t>
    </rPh>
    <phoneticPr fontId="3"/>
  </si>
  <si>
    <t>百貨店、スーパーの店舗調整済
販売額（既存店売上額前年同月比）</t>
    <rPh sb="0" eb="3">
      <t>ヒャッカテン</t>
    </rPh>
    <rPh sb="19" eb="22">
      <t>キソンテン</t>
    </rPh>
    <rPh sb="22" eb="24">
      <t>ウリアゲ</t>
    </rPh>
    <rPh sb="24" eb="25">
      <t>ヒタイ</t>
    </rPh>
    <rPh sb="25" eb="30">
      <t>ゼンネンドウゲツヒ</t>
    </rPh>
    <phoneticPr fontId="3"/>
  </si>
  <si>
    <t>勤労者世帯消費支出(盛岡市)÷
消費者物価指数(盛岡市)</t>
    <rPh sb="0" eb="3">
      <t>キンロウシャ</t>
    </rPh>
    <rPh sb="3" eb="5">
      <t>セタイ</t>
    </rPh>
    <rPh sb="5" eb="7">
      <t>ショウヒ</t>
    </rPh>
    <rPh sb="7" eb="9">
      <t>シシュツ</t>
    </rPh>
    <rPh sb="10" eb="13">
      <t>モリオカシ</t>
    </rPh>
    <rPh sb="16" eb="19">
      <t>ショウヒシャ</t>
    </rPh>
    <rPh sb="19" eb="21">
      <t>ブッカ</t>
    </rPh>
    <rPh sb="21" eb="23">
      <t>シスウ</t>
    </rPh>
    <rPh sb="24" eb="27">
      <t>モリオカシ</t>
    </rPh>
    <phoneticPr fontId="3"/>
  </si>
  <si>
    <t>世帯で消費する商品・サービス
582品目を対象とした物価指数
（盛岡市）
（令和2・2020年 ＝100）</t>
    <rPh sb="0" eb="2">
      <t>セタイ</t>
    </rPh>
    <rPh sb="3" eb="5">
      <t>ショウヒ</t>
    </rPh>
    <rPh sb="7" eb="9">
      <t>ショウヒン</t>
    </rPh>
    <rPh sb="18" eb="20">
      <t>ヒンモク</t>
    </rPh>
    <rPh sb="32" eb="35">
      <t>モリオカシ</t>
    </rPh>
    <rPh sb="38" eb="40">
      <t>レイワ</t>
    </rPh>
    <rPh sb="46" eb="47">
      <t>ネン</t>
    </rPh>
    <phoneticPr fontId="3"/>
  </si>
  <si>
    <t>　　等については、内閣府のホームページ（https://www.esri.cao.go.jp/index.html）を参照願います。</t>
    <phoneticPr fontId="3"/>
  </si>
  <si>
    <t>(令和２年=100)</t>
  </si>
  <si>
    <t>(令和２年=100)</t>
    <rPh sb="1" eb="3">
      <t>レイワ</t>
    </rPh>
    <rPh sb="4" eb="5">
      <t>ネン</t>
    </rPh>
    <phoneticPr fontId="3"/>
  </si>
  <si>
    <t>(％)(令和２年=100)</t>
  </si>
  <si>
    <t>(％)(令和２年=100)</t>
    <rPh sb="4" eb="6">
      <t>レイワ</t>
    </rPh>
    <phoneticPr fontId="3"/>
  </si>
  <si>
    <t>（Ｒ２年=100）</t>
    <rPh sb="3" eb="4">
      <t>ネン</t>
    </rPh>
    <phoneticPr fontId="3"/>
  </si>
  <si>
    <t>（R2年=100）</t>
    <rPh sb="3" eb="4">
      <t>ネン</t>
    </rPh>
    <phoneticPr fontId="3"/>
  </si>
  <si>
    <t>各系列の数値は、原数値をセンサス局法Ｘ－12－ＡＲＩＭＡにより季節調整したものである。</t>
    <phoneticPr fontId="3"/>
  </si>
  <si>
    <t>各系列の数値は、原数値をセンサス局法Ｘ－12－ＡＲＩＭＡを使用し、独自に季節調整したものである。</t>
    <rPh sb="29" eb="31">
      <t>シヨウ</t>
    </rPh>
    <rPh sb="33" eb="35">
      <t>ドクジ</t>
    </rPh>
    <phoneticPr fontId="3"/>
  </si>
  <si>
    <t>（季節調整値として公表されている系列を除く。）</t>
    <rPh sb="1" eb="3">
      <t>キセツ</t>
    </rPh>
    <rPh sb="3" eb="6">
      <t>チョウセイチ</t>
    </rPh>
    <rPh sb="9" eb="11">
      <t>コウヒョウ</t>
    </rPh>
    <rPh sb="16" eb="18">
      <t>ケイレツ</t>
    </rPh>
    <rPh sb="19" eb="20">
      <t>ノゾ</t>
    </rPh>
    <phoneticPr fontId="3"/>
  </si>
  <si>
    <t>（季節調整値として公表されているもの系列及び前年同月比を用いる系列を除く。）</t>
    <rPh sb="1" eb="3">
      <t>キセツ</t>
    </rPh>
    <rPh sb="3" eb="6">
      <t>チョウセイチ</t>
    </rPh>
    <rPh sb="9" eb="11">
      <t>コウヒョウ</t>
    </rPh>
    <rPh sb="18" eb="20">
      <t>ケイレツ</t>
    </rPh>
    <rPh sb="20" eb="21">
      <t>オヨ</t>
    </rPh>
    <rPh sb="22" eb="24">
      <t>ゼンネン</t>
    </rPh>
    <rPh sb="24" eb="27">
      <t>ドウゲツヒ</t>
    </rPh>
    <rPh sb="28" eb="29">
      <t>モチ</t>
    </rPh>
    <rPh sb="31" eb="33">
      <t>ケイレツ</t>
    </rPh>
    <rPh sb="34" eb="35">
      <t>ノゾ</t>
    </rPh>
    <phoneticPr fontId="3"/>
  </si>
  <si>
    <t>（季節調整値として公表されている系列や原数値を用いる系列を除く。）</t>
    <rPh sb="1" eb="3">
      <t>キセツ</t>
    </rPh>
    <rPh sb="3" eb="6">
      <t>チョウセイチ</t>
    </rPh>
    <rPh sb="9" eb="11">
      <t>コウヒョウ</t>
    </rPh>
    <rPh sb="16" eb="18">
      <t>ケイレツ</t>
    </rPh>
    <rPh sb="19" eb="22">
      <t>ゲンスウチ</t>
    </rPh>
    <rPh sb="23" eb="24">
      <t>モチ</t>
    </rPh>
    <rPh sb="26" eb="28">
      <t>ケイレツ</t>
    </rPh>
    <rPh sb="29" eb="30">
      <t>ノゾ</t>
    </rPh>
    <phoneticPr fontId="3"/>
  </si>
  <si>
    <t>公表値が季節調整されている場合は、(　）</t>
    <rPh sb="0" eb="2">
      <t>コウヒョウ</t>
    </rPh>
    <rPh sb="2" eb="3">
      <t>チ</t>
    </rPh>
    <rPh sb="4" eb="8">
      <t>キセツチョウセイ</t>
    </rPh>
    <rPh sb="13" eb="15">
      <t>バアイ</t>
    </rPh>
    <phoneticPr fontId="167"/>
  </si>
  <si>
    <r>
      <t xml:space="preserve">企業
倒産件数
</t>
    </r>
    <r>
      <rPr>
        <sz val="8"/>
        <color indexed="10"/>
        <rFont val="HGSｺﾞｼｯｸM"/>
        <family val="3"/>
        <charset val="128"/>
      </rPr>
      <t xml:space="preserve">（逆サイクル）
</t>
    </r>
    <r>
      <rPr>
        <sz val="9"/>
        <rFont val="HGSｺﾞｼｯｸM"/>
        <family val="3"/>
        <charset val="128"/>
      </rPr>
      <t>※原数値</t>
    </r>
    <rPh sb="0" eb="2">
      <t>キギョウ</t>
    </rPh>
    <rPh sb="3" eb="5">
      <t>トウサン</t>
    </rPh>
    <rPh sb="5" eb="7">
      <t>ケンスウ</t>
    </rPh>
    <rPh sb="17" eb="18">
      <t>ゲン</t>
    </rPh>
    <rPh sb="18" eb="20">
      <t>スウチ</t>
    </rPh>
    <phoneticPr fontId="16"/>
  </si>
  <si>
    <r>
      <t xml:space="preserve">企業業況
判断ＤＩ
</t>
    </r>
    <r>
      <rPr>
        <sz val="8"/>
        <rFont val="HGSｺﾞｼｯｸM"/>
        <family val="3"/>
        <charset val="128"/>
      </rPr>
      <t xml:space="preserve">（ポイント）
</t>
    </r>
    <r>
      <rPr>
        <sz val="9"/>
        <rFont val="HGSｺﾞｼｯｸM"/>
        <family val="3"/>
        <charset val="128"/>
      </rPr>
      <t>※原数値</t>
    </r>
    <rPh sb="0" eb="2">
      <t>キギョウ</t>
    </rPh>
    <rPh sb="2" eb="4">
      <t>ギョウキョウ</t>
    </rPh>
    <rPh sb="5" eb="7">
      <t>ハンダン</t>
    </rPh>
    <rPh sb="18" eb="19">
      <t>ハラ</t>
    </rPh>
    <rPh sb="19" eb="21">
      <t>スウチ</t>
    </rPh>
    <phoneticPr fontId="16"/>
  </si>
  <si>
    <t>２．ｐ：速報値、ｒ：改訂値</t>
    <rPh sb="4" eb="6">
      <t>ソクホウ</t>
    </rPh>
    <rPh sb="6" eb="7">
      <t>チ</t>
    </rPh>
    <rPh sb="10" eb="12">
      <t>カイテイ</t>
    </rPh>
    <rPh sb="12" eb="13">
      <t>アタイ</t>
    </rPh>
    <phoneticPr fontId="16"/>
  </si>
  <si>
    <r>
      <t>　　　岩手県では、</t>
    </r>
    <r>
      <rPr>
        <b/>
        <sz val="10"/>
        <rFont val="HGSｺﾞｼｯｸM"/>
        <family val="3"/>
        <charset val="128"/>
      </rPr>
      <t>令和６年４月分の公表より令和２年の値を100</t>
    </r>
    <r>
      <rPr>
        <sz val="10"/>
        <rFont val="HGSｺﾞｼｯｸM"/>
        <family val="3"/>
        <charset val="128"/>
      </rPr>
      <t>として指数化しています。詳しい作成方法</t>
    </r>
    <rPh sb="9" eb="11">
      <t>レイワ</t>
    </rPh>
    <rPh sb="12" eb="13">
      <t>ネン</t>
    </rPh>
    <rPh sb="14" eb="15">
      <t>ガツ</t>
    </rPh>
    <rPh sb="15" eb="16">
      <t>ブン</t>
    </rPh>
    <rPh sb="17" eb="19">
      <t>コウヒョウ</t>
    </rPh>
    <rPh sb="21" eb="23">
      <t>レイワ</t>
    </rPh>
    <phoneticPr fontId="3"/>
  </si>
  <si>
    <r>
      <rPr>
        <sz val="12"/>
        <rFont val="HGSｺﾞｼｯｸM"/>
        <family val="3"/>
        <charset val="128"/>
      </rPr>
      <t>　　　業況判断指数（ＤＩ）</t>
    </r>
    <r>
      <rPr>
        <sz val="11"/>
        <rFont val="HGSｺﾞｼｯｸM"/>
        <family val="3"/>
        <charset val="128"/>
      </rPr>
      <t xml:space="preserve">
　</t>
    </r>
    <r>
      <rPr>
        <sz val="10"/>
        <rFont val="HGSｺﾞｼｯｸM"/>
        <family val="3"/>
        <charset val="128"/>
      </rPr>
      <t>※四半期毎(1．4，7，10月)の公表
　　値を各月均等に線形補間した数値</t>
    </r>
    <rPh sb="15" eb="18">
      <t>シハンキ</t>
    </rPh>
    <rPh sb="18" eb="19">
      <t>ゴト</t>
    </rPh>
    <rPh sb="29" eb="30">
      <t>ガツ</t>
    </rPh>
    <rPh sb="32" eb="34">
      <t>コウヒョウ</t>
    </rPh>
    <rPh sb="37" eb="38">
      <t>コウヒョウ</t>
    </rPh>
    <rPh sb="38" eb="40">
      <t>カクツキ</t>
    </rPh>
    <rPh sb="40" eb="42">
      <t>キントウ</t>
    </rPh>
    <rPh sb="44" eb="46">
      <t>センケイ</t>
    </rPh>
    <rPh sb="45" eb="47">
      <t>ホカン</t>
    </rPh>
    <rPh sb="49" eb="51">
      <t>スウチ</t>
    </rPh>
    <phoneticPr fontId="3"/>
  </si>
  <si>
    <t>ｐ：速報値、ｒ：改訂値</t>
    <rPh sb="2" eb="4">
      <t>ソクホウ</t>
    </rPh>
    <rPh sb="4" eb="5">
      <t>チ</t>
    </rPh>
    <rPh sb="8" eb="10">
      <t>カイテイ</t>
    </rPh>
    <rPh sb="10" eb="11">
      <t>アタイ</t>
    </rPh>
    <phoneticPr fontId="16"/>
  </si>
  <si>
    <t>２．</t>
    <phoneticPr fontId="16"/>
  </si>
  <si>
    <t>（百万円）</t>
    <rPh sb="1" eb="2">
      <t>ヒャク</t>
    </rPh>
    <phoneticPr fontId="3"/>
  </si>
  <si>
    <t>30. 8</t>
    <phoneticPr fontId="3"/>
  </si>
  <si>
    <t>　本基調判断については、当月のＣＩ一致指数の前月差が一時的な要因に左右され安定しないため、３か月後方移動平均と７か月後方移動平均の前月差を中心に用い、当月の変化方向（前月差の符号）も踏まえ、行う。
　なお、３か月後方移動平均と７か月後方移動平均は、変化方向（前月差の符号）に加え、過去３か月間の前月差の累積も用いる。</t>
    <phoneticPr fontId="3"/>
  </si>
  <si>
    <t>・原則として３か月以上連続して、３か月後方
　移動平均が上昇
・当月の前月差の符号がプラス</t>
    <rPh sb="1" eb="3">
      <t>ゲンソク</t>
    </rPh>
    <rPh sb="8" eb="11">
      <t>ゲツイジョウ</t>
    </rPh>
    <rPh sb="11" eb="13">
      <t>レンゾク</t>
    </rPh>
    <rPh sb="18" eb="19">
      <t>ゲツ</t>
    </rPh>
    <rPh sb="19" eb="21">
      <t>コウホウ</t>
    </rPh>
    <rPh sb="23" eb="25">
      <t>イドウ</t>
    </rPh>
    <rPh sb="25" eb="27">
      <t>ヘイキン</t>
    </rPh>
    <rPh sb="28" eb="30">
      <t>ジョウショウ</t>
    </rPh>
    <rPh sb="32" eb="34">
      <t>トウゲツ</t>
    </rPh>
    <rPh sb="35" eb="37">
      <t>ゼンゲツ</t>
    </rPh>
    <rPh sb="37" eb="38">
      <t>サ</t>
    </rPh>
    <rPh sb="39" eb="41">
      <t>フゴウ</t>
    </rPh>
    <phoneticPr fontId="3"/>
  </si>
  <si>
    <t>・３か月後方移動平均（前月差）の符号がマイ
　ナスに変化し、マイナス幅（１か月、２か月
　または３か月の累積）が１標準偏差分以上
・当月の前月差の符号がマイナス</t>
    <phoneticPr fontId="3"/>
  </si>
  <si>
    <t>③局面変化
注1,2）</t>
    <rPh sb="1" eb="3">
      <t>キョクメン</t>
    </rPh>
    <rPh sb="3" eb="5">
      <t>ヘンカ</t>
    </rPh>
    <rPh sb="6" eb="7">
      <t>チュウ</t>
    </rPh>
    <phoneticPr fontId="3"/>
  </si>
  <si>
    <t>事後的に判定される景気の谷が、それ以前の数か月にあった可能性が高いことを示す。</t>
    <phoneticPr fontId="3"/>
  </si>
  <si>
    <t>・７か月後方移動平均（前月差）の符号がプラ
　スに変化し、プラス幅（１か月、２か月また
　は３か月の累積）が１標準偏差分以上
・当月の前月差の符号がプラス</t>
    <phoneticPr fontId="3"/>
  </si>
  <si>
    <t>事後的に判定される景気の山が、それ以前の数か月にあった可能性が高いことを示す。</t>
    <rPh sb="0" eb="3">
      <t>ジゴテキ</t>
    </rPh>
    <rPh sb="4" eb="6">
      <t>ハンテイ</t>
    </rPh>
    <rPh sb="9" eb="11">
      <t>ケイキ</t>
    </rPh>
    <rPh sb="12" eb="13">
      <t>ヤマ</t>
    </rPh>
    <rPh sb="17" eb="19">
      <t>イゼン</t>
    </rPh>
    <rPh sb="20" eb="21">
      <t>スウ</t>
    </rPh>
    <rPh sb="22" eb="23">
      <t>ゲツ</t>
    </rPh>
    <rPh sb="27" eb="30">
      <t>カノウセイ</t>
    </rPh>
    <rPh sb="31" eb="32">
      <t>タカ</t>
    </rPh>
    <rPh sb="36" eb="37">
      <t>シメ</t>
    </rPh>
    <phoneticPr fontId="3"/>
  </si>
  <si>
    <t>・７か月後方移動平均（前月差）の符号がマイ
　ナスに変化し、マイナス幅（１か月、２か月
　または３か月の累積）が１標準偏差分以上
・当月の前月差の符号がマイナス</t>
    <phoneticPr fontId="3"/>
  </si>
  <si>
    <t>・原則として３か月以上連続して、３か月後方
　移動平均が下降
・当月の前月差の符号がマイナス</t>
    <rPh sb="1" eb="3">
      <t>ゲンソク</t>
    </rPh>
    <rPh sb="8" eb="11">
      <t>ゲツイジョウ</t>
    </rPh>
    <rPh sb="11" eb="13">
      <t>レンゾク</t>
    </rPh>
    <rPh sb="18" eb="19">
      <t>ゲツ</t>
    </rPh>
    <rPh sb="19" eb="21">
      <t>コウホウ</t>
    </rPh>
    <rPh sb="23" eb="25">
      <t>イドウ</t>
    </rPh>
    <rPh sb="25" eb="27">
      <t>ヘイキン</t>
    </rPh>
    <rPh sb="28" eb="30">
      <t>カコウ</t>
    </rPh>
    <rPh sb="32" eb="34">
      <t>トウゲツ</t>
    </rPh>
    <rPh sb="35" eb="37">
      <t>ゼンゲツ</t>
    </rPh>
    <rPh sb="37" eb="38">
      <t>サ</t>
    </rPh>
    <rPh sb="39" eb="41">
      <t>フゴウ</t>
    </rPh>
    <phoneticPr fontId="3"/>
  </si>
  <si>
    <t>・３か月後方移動平均（前月差）の符号がプラ
　スに変化し、プラス幅（１か月、２か月また
　は３か月の累積）が１標準偏差分以上
・当月の前月差の符号がプラス</t>
    <phoneticPr fontId="3"/>
  </si>
  <si>
    <t>C7 人件費比率</t>
    <rPh sb="3" eb="5">
      <t>ジンケン</t>
    </rPh>
    <rPh sb="5" eb="6">
      <t>ヒ</t>
    </rPh>
    <rPh sb="6" eb="8">
      <t>ヒリツ</t>
    </rPh>
    <phoneticPr fontId="3"/>
  </si>
  <si>
    <t>LG1 常用雇用指数</t>
    <rPh sb="4" eb="6">
      <t>ジョウヨウ</t>
    </rPh>
    <rPh sb="6" eb="8">
      <t>コヨウ</t>
    </rPh>
    <rPh sb="8" eb="10">
      <t>シスウ</t>
    </rPh>
    <phoneticPr fontId="3"/>
  </si>
  <si>
    <r>
      <t xml:space="preserve">雇用保険
受給者
実人員
</t>
    </r>
    <r>
      <rPr>
        <sz val="8"/>
        <color indexed="10"/>
        <rFont val="HGSｺﾞｼｯｸM"/>
        <family val="3"/>
        <charset val="128"/>
      </rPr>
      <t>(逆サイクル)</t>
    </r>
    <rPh sb="0" eb="2">
      <t>コヨウ</t>
    </rPh>
    <rPh sb="2" eb="4">
      <t>ホケン</t>
    </rPh>
    <rPh sb="5" eb="8">
      <t>ジュキュウシャ</t>
    </rPh>
    <rPh sb="9" eb="10">
      <t>ジツ</t>
    </rPh>
    <rPh sb="10" eb="12">
      <t>ジンイン</t>
    </rPh>
    <phoneticPr fontId="16"/>
  </si>
  <si>
    <r>
      <t xml:space="preserve">人件費
比率
</t>
    </r>
    <r>
      <rPr>
        <sz val="8"/>
        <color indexed="10"/>
        <rFont val="HGSｺﾞｼｯｸM"/>
        <family val="3"/>
        <charset val="128"/>
      </rPr>
      <t>(逆サイクル)</t>
    </r>
    <rPh sb="0" eb="2">
      <t>ジンケン</t>
    </rPh>
    <rPh sb="2" eb="3">
      <t>ヒ</t>
    </rPh>
    <rPh sb="4" eb="6">
      <t>ヒリツ</t>
    </rPh>
    <phoneticPr fontId="16"/>
  </si>
  <si>
    <r>
      <t xml:space="preserve">所定外
労働時間
</t>
    </r>
    <r>
      <rPr>
        <sz val="7"/>
        <rFont val="HGSｺﾞｼｯｸM"/>
        <family val="3"/>
        <charset val="128"/>
      </rPr>
      <t>(全産業一月当り)</t>
    </r>
    <phoneticPr fontId="16"/>
  </si>
  <si>
    <r>
      <rPr>
        <sz val="8"/>
        <rFont val="HGSｺﾞｼｯｸM"/>
        <family val="3"/>
        <charset val="128"/>
      </rPr>
      <t>完全失業率</t>
    </r>
    <r>
      <rPr>
        <sz val="10"/>
        <rFont val="HGSｺﾞｼｯｸM"/>
        <family val="3"/>
        <charset val="128"/>
      </rPr>
      <t xml:space="preserve">
</t>
    </r>
    <r>
      <rPr>
        <sz val="9"/>
        <rFont val="HGSｺﾞｼｯｸM"/>
        <family val="3"/>
        <charset val="128"/>
      </rPr>
      <t>（全国）</t>
    </r>
    <r>
      <rPr>
        <sz val="10"/>
        <rFont val="HGSｺﾞｼｯｸM"/>
        <family val="3"/>
        <charset val="128"/>
      </rPr>
      <t xml:space="preserve">
</t>
    </r>
    <r>
      <rPr>
        <sz val="8"/>
        <rFont val="HGSｺﾞｼｯｸM"/>
        <family val="3"/>
        <charset val="128"/>
      </rPr>
      <t>（季節調整値）</t>
    </r>
    <r>
      <rPr>
        <sz val="10"/>
        <color indexed="18"/>
        <rFont val="HGSｺﾞｼｯｸM"/>
        <family val="3"/>
        <charset val="128"/>
      </rPr>
      <t xml:space="preserve">
</t>
    </r>
    <r>
      <rPr>
        <sz val="8"/>
        <color indexed="10"/>
        <rFont val="HGSｺﾞｼｯｸM"/>
        <family val="3"/>
        <charset val="128"/>
      </rPr>
      <t>（逆サイクル）</t>
    </r>
    <rPh sb="0" eb="2">
      <t>カンゼン</t>
    </rPh>
    <rPh sb="2" eb="4">
      <t>シツギョウ</t>
    </rPh>
    <rPh sb="4" eb="5">
      <t>リツ</t>
    </rPh>
    <rPh sb="7" eb="9">
      <t>ゼンコク</t>
    </rPh>
    <rPh sb="12" eb="14">
      <t>キセツ</t>
    </rPh>
    <rPh sb="14" eb="16">
      <t>チョウセイ</t>
    </rPh>
    <rPh sb="16" eb="17">
      <t>チ</t>
    </rPh>
    <rPh sb="20" eb="21">
      <t>ギャク</t>
    </rPh>
    <phoneticPr fontId="3"/>
  </si>
  <si>
    <t>実質勤労者世帯
家計消費支出</t>
    <rPh sb="0" eb="2">
      <t>ジッシツ</t>
    </rPh>
    <rPh sb="2" eb="5">
      <t>キンロウシャ</t>
    </rPh>
    <rPh sb="5" eb="7">
      <t>セタイ</t>
    </rPh>
    <rPh sb="8" eb="10">
      <t>カケイ</t>
    </rPh>
    <rPh sb="10" eb="12">
      <t>ショウヒ</t>
    </rPh>
    <rPh sb="12" eb="14">
      <t>シシュツ</t>
    </rPh>
    <phoneticPr fontId="3"/>
  </si>
  <si>
    <r>
      <t xml:space="preserve">有効
求人倍率
</t>
    </r>
    <r>
      <rPr>
        <sz val="8"/>
        <rFont val="HGSｺﾞｼｯｸM"/>
        <family val="3"/>
        <charset val="128"/>
      </rPr>
      <t>(学卒・パート
を除く)</t>
    </r>
    <phoneticPr fontId="16"/>
  </si>
  <si>
    <t>注3)</t>
  </si>
  <si>
    <t>注4)</t>
  </si>
  <si>
    <t>注5)</t>
  </si>
  <si>
    <t>注1)</t>
    <phoneticPr fontId="3"/>
  </si>
  <si>
    <t>注2)</t>
    <phoneticPr fontId="168"/>
  </si>
  <si>
    <t>特記すべき事項があれば、基調判断に付記する。</t>
  </si>
  <si>
    <t>定義の欄の「景気拡張」及び「景気後退」については、すべて暫定的なものとする。</t>
    <phoneticPr fontId="168"/>
  </si>
  <si>
    <t>正式な景気循環（景気基準日付）については、ＣＩ一致指数の各採用系列から作られる
ヒストリカルＤＩ等に基づき、設定するものである。</t>
    <phoneticPr fontId="168"/>
  </si>
  <si>
    <t>「①改善」または「②足踏み」となった後に「③上方への局面変化」の基準を満たした場合、
及び、「④悪化」または「⑤下げ止まり」となった後に「③下方への局面変化」の基準を満
たした場合、「③局面変化」は適用しない。</t>
    <phoneticPr fontId="168"/>
  </si>
  <si>
    <t>Ｒ７</t>
    <phoneticPr fontId="3"/>
  </si>
  <si>
    <t>2002/H14年以前(2005/H07以降）は、数値合わず。H6までは旧系列による指数。</t>
    <rPh sb="8" eb="11">
      <t>ネンイゼン</t>
    </rPh>
    <rPh sb="20" eb="22">
      <t>イコウ</t>
    </rPh>
    <rPh sb="25" eb="27">
      <t>スウチ</t>
    </rPh>
    <rPh sb="27" eb="28">
      <t>ア</t>
    </rPh>
    <rPh sb="36" eb="39">
      <t>キュウケイレツ</t>
    </rPh>
    <rPh sb="42" eb="44">
      <t>シスウ</t>
    </rPh>
    <phoneticPr fontId="3"/>
  </si>
  <si>
    <t>R7</t>
    <phoneticPr fontId="3"/>
  </si>
  <si>
    <t>令和７年</t>
    <rPh sb="0" eb="2">
      <t>レイワ</t>
    </rPh>
    <rPh sb="3" eb="4">
      <t>ネン</t>
    </rPh>
    <phoneticPr fontId="3"/>
  </si>
  <si>
    <t>※　鉱工業生産指数の年間補正のため、全ての指数を再計算している。</t>
    <rPh sb="2" eb="7">
      <t>コウコウギョウセイサン</t>
    </rPh>
    <rPh sb="7" eb="9">
      <t>シスウ</t>
    </rPh>
    <rPh sb="10" eb="12">
      <t>ネンカン</t>
    </rPh>
    <rPh sb="12" eb="14">
      <t>ホセイ</t>
    </rPh>
    <rPh sb="18" eb="19">
      <t>スベ</t>
    </rPh>
    <rPh sb="21" eb="23">
      <t>シスウ</t>
    </rPh>
    <rPh sb="24" eb="27">
      <t>サイケイサン</t>
    </rPh>
    <phoneticPr fontId="3"/>
  </si>
  <si>
    <t>３．ｐ：速報値、ｒ：改訂値</t>
    <rPh sb="4" eb="6">
      <t>ソクホウ</t>
    </rPh>
    <rPh sb="6" eb="7">
      <t>チ</t>
    </rPh>
    <rPh sb="10" eb="12">
      <t>カイテイ</t>
    </rPh>
    <rPh sb="12" eb="13">
      <t>アタイ</t>
    </rPh>
    <phoneticPr fontId="16"/>
  </si>
  <si>
    <t>（平成10年１月から令和７年３月まで）</t>
    <rPh sb="1" eb="3">
      <t>ヘイセイ</t>
    </rPh>
    <rPh sb="5" eb="6">
      <t>ネン</t>
    </rPh>
    <rPh sb="7" eb="8">
      <t>ガツ</t>
    </rPh>
    <rPh sb="10" eb="12">
      <t>レイワ</t>
    </rPh>
    <rPh sb="13" eb="14">
      <t>ネン</t>
    </rPh>
    <rPh sb="15" eb="16">
      <t>ガツ</t>
    </rPh>
    <phoneticPr fontId="3"/>
  </si>
  <si>
    <t>新設住宅着工数</t>
    <rPh sb="0" eb="2">
      <t>シンセツ</t>
    </rPh>
    <rPh sb="2" eb="4">
      <t>ジュウタク</t>
    </rPh>
    <rPh sb="4" eb="6">
      <t>チャッコウ</t>
    </rPh>
    <rPh sb="6" eb="7">
      <t>スウ</t>
    </rPh>
    <phoneticPr fontId="3"/>
  </si>
  <si>
    <t>国土交通省
県建築住宅課</t>
    <rPh sb="0" eb="5">
      <t>コクドコウツウショウ</t>
    </rPh>
    <rPh sb="6" eb="7">
      <t>ケン</t>
    </rPh>
    <rPh sb="7" eb="9">
      <t>ケンチク</t>
    </rPh>
    <rPh sb="9" eb="11">
      <t>ジュウタク</t>
    </rPh>
    <phoneticPr fontId="3"/>
  </si>
  <si>
    <t>建築着工統計調査
新設住宅着工統計</t>
    <rPh sb="0" eb="2">
      <t>ケンチク</t>
    </rPh>
    <rPh sb="2" eb="4">
      <t>チャッコウ</t>
    </rPh>
    <rPh sb="4" eb="6">
      <t>トウケイ</t>
    </rPh>
    <rPh sb="6" eb="8">
      <t>チョウサ</t>
    </rPh>
    <rPh sb="9" eb="11">
      <t>シンセツ</t>
    </rPh>
    <rPh sb="11" eb="13">
      <t>ジュウタク</t>
    </rPh>
    <rPh sb="13" eb="15">
      <t>チャッコウ</t>
    </rPh>
    <rPh sb="15" eb="17">
      <t>トウケイ</t>
    </rPh>
    <phoneticPr fontId="3"/>
  </si>
  <si>
    <t>C8 輸出入通関実績</t>
  </si>
  <si>
    <t>「①改善」または「②足踏み」から、「④悪化」または「⑤下げ止まり」に移行する場合は、
「③下方への局面変化」を経る。
　なお、「①改善」または「②足踏み」から、「③下方への局面変化」に移行した時点で、
　既に景気後退局面に入った可能性が高いことを暫定的に示している。
「④悪化」または「⑤下げ止まり」から、「①改善」または「②足踏み」に移行する場合は、
「③上方への局面変化」を経る。
　なお、「④悪化」または「⑤下げ止まり」から、「③上方への局面変化」に移行した時点
で、既に景気拡張局面に入った可能性が高いことを暫定的に示している。</t>
    <phoneticPr fontId="3"/>
  </si>
  <si>
    <t>C5 鉱工業生産指数</t>
  </si>
  <si>
    <t>C6 生産財生産指数</t>
  </si>
  <si>
    <t>C7 人件費比率</t>
  </si>
  <si>
    <t xml:space="preserve">C4 投資財生産指数 </t>
  </si>
  <si>
    <t>C3 所定外労働時間数</t>
  </si>
  <si>
    <t>C2 雇用保険受給者実人員</t>
  </si>
  <si>
    <t>C1 有効求人倍率</t>
  </si>
  <si>
    <t>Ｒ8</t>
    <phoneticPr fontId="3"/>
  </si>
  <si>
    <t>R8</t>
  </si>
  <si>
    <t>R9</t>
  </si>
  <si>
    <t>完全失業率（全国）（季節調整値）は、季節調整指数の改訂により令和７年12月以前の値を再計算している。</t>
    <rPh sb="0" eb="2">
      <t>カンゼン</t>
    </rPh>
    <rPh sb="2" eb="4">
      <t>シツギョウ</t>
    </rPh>
    <rPh sb="4" eb="5">
      <t>リツ</t>
    </rPh>
    <rPh sb="6" eb="8">
      <t>ゼンコク</t>
    </rPh>
    <rPh sb="10" eb="12">
      <t>キセツ</t>
    </rPh>
    <rPh sb="12" eb="15">
      <t>チョウセイチ</t>
    </rPh>
    <rPh sb="18" eb="20">
      <t>キセツ</t>
    </rPh>
    <rPh sb="20" eb="22">
      <t>チョウセイ</t>
    </rPh>
    <rPh sb="22" eb="24">
      <t>シスウ</t>
    </rPh>
    <rPh sb="25" eb="27">
      <t>カイテイ</t>
    </rPh>
    <rPh sb="30" eb="32">
      <t>レイワ</t>
    </rPh>
    <rPh sb="33" eb="34">
      <t>ネン</t>
    </rPh>
    <rPh sb="36" eb="37">
      <t>ガツ</t>
    </rPh>
    <rPh sb="37" eb="39">
      <t>イゼン</t>
    </rPh>
    <rPh sb="40" eb="41">
      <t>アタイ</t>
    </rPh>
    <phoneticPr fontId="3"/>
  </si>
  <si>
    <t>R７</t>
  </si>
  <si>
    <t>R８</t>
  </si>
  <si>
    <t>令和８年</t>
    <rPh sb="0" eb="2">
      <t>レイワ</t>
    </rPh>
    <rPh sb="3" eb="4">
      <t>ネン</t>
    </rPh>
    <phoneticPr fontId="3"/>
  </si>
  <si>
    <t>R８</t>
    <phoneticPr fontId="3"/>
  </si>
  <si>
    <t>TEL 019-651-3111（代表） 内線5300　</t>
    <rPh sb="17" eb="19">
      <t>ダイヒョウ</t>
    </rPh>
    <rPh sb="21" eb="23">
      <t>ナイセン</t>
    </rPh>
    <phoneticPr fontId="3"/>
  </si>
  <si>
    <t>019-629-5300（ダイヤルイン）　</t>
    <phoneticPr fontId="3"/>
  </si>
  <si>
    <t>６．ＣＩ時系列表</t>
    <rPh sb="7" eb="8">
      <t>ヒョウ</t>
    </rPh>
    <phoneticPr fontId="3"/>
  </si>
  <si>
    <t>先行指数</t>
    <rPh sb="0" eb="1">
      <t>センコウ</t>
    </rPh>
    <rPh sb="1" eb="3">
      <t>シスウ</t>
    </rPh>
    <phoneticPr fontId="16"/>
  </si>
  <si>
    <t>年月</t>
    <rPh sb="0" eb="1">
      <t>ネンゲツ</t>
    </rPh>
    <phoneticPr fontId="3"/>
  </si>
  <si>
    <t>投資</t>
    <rPh sb="0" eb="1">
      <t>トウシ</t>
    </rPh>
    <phoneticPr fontId="3"/>
  </si>
  <si>
    <t>30</t>
    <phoneticPr fontId="3"/>
  </si>
  <si>
    <t>２か月ぶりの
上昇</t>
    <rPh sb="1" eb="2">
      <t>ゲツ</t>
    </rPh>
    <rPh sb="7" eb="9">
      <t>ジョウショウ</t>
    </rPh>
    <phoneticPr fontId="3"/>
  </si>
  <si>
    <t>３か月連続の
上昇</t>
    <rPh sb="3" eb="5">
      <t>レンゾク</t>
    </rPh>
    <rPh sb="7" eb="9">
      <t>ジョウショウ</t>
    </rPh>
    <phoneticPr fontId="3"/>
  </si>
  <si>
    <t>４か月ぶりの
上昇</t>
    <rPh sb="7" eb="9">
      <t>ジョウショウ</t>
    </rPh>
    <phoneticPr fontId="3"/>
  </si>
  <si>
    <t>６か月連続の
上昇</t>
    <rPh sb="0" eb="1">
      <t>ゲツ</t>
    </rPh>
    <rPh sb="1" eb="3">
      <t>レンゾク</t>
    </rPh>
    <rPh sb="5" eb="7">
      <t>ジョウショウ</t>
    </rPh>
    <phoneticPr fontId="3"/>
  </si>
  <si>
    <t>３か月連続の
下降</t>
    <rPh sb="2" eb="3">
      <t>ゲツ</t>
    </rPh>
    <rPh sb="3" eb="5">
      <t>レンゾク</t>
    </rPh>
    <rPh sb="7" eb="9">
      <t>カコウ</t>
    </rPh>
    <phoneticPr fontId="3"/>
  </si>
  <si>
    <t>４か月連続の
上昇</t>
    <rPh sb="2" eb="4">
      <t>ジョウショウ</t>
    </rPh>
    <phoneticPr fontId="3"/>
  </si>
  <si>
    <t>３か月連続の
上昇</t>
    <rPh sb="2" eb="4">
      <t>レンゾク</t>
    </rPh>
    <rPh sb="4" eb="6">
      <t>カコウ</t>
    </rPh>
    <rPh sb="6" eb="8">
      <t>ジョウショウ</t>
    </rPh>
    <phoneticPr fontId="3"/>
  </si>
  <si>
    <t>11か月連続の
下降</t>
    <rPh sb="4" eb="6">
      <t>レンゾク</t>
    </rPh>
    <rPh sb="6" eb="8">
      <t>カコウ</t>
    </rPh>
    <phoneticPr fontId="3"/>
  </si>
  <si>
    <t>　　指数およびその推移は前月から連続していない。</t>
    <rPh sb="2" eb="4">
      <t>シスウ</t>
    </rPh>
    <rPh sb="8" eb="10">
      <t>スイイ</t>
    </rPh>
    <rPh sb="11" eb="13">
      <t>ゼンゲツ</t>
    </rPh>
    <rPh sb="15" eb="17">
      <t>レンゾク</t>
    </rPh>
    <phoneticPr fontId="3"/>
  </si>
  <si>
    <t>３．</t>
  </si>
  <si>
    <t>４．</t>
  </si>
  <si>
    <t>令和８年７月２日</t>
    <rPh sb="0" eb="2">
      <t>レイワ</t>
    </rPh>
    <rPh sb="3" eb="4">
      <t>ネン</t>
    </rPh>
    <rPh sb="5" eb="6">
      <t>ガツ</t>
    </rPh>
    <rPh sb="7" eb="8">
      <t>ヒ</t>
    </rPh>
    <phoneticPr fontId="3"/>
  </si>
  <si>
    <t>景気動向指数（ＣＩ一致指数）は、上方への局面変化を示している。</t>
    <rPh sb="16" eb="18">
      <t>ジョウホウ</t>
    </rPh>
    <rPh sb="20" eb="22">
      <t>キョクメン</t>
    </rPh>
    <rPh sb="22" eb="24">
      <t>ヘンカ</t>
    </rPh>
    <phoneticPr fontId="3"/>
  </si>
  <si>
    <t>※　鉱工業生産指数の年間補正により、全ての景気動向指数を再計算しているため、</t>
    <rPh sb="21" eb="23">
      <t>ケイキ</t>
    </rPh>
    <rPh sb="23" eb="25">
      <t>ドウコウ</t>
    </rPh>
    <phoneticPr fontId="3"/>
  </si>
  <si>
    <t>※　鉱工業生産指数の年間補正のため、ＣＩ先行指数は再計算している。</t>
    <rPh sb="2" eb="7">
      <t>コウコウギョウセイサン</t>
    </rPh>
    <rPh sb="7" eb="9">
      <t>シスウ</t>
    </rPh>
    <rPh sb="10" eb="12">
      <t>ネンカン</t>
    </rPh>
    <rPh sb="12" eb="14">
      <t>ホセイ</t>
    </rPh>
    <rPh sb="20" eb="22">
      <t>センコウ</t>
    </rPh>
    <rPh sb="22" eb="23">
      <t>スウ</t>
    </rPh>
    <rPh sb="25" eb="26">
      <t>サイ</t>
    </rPh>
    <rPh sb="26" eb="28">
      <t>ケイサン</t>
    </rPh>
    <phoneticPr fontId="3"/>
  </si>
  <si>
    <t>※　鉱工業生産指数の年間補正のため、ＣＩ一致指数は再計算している。</t>
    <rPh sb="2" eb="7">
      <t>コウコウギョウセイサン</t>
    </rPh>
    <rPh sb="7" eb="9">
      <t>シスウ</t>
    </rPh>
    <rPh sb="10" eb="12">
      <t>ネンカン</t>
    </rPh>
    <rPh sb="12" eb="14">
      <t>ホセイ</t>
    </rPh>
    <rPh sb="20" eb="22">
      <t>イッチ</t>
    </rPh>
    <rPh sb="22" eb="23">
      <t>スウ</t>
    </rPh>
    <rPh sb="25" eb="26">
      <t>サイ</t>
    </rPh>
    <rPh sb="26" eb="28">
      <t>ケイサン</t>
    </rPh>
    <phoneticPr fontId="3"/>
  </si>
  <si>
    <t>※　鉱工業生産指数の年間補正のため、ＣＩ遅行指数は再計算している。</t>
    <rPh sb="2" eb="7">
      <t>コウコウギョウセイサン</t>
    </rPh>
    <rPh sb="7" eb="9">
      <t>シスウ</t>
    </rPh>
    <rPh sb="10" eb="12">
      <t>ネンカン</t>
    </rPh>
    <rPh sb="12" eb="14">
      <t>ホセイ</t>
    </rPh>
    <rPh sb="20" eb="21">
      <t>オソ</t>
    </rPh>
    <rPh sb="22" eb="23">
      <t>スウ</t>
    </rPh>
    <rPh sb="25" eb="26">
      <t>サイ</t>
    </rPh>
    <rPh sb="26" eb="28">
      <t>ケイサン</t>
    </rPh>
    <phoneticPr fontId="3"/>
  </si>
  <si>
    <t>鉱工業生産指数の年間補正のため、該当の指数を再計算している。</t>
    <rPh sb="0" eb="4">
      <t>コウコウギョウセイサン</t>
    </rPh>
    <rPh sb="4" eb="6">
      <t>シスウ</t>
    </rPh>
    <rPh sb="7" eb="9">
      <t>ネンカン</t>
    </rPh>
    <rPh sb="9" eb="11">
      <t>ホセイ</t>
    </rPh>
    <rPh sb="15" eb="16">
      <t>スベ</t>
    </rPh>
    <rPh sb="16" eb="18">
      <t>ガイトウ</t>
    </rPh>
    <rPh sb="18" eb="20">
      <t>シスウ</t>
    </rPh>
    <rPh sb="21" eb="24">
      <t>サイケイサン</t>
    </rPh>
    <phoneticPr fontId="3"/>
  </si>
  <si>
    <t>＋</t>
  </si>
  <si>
    <t>－</t>
  </si>
  <si>
    <t>0</t>
  </si>
  <si>
    <t>1月</t>
  </si>
  <si>
    <t>2月</t>
  </si>
  <si>
    <t>3月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</si>
</sst>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76" formatCode="0.0_ "/>
    <numFmt numFmtId="177" formatCode="#,##0.0_ "/>
    <numFmt numFmtId="178" formatCode="0.0_);[Red]\(0.0\)"/>
    <numFmt numFmtId="179" formatCode="0_);[Red]\(0\)"/>
    <numFmt numFmtId="180" formatCode="0_ "/>
    <numFmt numFmtId="181" formatCode="0.00_ "/>
    <numFmt numFmtId="182" formatCode="0.0"/>
    <numFmt numFmtId="183" formatCode="0.000"/>
    <numFmt numFmtId="184" formatCode="#,##0.0"/>
    <numFmt numFmtId="185" formatCode="0.0;&quot;▲ &quot;0.0"/>
    <numFmt numFmtId="186" formatCode="[DBNum3][$-411]0"/>
    <numFmt numFmtId="187" formatCode="0&quot; 月分&quot;"/>
    <numFmt numFmtId="188" formatCode="yy/m/d\ h:mm"/>
    <numFmt numFmtId="189" formatCode="\ 0.0;&quot;▲ &quot;0.0"/>
    <numFmt numFmtId="190" formatCode="0.00000"/>
    <numFmt numFmtId="191" formatCode="0&quot;月分&quot;"/>
    <numFmt numFmtId="192" formatCode="0.000_ "/>
    <numFmt numFmtId="193" formatCode="&quot;ｐ&quot;\ 0.0;&quot;ｐ &quot;\-0.0"/>
    <numFmt numFmtId="194" formatCode="#,##0.0;[Red]\-#,##0.0"/>
    <numFmt numFmtId="195" formatCode="#,##0;&quot;▲ &quot;#,##0"/>
    <numFmt numFmtId="196" formatCode="0.00_ ;[Red]\-0.00\ "/>
    <numFmt numFmtId="197" formatCode="&quot;r &quot;#,##0;&quot;▲ &quot;#,##0"/>
    <numFmt numFmtId="198" formatCode="&quot;R &quot;#"/>
    <numFmt numFmtId="199" formatCode="0&quot;年&quot;"/>
    <numFmt numFmtId="200" formatCode="&quot;r &quot;0.00_ ;[Red]&quot;r &quot;\-0.00"/>
    <numFmt numFmtId="201" formatCode="0.0000_ "/>
    <numFmt numFmtId="202" formatCode="&quot;r &quot;0.00;[Red]&quot;r &quot;\-0.00"/>
    <numFmt numFmtId="203" formatCode="0.0;&quot;ｐ ▲&quot;0.0"/>
    <numFmt numFmtId="204" formatCode="0.0;&quot;ｐ &quot;\-0.0"/>
    <numFmt numFmtId="205" formatCode="&quot;r &quot;0.0;[Red]&quot;r &quot;\-0.0"/>
  </numFmts>
  <fonts count="185">
    <font>
      <sz val="11"/>
      <color theme="1"/>
      <name val="ＭＳ Ｐゴシック"/>
      <family val="3"/>
      <charset val="128"/>
      <scheme val="minor"/>
    </font>
    <font>
      <sz val="11"/>
      <color indexed="8"/>
      <name val="ＭＳ Ｐゴシック"/>
      <family val="3"/>
      <charset val="128"/>
    </font>
    <font>
      <sz val="12"/>
      <name val="ＭＳ Ｐゴシック"/>
      <family val="3"/>
    </font>
    <font>
      <sz val="6"/>
      <name val="ＭＳ Ｐゴシック"/>
      <family val="3"/>
      <charset val="128"/>
    </font>
    <font>
      <sz val="8"/>
      <name val="ＭＳ 明朝"/>
      <family val="1"/>
      <charset val="128"/>
    </font>
    <font>
      <sz val="11"/>
      <name val="ＭＳ Ｐゴシック"/>
      <family val="3"/>
      <charset val="128"/>
    </font>
    <font>
      <b/>
      <sz val="12"/>
      <name val="ＭＳ Ｐゴシック"/>
      <family val="3"/>
      <charset val="128"/>
    </font>
    <font>
      <sz val="12"/>
      <color indexed="12"/>
      <name val="ＭＳ Ｐゴシック"/>
      <family val="3"/>
    </font>
    <font>
      <sz val="10"/>
      <name val="ＭＳ Ｐゴシック"/>
      <family val="3"/>
      <charset val="128"/>
    </font>
    <font>
      <sz val="10"/>
      <name val="ＭＳ 明朝"/>
      <family val="1"/>
      <charset val="128"/>
    </font>
    <font>
      <sz val="9"/>
      <name val="ＭＳ 明朝"/>
      <family val="1"/>
      <charset val="128"/>
    </font>
    <font>
      <sz val="12"/>
      <name val="ＭＳ 明朝"/>
      <family val="1"/>
      <charset val="128"/>
    </font>
    <font>
      <u/>
      <sz val="9.6999999999999993"/>
      <color indexed="12"/>
      <name val="ＭＳ 明朝"/>
      <family val="1"/>
      <charset val="128"/>
    </font>
    <font>
      <sz val="8"/>
      <name val="ＭＳ Ｐゴシック"/>
      <family val="3"/>
      <charset val="128"/>
    </font>
    <font>
      <sz val="14"/>
      <name val="ＭＳ 明朝"/>
      <family val="1"/>
      <charset val="128"/>
    </font>
    <font>
      <b/>
      <sz val="10"/>
      <name val="ＭＳ Ｐゴシック"/>
      <family val="3"/>
      <charset val="128"/>
    </font>
    <font>
      <sz val="6"/>
      <name val="ＭＳ Ｐ明朝"/>
      <family val="1"/>
      <charset val="128"/>
    </font>
    <font>
      <sz val="11"/>
      <name val="ＭＳ 明朝"/>
      <family val="1"/>
      <charset val="128"/>
    </font>
    <font>
      <b/>
      <sz val="11"/>
      <name val="ＭＳ 明朝"/>
      <family val="1"/>
      <charset val="128"/>
    </font>
    <font>
      <b/>
      <sz val="11"/>
      <name val="ＭＳ Ｐゴシック"/>
      <family val="3"/>
      <charset val="128"/>
    </font>
    <font>
      <b/>
      <sz val="12"/>
      <name val="ＭＳ ゴシック"/>
      <family val="3"/>
      <charset val="128"/>
    </font>
    <font>
      <b/>
      <sz val="12"/>
      <color indexed="12"/>
      <name val="ＭＳ 明朝"/>
      <family val="1"/>
      <charset val="128"/>
    </font>
    <font>
      <b/>
      <sz val="12"/>
      <color indexed="43"/>
      <name val="ＭＳ 明朝"/>
      <family val="1"/>
      <charset val="128"/>
    </font>
    <font>
      <b/>
      <sz val="16"/>
      <name val="ＭＳ 明朝"/>
      <family val="1"/>
      <charset val="128"/>
    </font>
    <font>
      <b/>
      <sz val="36"/>
      <color indexed="53"/>
      <name val="ＭＳ 明朝"/>
      <family val="1"/>
      <charset val="128"/>
    </font>
    <font>
      <b/>
      <sz val="28"/>
      <name val="ＭＳ 明朝"/>
      <family val="1"/>
      <charset val="128"/>
    </font>
    <font>
      <sz val="12"/>
      <color indexed="48"/>
      <name val="ＭＳ 明朝"/>
      <family val="1"/>
      <charset val="128"/>
    </font>
    <font>
      <b/>
      <sz val="10"/>
      <color indexed="48"/>
      <name val="ＭＳ 明朝"/>
      <family val="1"/>
      <charset val="128"/>
    </font>
    <font>
      <b/>
      <sz val="14"/>
      <color indexed="12"/>
      <name val="ＭＳ 明朝"/>
      <family val="1"/>
      <charset val="128"/>
    </font>
    <font>
      <b/>
      <sz val="12"/>
      <color indexed="48"/>
      <name val="ＭＳ 明朝"/>
      <family val="1"/>
      <charset val="128"/>
    </font>
    <font>
      <sz val="9"/>
      <color indexed="12"/>
      <name val="ＭＳ 明朝"/>
      <family val="1"/>
      <charset val="128"/>
    </font>
    <font>
      <sz val="11"/>
      <color indexed="10"/>
      <name val="ＭＳ Ｐゴシック"/>
      <family val="3"/>
      <charset val="128"/>
    </font>
    <font>
      <b/>
      <sz val="11"/>
      <color indexed="10"/>
      <name val="ＭＳ Ｐゴシック"/>
      <family val="3"/>
      <charset val="128"/>
    </font>
    <font>
      <sz val="14"/>
      <name val="ＭＳ ゴシック"/>
      <family val="3"/>
      <charset val="128"/>
    </font>
    <font>
      <b/>
      <sz val="12"/>
      <color indexed="12"/>
      <name val="ＭＳ Ｐゴシック"/>
      <family val="3"/>
    </font>
    <font>
      <sz val="36"/>
      <name val="HGSｺﾞｼｯｸE"/>
      <family val="3"/>
      <charset val="128"/>
    </font>
    <font>
      <sz val="12"/>
      <name val="HGSｺﾞｼｯｸM"/>
      <family val="3"/>
      <charset val="128"/>
    </font>
    <font>
      <sz val="11"/>
      <name val="HGSｺﾞｼｯｸM"/>
      <family val="3"/>
      <charset val="128"/>
    </font>
    <font>
      <b/>
      <sz val="11"/>
      <name val="HGSｺﾞｼｯｸM"/>
      <family val="3"/>
      <charset val="128"/>
    </font>
    <font>
      <sz val="8"/>
      <name val="HGSｺﾞｼｯｸM"/>
      <family val="3"/>
      <charset val="128"/>
    </font>
    <font>
      <sz val="6"/>
      <name val="HGSｺﾞｼｯｸM"/>
      <family val="3"/>
      <charset val="128"/>
    </font>
    <font>
      <b/>
      <sz val="14"/>
      <name val="HGSｺﾞｼｯｸE"/>
      <family val="3"/>
      <charset val="128"/>
    </font>
    <font>
      <b/>
      <sz val="12"/>
      <name val="HGSｺﾞｼｯｸE"/>
      <family val="3"/>
      <charset val="128"/>
    </font>
    <font>
      <sz val="10"/>
      <name val="HGSｺﾞｼｯｸM"/>
      <family val="3"/>
      <charset val="128"/>
    </font>
    <font>
      <sz val="9"/>
      <name val="HGSｺﾞｼｯｸM"/>
      <family val="3"/>
      <charset val="128"/>
    </font>
    <font>
      <sz val="10"/>
      <color indexed="8"/>
      <name val="HGSｺﾞｼｯｸM"/>
      <family val="3"/>
      <charset val="128"/>
    </font>
    <font>
      <b/>
      <sz val="12"/>
      <name val="HGSｺﾞｼｯｸM"/>
      <family val="3"/>
      <charset val="128"/>
    </font>
    <font>
      <sz val="7"/>
      <name val="HGSｺﾞｼｯｸM"/>
      <family val="3"/>
      <charset val="128"/>
    </font>
    <font>
      <sz val="10"/>
      <name val="HGSｺﾞｼｯｸE"/>
      <family val="3"/>
      <charset val="128"/>
    </font>
    <font>
      <sz val="12"/>
      <name val="HGSｺﾞｼｯｸE"/>
      <family val="3"/>
      <charset val="128"/>
    </font>
    <font>
      <b/>
      <sz val="10"/>
      <name val="HGSｺﾞｼｯｸE"/>
      <family val="3"/>
      <charset val="128"/>
    </font>
    <font>
      <b/>
      <sz val="10"/>
      <name val="HGSｺﾞｼｯｸM"/>
      <family val="3"/>
      <charset val="128"/>
    </font>
    <font>
      <b/>
      <sz val="9"/>
      <name val="HGSｺﾞｼｯｸM"/>
      <family val="3"/>
      <charset val="128"/>
    </font>
    <font>
      <b/>
      <sz val="14"/>
      <name val="HGSｺﾞｼｯｸM"/>
      <family val="3"/>
      <charset val="128"/>
    </font>
    <font>
      <b/>
      <sz val="12"/>
      <color indexed="12"/>
      <name val="HGSｺﾞｼｯｸM"/>
      <family val="3"/>
      <charset val="128"/>
    </font>
    <font>
      <sz val="12"/>
      <color indexed="12"/>
      <name val="HGSｺﾞｼｯｸM"/>
      <family val="3"/>
      <charset val="128"/>
    </font>
    <font>
      <b/>
      <sz val="16"/>
      <name val="HGSｺﾞｼｯｸM"/>
      <family val="3"/>
      <charset val="128"/>
    </font>
    <font>
      <sz val="11"/>
      <color indexed="8"/>
      <name val="HGSｺﾞｼｯｸM"/>
      <family val="3"/>
      <charset val="128"/>
    </font>
    <font>
      <b/>
      <sz val="11"/>
      <name val="HGSｺﾞｼｯｸE"/>
      <family val="3"/>
      <charset val="128"/>
    </font>
    <font>
      <sz val="11"/>
      <name val="HGSｺﾞｼｯｸE"/>
      <family val="3"/>
      <charset val="128"/>
    </font>
    <font>
      <b/>
      <sz val="9"/>
      <name val="HGSｺﾞｼｯｸE"/>
      <family val="3"/>
      <charset val="128"/>
    </font>
    <font>
      <b/>
      <sz val="12"/>
      <color indexed="12"/>
      <name val="HGSｺﾞｼｯｸE"/>
      <family val="3"/>
      <charset val="128"/>
    </font>
    <font>
      <sz val="11"/>
      <color indexed="10"/>
      <name val="HGSｺﾞｼｯｸM"/>
      <family val="3"/>
      <charset val="128"/>
    </font>
    <font>
      <b/>
      <sz val="11"/>
      <color indexed="10"/>
      <name val="HGSｺﾞｼｯｸM"/>
      <family val="3"/>
      <charset val="128"/>
    </font>
    <font>
      <sz val="9"/>
      <name val="HGSｺﾞｼｯｸE"/>
      <family val="3"/>
      <charset val="128"/>
    </font>
    <font>
      <sz val="12"/>
      <name val="ＭＳ Ｐゴシック"/>
      <family val="3"/>
    </font>
    <font>
      <sz val="1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b/>
      <u/>
      <sz val="9"/>
      <color indexed="12"/>
      <name val="HGSｺﾞｼｯｸE"/>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14"/>
      <name val="HGSｺﾞｼｯｸM"/>
      <family val="3"/>
      <charset val="128"/>
    </font>
    <font>
      <sz val="9"/>
      <color indexed="8"/>
      <name val="ＭＳ Ｐゴシック"/>
      <family val="3"/>
      <charset val="128"/>
    </font>
    <font>
      <sz val="10"/>
      <color indexed="10"/>
      <name val="HGSｺﾞｼｯｸM"/>
      <family val="3"/>
      <charset val="128"/>
    </font>
    <font>
      <sz val="14"/>
      <name val="HGSｺﾞｼｯｸE"/>
      <family val="3"/>
      <charset val="128"/>
    </font>
    <font>
      <b/>
      <sz val="14"/>
      <color indexed="12"/>
      <name val="HGSｺﾞｼｯｸE"/>
      <family val="3"/>
      <charset val="128"/>
    </font>
    <font>
      <b/>
      <sz val="18"/>
      <name val="HGSｺﾞｼｯｸE"/>
      <family val="3"/>
      <charset val="128"/>
    </font>
    <font>
      <sz val="18"/>
      <name val="HGSｺﾞｼｯｸE"/>
      <family val="3"/>
      <charset val="128"/>
    </font>
    <font>
      <sz val="10"/>
      <name val="ＭＳ ゴシック"/>
      <family val="3"/>
      <charset val="128"/>
    </font>
    <font>
      <sz val="15"/>
      <name val="HGSｺﾞｼｯｸM"/>
      <family val="3"/>
      <charset val="128"/>
    </font>
    <font>
      <sz val="14"/>
      <color indexed="8"/>
      <name val="ＭＳ Ｐゴシック"/>
      <family val="3"/>
      <charset val="128"/>
    </font>
    <font>
      <sz val="14"/>
      <name val="ＭＳ Ｐゴシック"/>
      <family val="3"/>
      <charset val="128"/>
    </font>
    <font>
      <b/>
      <sz val="8"/>
      <name val="HGSｺﾞｼｯｸM"/>
      <family val="3"/>
      <charset val="128"/>
    </font>
    <font>
      <b/>
      <sz val="22"/>
      <name val="HGSｺﾞｼｯｸE"/>
      <family val="3"/>
      <charset val="128"/>
    </font>
    <font>
      <sz val="8"/>
      <color indexed="10"/>
      <name val="HGSｺﾞｼｯｸM"/>
      <family val="3"/>
      <charset val="128"/>
    </font>
    <font>
      <sz val="16"/>
      <name val="HGSｺﾞｼｯｸM"/>
      <family val="3"/>
      <charset val="128"/>
    </font>
    <font>
      <sz val="10.5"/>
      <name val="HGSｺﾞｼｯｸM"/>
      <family val="3"/>
      <charset val="128"/>
    </font>
    <font>
      <sz val="10"/>
      <color indexed="18"/>
      <name val="HGSｺﾞｼｯｸM"/>
      <family val="3"/>
      <charset val="128"/>
    </font>
    <font>
      <b/>
      <sz val="13"/>
      <name val="HGSｺﾞｼｯｸE"/>
      <family val="3"/>
      <charset val="128"/>
    </font>
    <font>
      <sz val="9"/>
      <color indexed="81"/>
      <name val="MS P ゴシック"/>
      <family val="3"/>
      <charset val="128"/>
    </font>
    <font>
      <b/>
      <sz val="9"/>
      <color indexed="81"/>
      <name val="MS P ゴシック"/>
      <family val="3"/>
      <charset val="128"/>
    </font>
    <font>
      <b/>
      <sz val="20"/>
      <color indexed="10"/>
      <name val="MS P ゴシック"/>
      <family val="3"/>
      <charset val="128"/>
    </font>
    <font>
      <sz val="20"/>
      <color indexed="81"/>
      <name val="MS P ゴシック"/>
      <family val="3"/>
      <charset val="128"/>
    </font>
    <font>
      <b/>
      <sz val="9"/>
      <color indexed="33"/>
      <name val="MS P ゴシック"/>
      <family val="3"/>
      <charset val="128"/>
    </font>
    <font>
      <sz val="6"/>
      <name val="ＭＳ 明朝"/>
      <family val="1"/>
      <charset val="128"/>
    </font>
    <font>
      <sz val="6"/>
      <name val="ＭＳ Ｐゴシック"/>
      <family val="3"/>
      <charset val="128"/>
    </font>
    <font>
      <sz val="11"/>
      <color theme="1"/>
      <name val="ＭＳ Ｐゴシック"/>
      <family val="3"/>
      <charset val="128"/>
      <scheme val="minor"/>
    </font>
    <font>
      <sz val="10"/>
      <color theme="1"/>
      <name val="ＭＳ 明朝"/>
      <family val="1"/>
      <charset val="128"/>
    </font>
    <font>
      <sz val="11"/>
      <color theme="1"/>
      <name val="ＭＳ Ｐゴシック"/>
      <family val="3"/>
      <charset val="128"/>
    </font>
    <font>
      <sz val="11"/>
      <color rgb="FFFF0000"/>
      <name val="ＭＳ 明朝"/>
      <family val="1"/>
      <charset val="128"/>
    </font>
    <font>
      <sz val="14"/>
      <color rgb="FF0070C0"/>
      <name val="HGSｺﾞｼｯｸM"/>
      <family val="3"/>
      <charset val="128"/>
    </font>
    <font>
      <sz val="8"/>
      <color rgb="FF0070C0"/>
      <name val="HGSｺﾞｼｯｸM"/>
      <family val="3"/>
      <charset val="128"/>
    </font>
    <font>
      <sz val="10"/>
      <color rgb="FF0070C0"/>
      <name val="HGSｺﾞｼｯｸM"/>
      <family val="3"/>
      <charset val="128"/>
    </font>
    <font>
      <sz val="11"/>
      <name val="ＭＳ Ｐゴシック"/>
      <family val="3"/>
      <charset val="128"/>
      <scheme val="minor"/>
    </font>
    <font>
      <sz val="10"/>
      <color rgb="FFFF0000"/>
      <name val="HGSｺﾞｼｯｸM"/>
      <family val="3"/>
      <charset val="128"/>
    </font>
    <font>
      <u/>
      <sz val="10"/>
      <color rgb="FFFF0000"/>
      <name val="HGSｺﾞｼｯｸM"/>
      <family val="3"/>
      <charset val="128"/>
    </font>
    <font>
      <sz val="12"/>
      <color theme="3"/>
      <name val="HGSｺﾞｼｯｸM"/>
      <family val="3"/>
      <charset val="128"/>
    </font>
    <font>
      <b/>
      <sz val="12"/>
      <color rgb="FFFF0000"/>
      <name val="HGSｺﾞｼｯｸM"/>
      <family val="3"/>
      <charset val="128"/>
    </font>
    <font>
      <sz val="10"/>
      <color theme="1"/>
      <name val="HGSｺﾞｼｯｸM"/>
      <family val="3"/>
      <charset val="128"/>
    </font>
    <font>
      <sz val="11"/>
      <color rgb="FFFF0000"/>
      <name val="HGSｺﾞｼｯｸM"/>
      <family val="3"/>
      <charset val="128"/>
    </font>
    <font>
      <sz val="10"/>
      <color rgb="FF000099"/>
      <name val="HGSｺﾞｼｯｸM"/>
      <family val="3"/>
      <charset val="128"/>
    </font>
    <font>
      <sz val="11"/>
      <color rgb="FF0070C0"/>
      <name val="HGSｺﾞｼｯｸM"/>
      <family val="3"/>
      <charset val="128"/>
    </font>
  </fonts>
  <fills count="17">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53"/>
        <bgColor indexed="64"/>
      </patternFill>
    </fill>
    <fill>
      <patternFill patternType="solid">
        <fgColor indexed="47"/>
        <bgColor indexed="64"/>
      </patternFill>
    </fill>
    <fill>
      <patternFill patternType="solid">
        <fgColor indexed="15"/>
        <bgColor indexed="64"/>
      </patternFill>
    </fill>
    <fill>
      <patternFill patternType="solid">
        <fgColor indexed="43"/>
        <bgColor indexed="64"/>
      </patternFill>
    </fill>
    <fill>
      <patternFill patternType="solid">
        <fgColor indexed="26"/>
        <bgColor indexed="64"/>
      </patternFill>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1"/>
        <bgColor indexed="64"/>
      </patternFill>
    </fill>
    <fill>
      <patternFill patternType="solid">
        <fgColor rgb="FFFFFF99"/>
        <bgColor indexed="64"/>
      </patternFill>
    </fill>
    <fill>
      <patternFill patternType="solid">
        <fgColor theme="0"/>
        <bgColor indexed="64"/>
      </patternFill>
    </fill>
    <fill>
      <patternFill patternType="solid">
        <fgColor rgb="FFCCFFFF"/>
        <bgColor indexed="64"/>
      </patternFill>
    </fill>
    <fill>
      <patternFill patternType="solid">
        <fgColor rgb="FFFFFF00"/>
        <bgColor indexed="64"/>
      </patternFill>
    </fill>
  </fills>
  <borders count="250">
    <border>
      <left/>
      <right/>
      <top/>
      <bottom/>
      <diagonal/>
    </border>
    <border>
      <left style="hair">
        <color indexed="64"/>
      </left>
      <right style="hair">
        <color indexed="64"/>
      </right>
      <top/>
      <bottom/>
      <diagonal/>
    </border>
    <border>
      <left style="thick">
        <color indexed="17"/>
      </left>
      <right style="thick">
        <color indexed="17"/>
      </right>
      <top style="thick">
        <color indexed="17"/>
      </top>
      <bottom style="thick">
        <color indexed="17"/>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top style="hair">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diagonal/>
    </border>
    <border>
      <left style="hair">
        <color indexed="64"/>
      </left>
      <right style="hair">
        <color indexed="64"/>
      </right>
      <top style="medium">
        <color indexed="64"/>
      </top>
      <bottom/>
      <diagonal/>
    </border>
    <border>
      <left style="medium">
        <color indexed="64"/>
      </left>
      <right/>
      <top style="medium">
        <color indexed="64"/>
      </top>
      <bottom/>
      <diagonal/>
    </border>
    <border>
      <left style="medium">
        <color indexed="10"/>
      </left>
      <right style="medium">
        <color indexed="10"/>
      </right>
      <top style="medium">
        <color indexed="10"/>
      </top>
      <bottom style="medium">
        <color indexed="10"/>
      </bottom>
      <diagonal/>
    </border>
    <border>
      <left/>
      <right style="medium">
        <color indexed="10"/>
      </right>
      <top style="medium">
        <color indexed="10"/>
      </top>
      <bottom style="medium">
        <color indexed="10"/>
      </bottom>
      <diagonal/>
    </border>
    <border>
      <left/>
      <right style="hair">
        <color indexed="64"/>
      </right>
      <top style="thin">
        <color indexed="22"/>
      </top>
      <bottom style="thin">
        <color indexed="22"/>
      </bottom>
      <diagonal/>
    </border>
    <border>
      <left/>
      <right/>
      <top style="thin">
        <color indexed="22"/>
      </top>
      <bottom style="thin">
        <color indexed="22"/>
      </bottom>
      <diagonal/>
    </border>
    <border>
      <left style="hair">
        <color indexed="64"/>
      </left>
      <right style="hair">
        <color indexed="64"/>
      </right>
      <top style="thin">
        <color indexed="22"/>
      </top>
      <bottom style="thin">
        <color indexed="22"/>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tted">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hair">
        <color indexed="64"/>
      </bottom>
      <diagonal/>
    </border>
    <border>
      <left/>
      <right style="hair">
        <color indexed="64"/>
      </right>
      <top style="thin">
        <color indexed="22"/>
      </top>
      <bottom style="thin">
        <color indexed="64"/>
      </bottom>
      <diagonal/>
    </border>
    <border>
      <left style="hair">
        <color indexed="64"/>
      </left>
      <right style="hair">
        <color indexed="64"/>
      </right>
      <top style="thin">
        <color indexed="22"/>
      </top>
      <bottom style="thin">
        <color indexed="64"/>
      </bottom>
      <diagonal/>
    </border>
    <border>
      <left style="hair">
        <color indexed="64"/>
      </left>
      <right style="hair">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8"/>
      </left>
      <right style="thin">
        <color indexed="8"/>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8"/>
      </left>
      <right style="hair">
        <color indexed="64"/>
      </right>
      <top style="thin">
        <color indexed="22"/>
      </top>
      <bottom style="thin">
        <color indexed="2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bottom style="thin">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style="hair">
        <color indexed="64"/>
      </left>
      <right style="hair">
        <color indexed="64"/>
      </right>
      <top style="thin">
        <color indexed="22"/>
      </top>
      <bottom/>
      <diagonal/>
    </border>
    <border>
      <left style="thin">
        <color indexed="64"/>
      </left>
      <right style="medium">
        <color indexed="64"/>
      </right>
      <top style="dotted">
        <color indexed="64"/>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top style="thin">
        <color indexed="64"/>
      </top>
      <bottom style="thin">
        <color indexed="64"/>
      </bottom>
      <diagonal/>
    </border>
    <border>
      <left/>
      <right/>
      <top/>
      <bottom style="thin">
        <color indexed="22"/>
      </bottom>
      <diagonal/>
    </border>
    <border>
      <left/>
      <right style="thin">
        <color indexed="8"/>
      </right>
      <top style="thin">
        <color indexed="8"/>
      </top>
      <bottom style="hair">
        <color indexed="8"/>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diagonal/>
    </border>
    <border>
      <left style="thin">
        <color indexed="64"/>
      </left>
      <right style="hair">
        <color indexed="64"/>
      </right>
      <top style="thin">
        <color indexed="64"/>
      </top>
      <bottom style="medium">
        <color indexed="64"/>
      </bottom>
      <diagonal/>
    </border>
    <border>
      <left style="thin">
        <color indexed="8"/>
      </left>
      <right style="thin">
        <color indexed="8"/>
      </right>
      <top style="thin">
        <color indexed="64"/>
      </top>
      <bottom style="hair">
        <color indexed="8"/>
      </bottom>
      <diagonal/>
    </border>
    <border>
      <left/>
      <right style="thin">
        <color indexed="8"/>
      </right>
      <top style="hair">
        <color indexed="8"/>
      </top>
      <bottom style="thin">
        <color indexed="8"/>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style="hair">
        <color indexed="8"/>
      </bottom>
      <diagonal/>
    </border>
    <border>
      <left style="thin">
        <color indexed="64"/>
      </left>
      <right/>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medium">
        <color indexed="64"/>
      </top>
      <bottom/>
      <diagonal/>
    </border>
    <border>
      <left style="thin">
        <color indexed="8"/>
      </left>
      <right style="thin">
        <color indexed="8"/>
      </right>
      <top/>
      <bottom style="hair">
        <color indexed="8"/>
      </bottom>
      <diagonal/>
    </border>
    <border>
      <left/>
      <right style="hair">
        <color indexed="64"/>
      </right>
      <top/>
      <bottom style="thin">
        <color indexed="22"/>
      </bottom>
      <diagonal/>
    </border>
    <border>
      <left/>
      <right style="hair">
        <color indexed="64"/>
      </right>
      <top style="thin">
        <color indexed="22"/>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8"/>
      </left>
      <right/>
      <top style="hair">
        <color indexed="8"/>
      </top>
      <bottom/>
      <diagonal/>
    </border>
    <border>
      <left/>
      <right style="thin">
        <color indexed="8"/>
      </right>
      <top style="hair">
        <color indexed="8"/>
      </top>
      <bottom/>
      <diagonal/>
    </border>
    <border>
      <left style="thin">
        <color indexed="8"/>
      </left>
      <right style="thin">
        <color indexed="8"/>
      </right>
      <top style="hair">
        <color indexed="8"/>
      </top>
      <bottom/>
      <diagonal/>
    </border>
    <border>
      <left style="thin">
        <color indexed="8"/>
      </left>
      <right style="thin">
        <color indexed="8"/>
      </right>
      <top style="hair">
        <color indexed="8"/>
      </top>
      <bottom style="thin">
        <color indexed="64"/>
      </bottom>
      <diagonal/>
    </border>
    <border>
      <left/>
      <right style="thin">
        <color indexed="8"/>
      </right>
      <top style="hair">
        <color indexed="8"/>
      </top>
      <bottom style="thin">
        <color indexed="64"/>
      </bottom>
      <diagonal/>
    </border>
    <border>
      <left style="thin">
        <color indexed="8"/>
      </left>
      <right style="thin">
        <color indexed="8"/>
      </right>
      <top style="hair">
        <color indexed="8"/>
      </top>
      <bottom style="thin">
        <color indexed="8"/>
      </bottom>
      <diagonal/>
    </border>
    <border>
      <left/>
      <right/>
      <top style="hair">
        <color indexed="64"/>
      </top>
      <bottom style="medium">
        <color indexed="64"/>
      </bottom>
      <diagonal/>
    </border>
    <border>
      <left style="hair">
        <color indexed="64"/>
      </left>
      <right style="medium">
        <color indexed="64"/>
      </right>
      <top style="medium">
        <color indexed="64"/>
      </top>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diagonal/>
    </border>
    <border>
      <left style="hair">
        <color indexed="64"/>
      </left>
      <right/>
      <top/>
      <bottom/>
      <diagonal/>
    </border>
    <border>
      <left/>
      <right/>
      <top style="thin">
        <color indexed="64"/>
      </top>
      <bottom style="hair">
        <color indexed="64"/>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style="medium">
        <color indexed="64"/>
      </left>
      <right style="thin">
        <color indexed="64"/>
      </right>
      <top style="hair">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hair">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medium">
        <color indexed="64"/>
      </top>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double">
        <color indexed="64"/>
      </bottom>
      <diagonal/>
    </border>
    <border>
      <left/>
      <right/>
      <top style="medium">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hair">
        <color indexed="64"/>
      </top>
      <bottom/>
      <diagonal/>
    </border>
    <border>
      <left style="thin">
        <color indexed="64"/>
      </left>
      <right style="thin">
        <color indexed="64"/>
      </right>
      <top style="hair">
        <color indexed="64"/>
      </top>
      <bottom style="double">
        <color indexed="64"/>
      </bottom>
      <diagonal/>
    </border>
    <border>
      <left/>
      <right style="medium">
        <color indexed="64"/>
      </right>
      <top style="medium">
        <color indexed="64"/>
      </top>
      <bottom style="thin">
        <color indexed="64"/>
      </bottom>
      <diagonal/>
    </border>
    <border>
      <left/>
      <right style="hair">
        <color indexed="64"/>
      </right>
      <top/>
      <bottom style="thin">
        <color indexed="64"/>
      </bottom>
      <diagonal/>
    </border>
    <border>
      <left/>
      <right style="hair">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hair">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right style="hair">
        <color indexed="64"/>
      </right>
      <top style="thin">
        <color theme="1"/>
      </top>
      <bottom style="thin">
        <color indexed="2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auto="1"/>
      </right>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1">
    <xf numFmtId="0" fontId="0" fillId="0" borderId="0"/>
    <xf numFmtId="0" fontId="12" fillId="0" borderId="0" applyNumberFormat="0" applyFill="0" applyBorder="0" applyAlignment="0" applyProtection="0">
      <alignment vertical="top"/>
      <protection locked="0"/>
    </xf>
    <xf numFmtId="38" fontId="2" fillId="0" borderId="0" applyFont="0" applyFill="0" applyBorder="0" applyAlignment="0" applyProtection="0"/>
    <xf numFmtId="38" fontId="1" fillId="0" borderId="0" applyFont="0" applyFill="0" applyBorder="0" applyAlignment="0" applyProtection="0">
      <alignment vertical="center"/>
    </xf>
    <xf numFmtId="0" fontId="170" fillId="0" borderId="0">
      <alignment vertical="center"/>
    </xf>
    <xf numFmtId="0" fontId="169" fillId="0" borderId="0">
      <alignment vertical="center"/>
    </xf>
    <xf numFmtId="0" fontId="169" fillId="0" borderId="0"/>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71" fillId="0" borderId="0"/>
    <xf numFmtId="0" fontId="5" fillId="0" borderId="0"/>
    <xf numFmtId="0" fontId="5" fillId="0" borderId="0"/>
    <xf numFmtId="0" fontId="5" fillId="0" borderId="0">
      <alignment vertical="center"/>
    </xf>
    <xf numFmtId="0" fontId="169" fillId="0" borderId="0"/>
    <xf numFmtId="0" fontId="9" fillId="0" borderId="0"/>
    <xf numFmtId="0" fontId="5" fillId="0" borderId="0"/>
    <xf numFmtId="0" fontId="14" fillId="0" borderId="0"/>
  </cellStyleXfs>
  <cellXfs count="1784">
    <xf numFmtId="0" fontId="0" fillId="0" borderId="0" xfId="0"/>
    <xf numFmtId="178" fontId="5" fillId="2" borderId="1" xfId="0" applyNumberFormat="1" applyFont="1" applyFill="1" applyBorder="1"/>
    <xf numFmtId="177" fontId="5" fillId="3" borderId="1" xfId="0" applyNumberFormat="1" applyFont="1" applyFill="1" applyBorder="1"/>
    <xf numFmtId="0" fontId="4" fillId="0" borderId="0" xfId="0" applyFont="1" applyAlignment="1">
      <alignment vertical="center"/>
    </xf>
    <xf numFmtId="178" fontId="5" fillId="0" borderId="0" xfId="15" applyNumberFormat="1" applyAlignment="1">
      <alignment horizontal="center"/>
    </xf>
    <xf numFmtId="0" fontId="17" fillId="0" borderId="0" xfId="14" applyFont="1"/>
    <xf numFmtId="0" fontId="18" fillId="0" borderId="0" xfId="14" applyFont="1"/>
    <xf numFmtId="0" fontId="11" fillId="0" borderId="0" xfId="14" applyFont="1" applyAlignment="1">
      <alignment horizontal="center"/>
    </xf>
    <xf numFmtId="0" fontId="11" fillId="0" borderId="0" xfId="0" applyFont="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horizontal="center" vertical="center" wrapText="1"/>
    </xf>
    <xf numFmtId="0" fontId="17" fillId="0" borderId="0" xfId="19" applyFont="1"/>
    <xf numFmtId="0" fontId="17" fillId="4" borderId="0" xfId="19" applyFont="1" applyFill="1"/>
    <xf numFmtId="0" fontId="17" fillId="4" borderId="0" xfId="19" applyFont="1" applyFill="1" applyAlignment="1">
      <alignment horizontal="center" vertical="center"/>
    </xf>
    <xf numFmtId="0" fontId="17" fillId="5" borderId="0" xfId="19" applyFont="1" applyFill="1"/>
    <xf numFmtId="0" fontId="17" fillId="5" borderId="0" xfId="19" applyFont="1" applyFill="1" applyAlignment="1">
      <alignment horizontal="center" vertical="center"/>
    </xf>
    <xf numFmtId="0" fontId="24" fillId="6" borderId="2" xfId="19" applyFont="1" applyFill="1" applyBorder="1" applyAlignment="1" applyProtection="1">
      <alignment horizontal="center" vertical="center"/>
      <protection locked="0"/>
    </xf>
    <xf numFmtId="0" fontId="25" fillId="5" borderId="0" xfId="19" applyFont="1" applyFill="1" applyAlignment="1">
      <alignment vertical="center"/>
    </xf>
    <xf numFmtId="0" fontId="17" fillId="0" borderId="0" xfId="19" applyFont="1" applyProtection="1">
      <protection locked="0"/>
    </xf>
    <xf numFmtId="0" fontId="26" fillId="7" borderId="0" xfId="19" applyFont="1" applyFill="1"/>
    <xf numFmtId="0" fontId="27" fillId="7" borderId="0" xfId="19" applyFont="1" applyFill="1" applyAlignment="1">
      <alignment horizontal="center" vertical="center"/>
    </xf>
    <xf numFmtId="0" fontId="26" fillId="7" borderId="0" xfId="19" applyFont="1" applyFill="1" applyAlignment="1">
      <alignment horizontal="center" vertical="center"/>
    </xf>
    <xf numFmtId="0" fontId="10" fillId="0" borderId="0" xfId="19" applyFont="1" applyAlignment="1">
      <alignment horizontal="right" vertical="center"/>
    </xf>
    <xf numFmtId="188" fontId="10" fillId="0" borderId="0" xfId="19" applyNumberFormat="1" applyFont="1" applyAlignment="1" applyProtection="1">
      <alignment horizontal="center" vertical="center"/>
      <protection locked="0"/>
    </xf>
    <xf numFmtId="0" fontId="28" fillId="7" borderId="0" xfId="19" applyFont="1" applyFill="1" applyAlignment="1">
      <alignment horizontal="right" vertical="center"/>
    </xf>
    <xf numFmtId="0" fontId="28" fillId="7" borderId="0" xfId="19" applyFont="1" applyFill="1" applyAlignment="1">
      <alignment vertical="center"/>
    </xf>
    <xf numFmtId="0" fontId="29" fillId="7" borderId="0" xfId="19" applyFont="1" applyFill="1" applyAlignment="1">
      <alignment vertical="center"/>
    </xf>
    <xf numFmtId="187" fontId="21" fillId="7" borderId="0" xfId="19" applyNumberFormat="1" applyFont="1" applyFill="1" applyAlignment="1">
      <alignment horizontal="left" vertical="center"/>
    </xf>
    <xf numFmtId="0" fontId="30" fillId="0" borderId="0" xfId="19" applyFont="1" applyAlignment="1">
      <alignment horizontal="right" vertical="center"/>
    </xf>
    <xf numFmtId="188" fontId="30" fillId="0" borderId="0" xfId="19" applyNumberFormat="1" applyFont="1" applyAlignment="1" applyProtection="1">
      <alignment horizontal="center" vertical="center"/>
      <protection locked="0"/>
    </xf>
    <xf numFmtId="0" fontId="0" fillId="0" borderId="0" xfId="0" applyAlignment="1">
      <alignment horizontal="center"/>
    </xf>
    <xf numFmtId="0" fontId="19" fillId="0" borderId="0" xfId="19" applyFont="1"/>
    <xf numFmtId="0" fontId="5" fillId="0" borderId="0" xfId="19"/>
    <xf numFmtId="0" fontId="19" fillId="0" borderId="0" xfId="19" applyFont="1" applyAlignment="1">
      <alignment vertical="center"/>
    </xf>
    <xf numFmtId="0" fontId="15" fillId="0" borderId="3" xfId="19" applyFont="1" applyBorder="1" applyAlignment="1">
      <alignment horizontal="distributed" vertical="center" justifyLastLine="1"/>
    </xf>
    <xf numFmtId="0" fontId="15" fillId="0" borderId="4" xfId="19" applyFont="1" applyBorder="1" applyAlignment="1">
      <alignment horizontal="distributed" vertical="center" justifyLastLine="1"/>
    </xf>
    <xf numFmtId="0" fontId="15" fillId="0" borderId="5" xfId="19" applyFont="1" applyBorder="1" applyAlignment="1">
      <alignment horizontal="distributed" vertical="center" justifyLastLine="1"/>
    </xf>
    <xf numFmtId="0" fontId="15" fillId="0" borderId="6" xfId="19" applyFont="1" applyBorder="1" applyAlignment="1">
      <alignment horizontal="distributed" vertical="center" justifyLastLine="1"/>
    </xf>
    <xf numFmtId="0" fontId="15" fillId="0" borderId="7" xfId="19" applyFont="1" applyBorder="1" applyAlignment="1">
      <alignment horizontal="distributed" vertical="center" justifyLastLine="1"/>
    </xf>
    <xf numFmtId="0" fontId="19" fillId="0" borderId="0" xfId="19" applyFont="1" applyAlignment="1">
      <alignment horizontal="center" vertical="center"/>
    </xf>
    <xf numFmtId="0" fontId="19" fillId="0" borderId="8" xfId="19" applyFont="1" applyBorder="1" applyAlignment="1">
      <alignment vertical="center"/>
    </xf>
    <xf numFmtId="0" fontId="19" fillId="0" borderId="1" xfId="19" applyFont="1" applyBorder="1" applyAlignment="1">
      <alignment horizontal="center" vertical="center"/>
    </xf>
    <xf numFmtId="0" fontId="19" fillId="0" borderId="9" xfId="19" applyFont="1" applyBorder="1" applyAlignment="1">
      <alignment horizontal="center" vertical="center"/>
    </xf>
    <xf numFmtId="0" fontId="19" fillId="0" borderId="8" xfId="19" applyFont="1" applyBorder="1" applyAlignment="1">
      <alignment horizontal="center" vertical="center"/>
    </xf>
    <xf numFmtId="0" fontId="19" fillId="0" borderId="10" xfId="19" applyFont="1" applyBorder="1" applyAlignment="1">
      <alignment horizontal="center" vertical="center"/>
    </xf>
    <xf numFmtId="0" fontId="31" fillId="0" borderId="9" xfId="19" applyFont="1" applyBorder="1" applyProtection="1">
      <protection locked="0"/>
    </xf>
    <xf numFmtId="0" fontId="31" fillId="0" borderId="1" xfId="19" applyFont="1" applyBorder="1" applyProtection="1">
      <protection locked="0"/>
    </xf>
    <xf numFmtId="0" fontId="31" fillId="0" borderId="8" xfId="19" applyFont="1" applyBorder="1" applyProtection="1">
      <protection locked="0"/>
    </xf>
    <xf numFmtId="182" fontId="31" fillId="0" borderId="11" xfId="19" applyNumberFormat="1" applyFont="1" applyBorder="1" applyProtection="1">
      <protection locked="0"/>
    </xf>
    <xf numFmtId="182" fontId="31" fillId="0" borderId="12" xfId="19" applyNumberFormat="1" applyFont="1" applyBorder="1" applyProtection="1">
      <protection locked="0"/>
    </xf>
    <xf numFmtId="0" fontId="31" fillId="0" borderId="13" xfId="19" applyFont="1" applyBorder="1" applyProtection="1">
      <protection locked="0"/>
    </xf>
    <xf numFmtId="0" fontId="31" fillId="0" borderId="11" xfId="19" applyFont="1" applyBorder="1" applyProtection="1">
      <protection locked="0"/>
    </xf>
    <xf numFmtId="0" fontId="31" fillId="0" borderId="14" xfId="19" applyFont="1" applyBorder="1" applyProtection="1">
      <protection locked="0"/>
    </xf>
    <xf numFmtId="3" fontId="31" fillId="0" borderId="12" xfId="19" applyNumberFormat="1" applyFont="1" applyBorder="1" applyProtection="1">
      <protection locked="0"/>
    </xf>
    <xf numFmtId="0" fontId="5" fillId="0" borderId="12" xfId="19" applyBorder="1"/>
    <xf numFmtId="1" fontId="31" fillId="0" borderId="11" xfId="19" applyNumberFormat="1" applyFont="1" applyBorder="1" applyProtection="1">
      <protection locked="0"/>
    </xf>
    <xf numFmtId="1" fontId="31" fillId="0" borderId="15" xfId="19" applyNumberFormat="1" applyFont="1" applyBorder="1" applyProtection="1">
      <protection locked="0"/>
    </xf>
    <xf numFmtId="182" fontId="31" fillId="0" borderId="16" xfId="19" applyNumberFormat="1" applyFont="1" applyBorder="1" applyProtection="1">
      <protection locked="0"/>
    </xf>
    <xf numFmtId="182" fontId="31" fillId="0" borderId="17" xfId="19" applyNumberFormat="1" applyFont="1" applyBorder="1" applyProtection="1">
      <protection locked="0"/>
    </xf>
    <xf numFmtId="0" fontId="31" fillId="0" borderId="18" xfId="19" applyFont="1" applyBorder="1" applyProtection="1">
      <protection locked="0"/>
    </xf>
    <xf numFmtId="0" fontId="31" fillId="0" borderId="17" xfId="19" applyFont="1" applyBorder="1" applyProtection="1">
      <protection locked="0"/>
    </xf>
    <xf numFmtId="0" fontId="31" fillId="0" borderId="19" xfId="19" applyFont="1" applyBorder="1" applyProtection="1">
      <protection locked="0"/>
    </xf>
    <xf numFmtId="1" fontId="31" fillId="0" borderId="17" xfId="19" applyNumberFormat="1" applyFont="1" applyBorder="1" applyProtection="1">
      <protection locked="0"/>
    </xf>
    <xf numFmtId="0" fontId="5" fillId="0" borderId="16" xfId="19" applyBorder="1"/>
    <xf numFmtId="182" fontId="31" fillId="0" borderId="0" xfId="19" applyNumberFormat="1" applyFont="1" applyProtection="1">
      <protection locked="0"/>
    </xf>
    <xf numFmtId="182" fontId="31" fillId="0" borderId="1" xfId="19" applyNumberFormat="1" applyFont="1" applyBorder="1" applyProtection="1">
      <protection locked="0"/>
    </xf>
    <xf numFmtId="1" fontId="31" fillId="0" borderId="1" xfId="19" applyNumberFormat="1" applyFont="1" applyBorder="1" applyProtection="1">
      <protection locked="0"/>
    </xf>
    <xf numFmtId="1" fontId="31" fillId="0" borderId="18" xfId="19" applyNumberFormat="1" applyFont="1" applyBorder="1" applyProtection="1">
      <protection locked="0"/>
    </xf>
    <xf numFmtId="1" fontId="31" fillId="0" borderId="19" xfId="19" applyNumberFormat="1" applyFont="1" applyBorder="1" applyProtection="1">
      <protection locked="0"/>
    </xf>
    <xf numFmtId="1" fontId="31" fillId="0" borderId="8" xfId="19" applyNumberFormat="1" applyFont="1" applyBorder="1" applyProtection="1">
      <protection locked="0"/>
    </xf>
    <xf numFmtId="1" fontId="31" fillId="0" borderId="14" xfId="19" applyNumberFormat="1" applyFont="1" applyBorder="1" applyProtection="1">
      <protection locked="0"/>
    </xf>
    <xf numFmtId="185" fontId="31" fillId="0" borderId="0" xfId="19" applyNumberFormat="1" applyFont="1" applyProtection="1">
      <protection locked="0"/>
    </xf>
    <xf numFmtId="185" fontId="31" fillId="0" borderId="1" xfId="19" applyNumberFormat="1" applyFont="1" applyBorder="1" applyProtection="1">
      <protection locked="0"/>
    </xf>
    <xf numFmtId="1" fontId="31" fillId="0" borderId="9" xfId="19" applyNumberFormat="1" applyFont="1" applyBorder="1" applyProtection="1">
      <protection locked="0"/>
    </xf>
    <xf numFmtId="178" fontId="5" fillId="0" borderId="0" xfId="19" applyNumberFormat="1"/>
    <xf numFmtId="185" fontId="31" fillId="0" borderId="12" xfId="19" applyNumberFormat="1" applyFont="1" applyBorder="1" applyProtection="1">
      <protection locked="0"/>
    </xf>
    <xf numFmtId="185" fontId="31" fillId="0" borderId="11" xfId="19" applyNumberFormat="1" applyFont="1" applyBorder="1" applyProtection="1">
      <protection locked="0"/>
    </xf>
    <xf numFmtId="1" fontId="31" fillId="0" borderId="13" xfId="19" applyNumberFormat="1" applyFont="1" applyBorder="1" applyProtection="1">
      <protection locked="0"/>
    </xf>
    <xf numFmtId="178" fontId="5" fillId="0" borderId="12" xfId="19" applyNumberFormat="1" applyBorder="1"/>
    <xf numFmtId="185" fontId="31" fillId="0" borderId="16" xfId="19" applyNumberFormat="1" applyFont="1" applyBorder="1" applyProtection="1">
      <protection locked="0"/>
    </xf>
    <xf numFmtId="185" fontId="31" fillId="0" borderId="17" xfId="19" applyNumberFormat="1" applyFont="1" applyBorder="1" applyProtection="1">
      <protection locked="0"/>
    </xf>
    <xf numFmtId="178" fontId="5" fillId="0" borderId="16" xfId="19" applyNumberFormat="1" applyBorder="1"/>
    <xf numFmtId="3" fontId="31" fillId="0" borderId="14" xfId="19" applyNumberFormat="1" applyFont="1" applyBorder="1" applyProtection="1">
      <protection locked="0"/>
    </xf>
    <xf numFmtId="1" fontId="31" fillId="0" borderId="9" xfId="19" applyNumberFormat="1" applyFont="1" applyBorder="1"/>
    <xf numFmtId="1" fontId="31" fillId="0" borderId="1" xfId="19" applyNumberFormat="1" applyFont="1" applyBorder="1"/>
    <xf numFmtId="3" fontId="31" fillId="0" borderId="8" xfId="19" applyNumberFormat="1" applyFont="1" applyBorder="1"/>
    <xf numFmtId="182" fontId="31" fillId="0" borderId="11" xfId="19" applyNumberFormat="1" applyFont="1" applyBorder="1"/>
    <xf numFmtId="1" fontId="31" fillId="0" borderId="13" xfId="19" applyNumberFormat="1" applyFont="1" applyBorder="1"/>
    <xf numFmtId="1" fontId="31" fillId="0" borderId="11" xfId="19" applyNumberFormat="1" applyFont="1" applyBorder="1"/>
    <xf numFmtId="3" fontId="31" fillId="0" borderId="14" xfId="19" applyNumberFormat="1" applyFont="1" applyBorder="1"/>
    <xf numFmtId="182" fontId="31" fillId="0" borderId="17" xfId="19" applyNumberFormat="1" applyFont="1" applyBorder="1"/>
    <xf numFmtId="182" fontId="31" fillId="0" borderId="19" xfId="19" applyNumberFormat="1" applyFont="1" applyBorder="1"/>
    <xf numFmtId="1" fontId="31" fillId="0" borderId="18" xfId="19" applyNumberFormat="1" applyFont="1" applyBorder="1"/>
    <xf numFmtId="1" fontId="31" fillId="0" borderId="17" xfId="19" applyNumberFormat="1" applyFont="1" applyBorder="1"/>
    <xf numFmtId="3" fontId="31" fillId="0" borderId="19" xfId="19" applyNumberFormat="1" applyFont="1" applyBorder="1"/>
    <xf numFmtId="1" fontId="31" fillId="0" borderId="14" xfId="19" applyNumberFormat="1" applyFont="1" applyBorder="1"/>
    <xf numFmtId="1" fontId="31" fillId="0" borderId="19" xfId="19" applyNumberFormat="1" applyFont="1" applyBorder="1"/>
    <xf numFmtId="1" fontId="31" fillId="0" borderId="8" xfId="19" applyNumberFormat="1" applyFont="1" applyBorder="1"/>
    <xf numFmtId="3" fontId="31" fillId="0" borderId="20" xfId="19" applyNumberFormat="1" applyFont="1" applyBorder="1"/>
    <xf numFmtId="0" fontId="5" fillId="0" borderId="11" xfId="19" applyBorder="1"/>
    <xf numFmtId="0" fontId="5" fillId="0" borderId="20" xfId="19" applyBorder="1"/>
    <xf numFmtId="0" fontId="19" fillId="0" borderId="0" xfId="19" applyFont="1" applyAlignment="1">
      <alignment horizontal="center"/>
    </xf>
    <xf numFmtId="3" fontId="31" fillId="0" borderId="21" xfId="19" applyNumberFormat="1" applyFont="1" applyBorder="1"/>
    <xf numFmtId="0" fontId="19" fillId="0" borderId="22" xfId="19" applyFont="1" applyBorder="1" applyAlignment="1">
      <alignment horizontal="distributed" vertical="center" justifyLastLine="1"/>
    </xf>
    <xf numFmtId="0" fontId="19" fillId="0" borderId="23" xfId="19" applyFont="1" applyBorder="1" applyAlignment="1">
      <alignment horizontal="distributed" vertical="center" justifyLastLine="1"/>
    </xf>
    <xf numFmtId="0" fontId="19" fillId="0" borderId="24" xfId="19" applyFont="1" applyBorder="1" applyAlignment="1">
      <alignment horizontal="distributed" vertical="center" justifyLastLine="1"/>
    </xf>
    <xf numFmtId="0" fontId="19" fillId="0" borderId="25" xfId="19" applyFont="1" applyBorder="1" applyAlignment="1">
      <alignment horizontal="distributed" vertical="center" justifyLastLine="1"/>
    </xf>
    <xf numFmtId="0" fontId="19" fillId="0" borderId="11" xfId="19" applyFont="1" applyBorder="1" applyAlignment="1">
      <alignment horizontal="distributed" vertical="center" justifyLastLine="1"/>
    </xf>
    <xf numFmtId="0" fontId="19" fillId="0" borderId="20" xfId="19" applyFont="1" applyBorder="1" applyAlignment="1">
      <alignment horizontal="distributed" vertical="center" justifyLastLine="1"/>
    </xf>
    <xf numFmtId="0" fontId="5" fillId="0" borderId="25" xfId="19" applyBorder="1"/>
    <xf numFmtId="3" fontId="5" fillId="0" borderId="20" xfId="19" applyNumberFormat="1" applyBorder="1"/>
    <xf numFmtId="0" fontId="8" fillId="0" borderId="0" xfId="19" applyFont="1" applyAlignment="1">
      <alignment horizontal="center"/>
    </xf>
    <xf numFmtId="0" fontId="19" fillId="0" borderId="12" xfId="19" applyFont="1" applyBorder="1" applyAlignment="1">
      <alignment horizontal="center"/>
    </xf>
    <xf numFmtId="0" fontId="19" fillId="0" borderId="16" xfId="19" applyFont="1" applyBorder="1" applyAlignment="1">
      <alignment horizontal="center"/>
    </xf>
    <xf numFmtId="0" fontId="19" fillId="0" borderId="26" xfId="19" applyFont="1" applyBorder="1" applyAlignment="1">
      <alignment horizontal="center"/>
    </xf>
    <xf numFmtId="0" fontId="8" fillId="0" borderId="27" xfId="19" applyFont="1" applyBorder="1" applyAlignment="1">
      <alignment horizontal="center"/>
    </xf>
    <xf numFmtId="0" fontId="15" fillId="0" borderId="28" xfId="19" applyFont="1" applyBorder="1" applyAlignment="1">
      <alignment horizontal="center" vertical="center"/>
    </xf>
    <xf numFmtId="0" fontId="15" fillId="0" borderId="29" xfId="19" applyFont="1" applyBorder="1" applyAlignment="1">
      <alignment horizontal="center"/>
    </xf>
    <xf numFmtId="0" fontId="8" fillId="0" borderId="29" xfId="19" applyFont="1" applyBorder="1" applyAlignment="1">
      <alignment horizontal="center"/>
    </xf>
    <xf numFmtId="0" fontId="15" fillId="0" borderId="30" xfId="19" applyFont="1" applyBorder="1" applyAlignment="1">
      <alignment horizontal="center"/>
    </xf>
    <xf numFmtId="0" fontId="19" fillId="0" borderId="31" xfId="19" applyFont="1" applyBorder="1" applyAlignment="1">
      <alignment horizontal="center" vertical="center"/>
    </xf>
    <xf numFmtId="0" fontId="19" fillId="0" borderId="32" xfId="19" applyFont="1" applyBorder="1" applyAlignment="1">
      <alignment horizontal="center" vertical="center"/>
    </xf>
    <xf numFmtId="0" fontId="19" fillId="0" borderId="21" xfId="19" applyFont="1" applyBorder="1" applyAlignment="1">
      <alignment horizontal="center" vertical="center"/>
    </xf>
    <xf numFmtId="0" fontId="8" fillId="0" borderId="30" xfId="19" applyFont="1" applyBorder="1" applyAlignment="1">
      <alignment horizontal="center"/>
    </xf>
    <xf numFmtId="0" fontId="19" fillId="0" borderId="33" xfId="19" applyFont="1" applyBorder="1" applyAlignment="1">
      <alignment horizontal="center"/>
    </xf>
    <xf numFmtId="182" fontId="31" fillId="0" borderId="34" xfId="19" applyNumberFormat="1" applyFont="1" applyBorder="1" applyProtection="1">
      <protection locked="0"/>
    </xf>
    <xf numFmtId="182" fontId="31" fillId="0" borderId="33" xfId="19" applyNumberFormat="1" applyFont="1" applyBorder="1" applyProtection="1">
      <protection locked="0"/>
    </xf>
    <xf numFmtId="0" fontId="31" fillId="0" borderId="35" xfId="19" applyFont="1" applyBorder="1" applyProtection="1">
      <protection locked="0"/>
    </xf>
    <xf numFmtId="0" fontId="31" fillId="0" borderId="34" xfId="19" applyFont="1" applyBorder="1" applyProtection="1">
      <protection locked="0"/>
    </xf>
    <xf numFmtId="0" fontId="31" fillId="0" borderId="36" xfId="19" applyFont="1" applyBorder="1" applyProtection="1">
      <protection locked="0"/>
    </xf>
    <xf numFmtId="0" fontId="8" fillId="0" borderId="37" xfId="19" applyFont="1" applyBorder="1" applyAlignment="1">
      <alignment horizontal="center"/>
    </xf>
    <xf numFmtId="0" fontId="5" fillId="0" borderId="38" xfId="19" applyBorder="1"/>
    <xf numFmtId="0" fontId="5" fillId="0" borderId="39" xfId="19" applyBorder="1"/>
    <xf numFmtId="0" fontId="5" fillId="0" borderId="40" xfId="19" applyBorder="1"/>
    <xf numFmtId="0" fontId="5" fillId="0" borderId="41" xfId="19" applyBorder="1"/>
    <xf numFmtId="0" fontId="5" fillId="0" borderId="17" xfId="19" applyBorder="1"/>
    <xf numFmtId="3" fontId="5" fillId="0" borderId="42" xfId="19" applyNumberFormat="1" applyBorder="1"/>
    <xf numFmtId="182" fontId="31" fillId="0" borderId="26" xfId="19" applyNumberFormat="1" applyFont="1" applyBorder="1" applyProtection="1">
      <protection locked="0"/>
    </xf>
    <xf numFmtId="182" fontId="31" fillId="0" borderId="32" xfId="19" applyNumberFormat="1" applyFont="1" applyBorder="1" applyProtection="1">
      <protection locked="0"/>
    </xf>
    <xf numFmtId="0" fontId="31" fillId="0" borderId="43" xfId="19" applyFont="1" applyBorder="1" applyProtection="1">
      <protection locked="0"/>
    </xf>
    <xf numFmtId="0" fontId="31" fillId="0" borderId="32" xfId="19" applyFont="1" applyBorder="1" applyProtection="1">
      <protection locked="0"/>
    </xf>
    <xf numFmtId="0" fontId="31" fillId="0" borderId="44" xfId="19" applyFont="1" applyBorder="1" applyProtection="1">
      <protection locked="0"/>
    </xf>
    <xf numFmtId="1" fontId="31" fillId="0" borderId="32" xfId="19" applyNumberFormat="1" applyFont="1" applyBorder="1" applyProtection="1">
      <protection locked="0"/>
    </xf>
    <xf numFmtId="0" fontId="5" fillId="0" borderId="31" xfId="19" applyBorder="1"/>
    <xf numFmtId="0" fontId="5" fillId="0" borderId="32" xfId="19" applyBorder="1"/>
    <xf numFmtId="3" fontId="5" fillId="0" borderId="21" xfId="19" applyNumberFormat="1" applyBorder="1"/>
    <xf numFmtId="0" fontId="5" fillId="0" borderId="21" xfId="19" applyBorder="1"/>
    <xf numFmtId="1" fontId="31" fillId="0" borderId="44" xfId="19" applyNumberFormat="1" applyFont="1" applyBorder="1" applyProtection="1">
      <protection locked="0"/>
    </xf>
    <xf numFmtId="185" fontId="31" fillId="0" borderId="26" xfId="19" applyNumberFormat="1" applyFont="1" applyBorder="1" applyProtection="1">
      <protection locked="0"/>
    </xf>
    <xf numFmtId="185" fontId="31" fillId="0" borderId="32" xfId="19" applyNumberFormat="1" applyFont="1" applyBorder="1" applyProtection="1">
      <protection locked="0"/>
    </xf>
    <xf numFmtId="1" fontId="31" fillId="0" borderId="43" xfId="19" applyNumberFormat="1" applyFont="1" applyBorder="1" applyProtection="1">
      <protection locked="0"/>
    </xf>
    <xf numFmtId="3" fontId="31" fillId="0" borderId="44" xfId="19" applyNumberFormat="1" applyFont="1" applyBorder="1" applyProtection="1">
      <protection locked="0"/>
    </xf>
    <xf numFmtId="1" fontId="31" fillId="0" borderId="43" xfId="19" applyNumberFormat="1" applyFont="1" applyBorder="1"/>
    <xf numFmtId="1" fontId="31" fillId="0" borderId="32" xfId="19" applyNumberFormat="1" applyFont="1" applyBorder="1"/>
    <xf numFmtId="1" fontId="31" fillId="0" borderId="44" xfId="19" applyNumberFormat="1" applyFont="1" applyBorder="1"/>
    <xf numFmtId="3" fontId="31" fillId="0" borderId="44" xfId="19" applyNumberFormat="1" applyFont="1" applyBorder="1"/>
    <xf numFmtId="1" fontId="31" fillId="0" borderId="34" xfId="19" applyNumberFormat="1" applyFont="1" applyBorder="1" applyProtection="1">
      <protection locked="0"/>
    </xf>
    <xf numFmtId="3" fontId="5" fillId="0" borderId="40" xfId="19" applyNumberFormat="1" applyBorder="1"/>
    <xf numFmtId="0" fontId="5" fillId="0" borderId="42" xfId="19" applyBorder="1"/>
    <xf numFmtId="185" fontId="31" fillId="0" borderId="33" xfId="19" applyNumberFormat="1" applyFont="1" applyBorder="1" applyProtection="1">
      <protection locked="0"/>
    </xf>
    <xf numFmtId="185" fontId="31" fillId="0" borderId="34" xfId="19" applyNumberFormat="1" applyFont="1" applyBorder="1" applyProtection="1">
      <protection locked="0"/>
    </xf>
    <xf numFmtId="1" fontId="31" fillId="0" borderId="35" xfId="19" applyNumberFormat="1" applyFont="1" applyBorder="1" applyProtection="1">
      <protection locked="0"/>
    </xf>
    <xf numFmtId="1" fontId="31" fillId="0" borderId="36" xfId="19" applyNumberFormat="1" applyFont="1" applyBorder="1" applyProtection="1">
      <protection locked="0"/>
    </xf>
    <xf numFmtId="182" fontId="31" fillId="0" borderId="34" xfId="19" applyNumberFormat="1" applyFont="1" applyBorder="1"/>
    <xf numFmtId="1" fontId="31" fillId="0" borderId="35" xfId="19" applyNumberFormat="1" applyFont="1" applyBorder="1"/>
    <xf numFmtId="1" fontId="31" fillId="0" borderId="34" xfId="19" applyNumberFormat="1" applyFont="1" applyBorder="1"/>
    <xf numFmtId="3" fontId="31" fillId="0" borderId="36" xfId="19" applyNumberFormat="1" applyFont="1" applyBorder="1"/>
    <xf numFmtId="1" fontId="31" fillId="0" borderId="36" xfId="19" applyNumberFormat="1" applyFont="1" applyBorder="1"/>
    <xf numFmtId="0" fontId="5" fillId="0" borderId="45" xfId="19" applyBorder="1"/>
    <xf numFmtId="0" fontId="5" fillId="0" borderId="46" xfId="19" applyBorder="1"/>
    <xf numFmtId="0" fontId="5" fillId="0" borderId="47" xfId="19" applyBorder="1"/>
    <xf numFmtId="0" fontId="19" fillId="0" borderId="48" xfId="19" applyFont="1" applyBorder="1"/>
    <xf numFmtId="0" fontId="19" fillId="0" borderId="49" xfId="19" applyFont="1" applyBorder="1"/>
    <xf numFmtId="0" fontId="19" fillId="0" borderId="50" xfId="19" applyFont="1" applyBorder="1"/>
    <xf numFmtId="0" fontId="19" fillId="0" borderId="51" xfId="19" applyFont="1" applyBorder="1"/>
    <xf numFmtId="0" fontId="19" fillId="0" borderId="52" xfId="19" applyFont="1" applyBorder="1"/>
    <xf numFmtId="0" fontId="19" fillId="0" borderId="53" xfId="19" applyFont="1" applyBorder="1"/>
    <xf numFmtId="0" fontId="5" fillId="0" borderId="54" xfId="19" applyBorder="1"/>
    <xf numFmtId="0" fontId="8" fillId="0" borderId="55" xfId="19" applyFont="1" applyBorder="1" applyAlignment="1">
      <alignment horizontal="center"/>
    </xf>
    <xf numFmtId="0" fontId="8" fillId="0" borderId="56" xfId="19" applyFont="1" applyBorder="1" applyAlignment="1">
      <alignment horizontal="center"/>
    </xf>
    <xf numFmtId="0" fontId="5" fillId="0" borderId="57" xfId="19" applyBorder="1"/>
    <xf numFmtId="0" fontId="5" fillId="0" borderId="58" xfId="19" applyBorder="1"/>
    <xf numFmtId="0" fontId="19" fillId="0" borderId="59" xfId="19" applyFont="1" applyBorder="1" applyAlignment="1">
      <alignment horizontal="center"/>
    </xf>
    <xf numFmtId="0" fontId="19" fillId="0" borderId="60" xfId="19" applyFont="1" applyBorder="1" applyAlignment="1">
      <alignment horizontal="center"/>
    </xf>
    <xf numFmtId="0" fontId="19" fillId="0" borderId="61" xfId="19" applyFont="1" applyBorder="1" applyAlignment="1">
      <alignment horizontal="center"/>
    </xf>
    <xf numFmtId="0" fontId="5" fillId="0" borderId="0" xfId="19" applyAlignment="1">
      <alignment horizontal="center"/>
    </xf>
    <xf numFmtId="0" fontId="5" fillId="0" borderId="62" xfId="19" applyBorder="1" applyAlignment="1">
      <alignment horizontal="center"/>
    </xf>
    <xf numFmtId="0" fontId="5" fillId="0" borderId="63" xfId="19" applyBorder="1" applyAlignment="1">
      <alignment horizontal="center"/>
    </xf>
    <xf numFmtId="0" fontId="5" fillId="0" borderId="64" xfId="19" applyBorder="1" applyAlignment="1">
      <alignment horizontal="center"/>
    </xf>
    <xf numFmtId="0" fontId="5" fillId="0" borderId="65" xfId="15" applyBorder="1"/>
    <xf numFmtId="0" fontId="5" fillId="0" borderId="0" xfId="0" applyFont="1" applyAlignment="1">
      <alignment horizontal="right"/>
    </xf>
    <xf numFmtId="181" fontId="5" fillId="0" borderId="66" xfId="15" applyNumberFormat="1" applyBorder="1" applyAlignment="1">
      <alignment horizontal="center"/>
    </xf>
    <xf numFmtId="178" fontId="5" fillId="0" borderId="66" xfId="15" applyNumberFormat="1" applyBorder="1" applyAlignment="1">
      <alignment horizontal="center"/>
    </xf>
    <xf numFmtId="178" fontId="5" fillId="8" borderId="1" xfId="0" applyNumberFormat="1" applyFont="1" applyFill="1" applyBorder="1"/>
    <xf numFmtId="0" fontId="5" fillId="0" borderId="67" xfId="15" applyBorder="1" applyAlignment="1">
      <alignment horizontal="center"/>
    </xf>
    <xf numFmtId="0" fontId="5" fillId="0" borderId="27" xfId="0" applyFont="1" applyBorder="1" applyAlignment="1">
      <alignment horizontal="center"/>
    </xf>
    <xf numFmtId="0" fontId="5" fillId="0" borderId="66" xfId="15" applyBorder="1" applyAlignment="1">
      <alignment horizontal="center"/>
    </xf>
    <xf numFmtId="0" fontId="5" fillId="0" borderId="1" xfId="0" applyFont="1" applyBorder="1" applyAlignment="1">
      <alignment horizontal="center"/>
    </xf>
    <xf numFmtId="0" fontId="33" fillId="0" borderId="0" xfId="14" applyFont="1" applyAlignment="1">
      <alignment horizontal="center" vertical="center"/>
    </xf>
    <xf numFmtId="0" fontId="9" fillId="0" borderId="0" xfId="0" applyFont="1" applyAlignment="1">
      <alignment horizontal="left" vertical="center" shrinkToFit="1"/>
    </xf>
    <xf numFmtId="0" fontId="5" fillId="9" borderId="65" xfId="15" applyFill="1" applyBorder="1"/>
    <xf numFmtId="178" fontId="5" fillId="9" borderId="66" xfId="15" applyNumberFormat="1" applyFill="1" applyBorder="1" applyAlignment="1">
      <alignment horizontal="center"/>
    </xf>
    <xf numFmtId="2" fontId="34" fillId="0" borderId="68" xfId="0" applyNumberFormat="1" applyFont="1" applyBorder="1"/>
    <xf numFmtId="2" fontId="34" fillId="0" borderId="69" xfId="0" applyNumberFormat="1" applyFont="1" applyBorder="1"/>
    <xf numFmtId="181" fontId="5" fillId="9" borderId="70" xfId="15" applyNumberFormat="1" applyFill="1" applyBorder="1"/>
    <xf numFmtId="0" fontId="0" fillId="9" borderId="71" xfId="0" applyFill="1" applyBorder="1"/>
    <xf numFmtId="181" fontId="5" fillId="9" borderId="72" xfId="15" applyNumberFormat="1" applyFill="1" applyBorder="1"/>
    <xf numFmtId="2" fontId="34" fillId="10" borderId="68" xfId="0" applyNumberFormat="1" applyFont="1" applyFill="1" applyBorder="1"/>
    <xf numFmtId="0" fontId="36" fillId="0" borderId="0" xfId="14" applyFont="1" applyAlignment="1">
      <alignment vertical="center"/>
    </xf>
    <xf numFmtId="0" fontId="37" fillId="0" borderId="0" xfId="14" applyFont="1"/>
    <xf numFmtId="0" fontId="36" fillId="0" borderId="0" xfId="14" applyFont="1" applyAlignment="1">
      <alignment horizontal="left" vertical="center"/>
    </xf>
    <xf numFmtId="0" fontId="38" fillId="0" borderId="0" xfId="14" applyFont="1"/>
    <xf numFmtId="0" fontId="36" fillId="0" borderId="0" xfId="0" applyFont="1"/>
    <xf numFmtId="0" fontId="37" fillId="0" borderId="0" xfId="14" applyFont="1" applyAlignment="1">
      <alignment horizontal="left" vertical="top" wrapText="1"/>
    </xf>
    <xf numFmtId="0" fontId="37" fillId="0" borderId="0" xfId="14" applyFont="1" applyAlignment="1">
      <alignment horizontal="distributed" vertical="center"/>
    </xf>
    <xf numFmtId="0" fontId="40" fillId="0" borderId="73" xfId="0" applyFont="1" applyBorder="1" applyAlignment="1">
      <alignment horizontal="center" vertical="center" shrinkToFit="1"/>
    </xf>
    <xf numFmtId="0" fontId="41" fillId="0" borderId="0" xfId="14" applyFont="1" applyAlignment="1">
      <alignment horizontal="distributed" vertical="center"/>
    </xf>
    <xf numFmtId="0" fontId="37" fillId="0" borderId="0" xfId="14" applyFont="1" applyAlignment="1">
      <alignment vertical="center"/>
    </xf>
    <xf numFmtId="0" fontId="36" fillId="0" borderId="0" xfId="0" applyFont="1" applyAlignment="1">
      <alignment vertical="center"/>
    </xf>
    <xf numFmtId="0" fontId="37" fillId="0" borderId="0" xfId="0" applyFont="1" applyAlignment="1">
      <alignment vertical="center"/>
    </xf>
    <xf numFmtId="0" fontId="37" fillId="0" borderId="0" xfId="0" applyFont="1" applyAlignment="1">
      <alignment horizontal="center" vertical="center"/>
    </xf>
    <xf numFmtId="0" fontId="37" fillId="0" borderId="0" xfId="14" applyFont="1" applyAlignment="1">
      <alignment vertical="center" wrapText="1"/>
    </xf>
    <xf numFmtId="0" fontId="37" fillId="0" borderId="0" xfId="0" applyFont="1" applyAlignment="1">
      <alignment horizontal="center" vertical="center" wrapText="1"/>
    </xf>
    <xf numFmtId="0" fontId="42" fillId="0" borderId="0" xfId="0" applyFont="1" applyAlignment="1">
      <alignment vertical="center"/>
    </xf>
    <xf numFmtId="0" fontId="37" fillId="0" borderId="0" xfId="0" quotePrefix="1" applyFont="1" applyAlignment="1">
      <alignment vertical="top"/>
    </xf>
    <xf numFmtId="0" fontId="39" fillId="0" borderId="0" xfId="0" applyFont="1" applyAlignment="1">
      <alignment vertical="center"/>
    </xf>
    <xf numFmtId="0" fontId="37" fillId="0" borderId="0" xfId="0" applyFont="1" applyAlignment="1">
      <alignment horizontal="left" vertical="center" wrapText="1"/>
    </xf>
    <xf numFmtId="0" fontId="37" fillId="0" borderId="74" xfId="0" applyFont="1" applyBorder="1" applyAlignment="1">
      <alignment horizontal="center" vertical="center" shrinkToFit="1"/>
    </xf>
    <xf numFmtId="2" fontId="37" fillId="0" borderId="4" xfId="0" applyNumberFormat="1" applyFont="1" applyBorder="1" applyAlignment="1">
      <alignment horizontal="right" vertical="center"/>
    </xf>
    <xf numFmtId="0" fontId="37" fillId="0" borderId="0" xfId="0" quotePrefix="1" applyFont="1" applyAlignment="1">
      <alignment vertical="center"/>
    </xf>
    <xf numFmtId="0" fontId="43" fillId="0" borderId="0" xfId="0" applyFont="1" applyAlignment="1">
      <alignment horizontal="center" vertical="center"/>
    </xf>
    <xf numFmtId="0" fontId="44" fillId="0" borderId="65" xfId="0" applyFont="1" applyBorder="1" applyAlignment="1">
      <alignment vertical="center"/>
    </xf>
    <xf numFmtId="0" fontId="44" fillId="0" borderId="75" xfId="0" applyFont="1" applyBorder="1" applyAlignment="1">
      <alignment vertical="center"/>
    </xf>
    <xf numFmtId="0" fontId="44" fillId="0" borderId="76" xfId="0" applyFont="1" applyBorder="1" applyAlignment="1">
      <alignment vertical="center"/>
    </xf>
    <xf numFmtId="0" fontId="44" fillId="0" borderId="77" xfId="0" applyFont="1" applyBorder="1" applyAlignment="1">
      <alignment vertical="center"/>
    </xf>
    <xf numFmtId="2" fontId="45" fillId="0" borderId="76" xfId="0" applyNumberFormat="1" applyFont="1" applyBorder="1" applyAlignment="1">
      <alignment horizontal="right" vertical="center" shrinkToFit="1"/>
    </xf>
    <xf numFmtId="0" fontId="44" fillId="0" borderId="0" xfId="0" applyFont="1" applyAlignment="1">
      <alignment vertical="center"/>
    </xf>
    <xf numFmtId="2" fontId="45" fillId="0" borderId="0" xfId="0" applyNumberFormat="1" applyFont="1" applyAlignment="1">
      <alignment horizontal="right" vertical="center" shrinkToFit="1"/>
    </xf>
    <xf numFmtId="2" fontId="45" fillId="0" borderId="65" xfId="0" applyNumberFormat="1" applyFont="1" applyBorder="1" applyAlignment="1">
      <alignment horizontal="right" vertical="center" shrinkToFit="1"/>
    </xf>
    <xf numFmtId="2" fontId="45" fillId="0" borderId="3" xfId="0" applyNumberFormat="1" applyFont="1" applyBorder="1" applyAlignment="1">
      <alignment horizontal="right" vertical="center" shrinkToFit="1"/>
    </xf>
    <xf numFmtId="2" fontId="45" fillId="0" borderId="33" xfId="0" applyNumberFormat="1" applyFont="1" applyBorder="1" applyAlignment="1">
      <alignment horizontal="right" vertical="center" shrinkToFit="1"/>
    </xf>
    <xf numFmtId="0" fontId="44" fillId="0" borderId="10" xfId="0" applyFont="1" applyBorder="1" applyAlignment="1">
      <alignment vertical="center"/>
    </xf>
    <xf numFmtId="0" fontId="43" fillId="0" borderId="0" xfId="0" applyFont="1"/>
    <xf numFmtId="0" fontId="51" fillId="0" borderId="0" xfId="18" applyFont="1" applyAlignment="1">
      <alignment vertical="center"/>
    </xf>
    <xf numFmtId="0" fontId="46" fillId="0" borderId="0" xfId="18" applyFont="1" applyAlignment="1">
      <alignment vertical="center"/>
    </xf>
    <xf numFmtId="37" fontId="51" fillId="0" borderId="0" xfId="18" applyNumberFormat="1" applyFont="1" applyAlignment="1">
      <alignment vertical="center"/>
    </xf>
    <xf numFmtId="182" fontId="51" fillId="0" borderId="0" xfId="18" applyNumberFormat="1" applyFont="1" applyAlignment="1">
      <alignment vertical="center"/>
    </xf>
    <xf numFmtId="0" fontId="43" fillId="0" borderId="0" xfId="18" applyFont="1" applyAlignment="1">
      <alignment vertical="center"/>
    </xf>
    <xf numFmtId="0" fontId="36" fillId="0" borderId="0" xfId="18" applyFont="1" applyAlignment="1">
      <alignment vertical="center"/>
    </xf>
    <xf numFmtId="183" fontId="36" fillId="0" borderId="0" xfId="18" applyNumberFormat="1" applyFont="1" applyAlignment="1">
      <alignment vertical="center"/>
    </xf>
    <xf numFmtId="182" fontId="43" fillId="0" borderId="0" xfId="18" applyNumberFormat="1" applyFont="1" applyAlignment="1">
      <alignment vertical="center"/>
    </xf>
    <xf numFmtId="37" fontId="43" fillId="0" borderId="0" xfId="18" applyNumberFormat="1" applyFont="1" applyAlignment="1">
      <alignment vertical="center"/>
    </xf>
    <xf numFmtId="183" fontId="43" fillId="0" borderId="0" xfId="18" applyNumberFormat="1" applyFont="1" applyAlignment="1">
      <alignment vertical="center"/>
    </xf>
    <xf numFmtId="183" fontId="44" fillId="0" borderId="0" xfId="18" applyNumberFormat="1" applyFont="1" applyAlignment="1">
      <alignment vertical="center"/>
    </xf>
    <xf numFmtId="182" fontId="44" fillId="0" borderId="0" xfId="18" applyNumberFormat="1" applyFont="1" applyAlignment="1">
      <alignment vertical="center"/>
    </xf>
    <xf numFmtId="37" fontId="44" fillId="0" borderId="0" xfId="18" applyNumberFormat="1" applyFont="1" applyAlignment="1">
      <alignment vertical="center"/>
    </xf>
    <xf numFmtId="0" fontId="42" fillId="0" borderId="0" xfId="18" applyFont="1" applyAlignment="1">
      <alignment vertical="center"/>
    </xf>
    <xf numFmtId="0" fontId="44" fillId="0" borderId="0" xfId="18" applyFont="1" applyAlignment="1">
      <alignment vertical="center"/>
    </xf>
    <xf numFmtId="183" fontId="46" fillId="0" borderId="0" xfId="18" applyNumberFormat="1" applyFont="1" applyAlignment="1">
      <alignment vertical="center"/>
    </xf>
    <xf numFmtId="182" fontId="39" fillId="0" borderId="78" xfId="18" applyNumberFormat="1" applyFont="1" applyBorder="1" applyAlignment="1">
      <alignment horizontal="distributed" vertical="center" wrapText="1" justifyLastLine="1"/>
    </xf>
    <xf numFmtId="0" fontId="52" fillId="0" borderId="0" xfId="18" applyFont="1" applyAlignment="1">
      <alignment vertical="center"/>
    </xf>
    <xf numFmtId="0" fontId="51" fillId="0" borderId="0" xfId="14" applyFont="1"/>
    <xf numFmtId="0" fontId="37" fillId="0" borderId="0" xfId="14" applyFont="1" applyAlignment="1">
      <alignment horizontal="center"/>
    </xf>
    <xf numFmtId="0" fontId="37" fillId="0" borderId="0" xfId="14" applyFont="1" applyAlignment="1">
      <alignment horizontal="distributed" vertical="center" justifyLastLine="1"/>
    </xf>
    <xf numFmtId="49" fontId="37" fillId="0" borderId="0" xfId="14" applyNumberFormat="1" applyFont="1" applyAlignment="1">
      <alignment horizontal="distributed" vertical="center" justifyLastLine="1"/>
    </xf>
    <xf numFmtId="0" fontId="43" fillId="0" borderId="0" xfId="14" applyFont="1" applyAlignment="1">
      <alignment vertical="center"/>
    </xf>
    <xf numFmtId="0" fontId="56" fillId="0" borderId="0" xfId="14" applyFont="1" applyAlignment="1">
      <alignment vertical="center"/>
    </xf>
    <xf numFmtId="0" fontId="38" fillId="0" borderId="0" xfId="14" applyFont="1" applyAlignment="1">
      <alignment horizontal="center" vertical="center"/>
    </xf>
    <xf numFmtId="0" fontId="38" fillId="0" borderId="0" xfId="14" applyFont="1" applyAlignment="1">
      <alignment vertical="center"/>
    </xf>
    <xf numFmtId="0" fontId="37" fillId="0" borderId="0" xfId="14" applyFont="1" applyAlignment="1">
      <alignment horizontal="center" vertical="center"/>
    </xf>
    <xf numFmtId="0" fontId="37" fillId="0" borderId="0" xfId="14" applyFont="1" applyAlignment="1">
      <alignment horizontal="left" vertical="top" textRotation="180"/>
    </xf>
    <xf numFmtId="0" fontId="43" fillId="0" borderId="0" xfId="14" applyFont="1" applyAlignment="1">
      <alignment vertical="top" wrapText="1"/>
    </xf>
    <xf numFmtId="0" fontId="43" fillId="0" borderId="0" xfId="14" applyFont="1" applyAlignment="1">
      <alignment wrapText="1"/>
    </xf>
    <xf numFmtId="0" fontId="43" fillId="0" borderId="0" xfId="14" applyFont="1" applyAlignment="1">
      <alignment vertical="top"/>
    </xf>
    <xf numFmtId="0" fontId="43" fillId="0" borderId="0" xfId="14" applyFont="1" applyAlignment="1">
      <alignment vertical="center" wrapText="1"/>
    </xf>
    <xf numFmtId="0" fontId="46" fillId="0" borderId="0" xfId="14" applyFont="1"/>
    <xf numFmtId="0" fontId="43" fillId="0" borderId="0" xfId="14" applyFont="1"/>
    <xf numFmtId="0" fontId="37" fillId="0" borderId="0" xfId="14" applyFont="1" applyAlignment="1">
      <alignment horizontal="left"/>
    </xf>
    <xf numFmtId="0" fontId="37" fillId="0" borderId="0" xfId="14" applyFont="1" applyAlignment="1">
      <alignment horizontal="right"/>
    </xf>
    <xf numFmtId="0" fontId="37" fillId="0" borderId="0" xfId="14" applyFont="1" applyAlignment="1">
      <alignment vertical="center" justifyLastLine="1"/>
    </xf>
    <xf numFmtId="0" fontId="50" fillId="0" borderId="28" xfId="14" applyFont="1" applyBorder="1" applyAlignment="1">
      <alignment horizontal="distributed" vertical="center" justifyLastLine="1"/>
    </xf>
    <xf numFmtId="0" fontId="50" fillId="0" borderId="37" xfId="14" applyFont="1" applyBorder="1" applyAlignment="1">
      <alignment horizontal="distributed" vertical="center" justifyLastLine="1"/>
    </xf>
    <xf numFmtId="0" fontId="50" fillId="0" borderId="3" xfId="14" applyFont="1" applyBorder="1" applyAlignment="1">
      <alignment horizontal="distributed" vertical="center" justifyLastLine="1"/>
    </xf>
    <xf numFmtId="0" fontId="50" fillId="0" borderId="79" xfId="14" applyFont="1" applyBorder="1" applyAlignment="1">
      <alignment horizontal="distributed" vertical="center" justifyLastLine="1"/>
    </xf>
    <xf numFmtId="0" fontId="50" fillId="0" borderId="80" xfId="14" applyFont="1" applyBorder="1" applyAlignment="1">
      <alignment horizontal="distributed" vertical="center" justifyLastLine="1"/>
    </xf>
    <xf numFmtId="0" fontId="38" fillId="0" borderId="81" xfId="14" applyFont="1" applyBorder="1" applyAlignment="1">
      <alignment vertical="center"/>
    </xf>
    <xf numFmtId="0" fontId="38" fillId="0" borderId="82" xfId="14" applyFont="1" applyBorder="1" applyAlignment="1">
      <alignment horizontal="center" vertical="center"/>
    </xf>
    <xf numFmtId="0" fontId="37" fillId="0" borderId="3" xfId="14" applyFont="1" applyBorder="1" applyAlignment="1">
      <alignment horizontal="left" vertical="center"/>
    </xf>
    <xf numFmtId="0" fontId="37" fillId="0" borderId="33" xfId="14" applyFont="1" applyBorder="1" applyAlignment="1">
      <alignment horizontal="left" vertical="center"/>
    </xf>
    <xf numFmtId="0" fontId="37" fillId="0" borderId="0" xfId="14" applyFont="1" applyAlignment="1">
      <alignment horizontal="left" vertical="center"/>
    </xf>
    <xf numFmtId="0" fontId="44" fillId="0" borderId="83" xfId="14" applyFont="1" applyBorder="1" applyAlignment="1">
      <alignment horizontal="distributed" vertical="center" justifyLastLine="1"/>
    </xf>
    <xf numFmtId="0" fontId="37" fillId="0" borderId="65" xfId="14" applyFont="1" applyBorder="1" applyAlignment="1">
      <alignment horizontal="left" vertical="center"/>
    </xf>
    <xf numFmtId="0" fontId="38" fillId="0" borderId="0" xfId="14" applyFont="1" applyAlignment="1">
      <alignment vertical="distributed" textRotation="255" justifyLastLine="1"/>
    </xf>
    <xf numFmtId="0" fontId="37" fillId="0" borderId="0" xfId="14" applyFont="1" applyAlignment="1">
      <alignment horizontal="distributed" vertical="center" wrapText="1" justifyLastLine="1"/>
    </xf>
    <xf numFmtId="0" fontId="51" fillId="0" borderId="0" xfId="14" applyFont="1" applyAlignment="1">
      <alignment vertical="center"/>
    </xf>
    <xf numFmtId="0" fontId="58" fillId="0" borderId="84" xfId="14" applyFont="1" applyBorder="1" applyAlignment="1">
      <alignment horizontal="distributed" vertical="center" wrapText="1" justifyLastLine="1"/>
    </xf>
    <xf numFmtId="0" fontId="58" fillId="0" borderId="82" xfId="14" applyFont="1" applyBorder="1" applyAlignment="1">
      <alignment horizontal="distributed" vertical="center" wrapText="1" justifyLastLine="1"/>
    </xf>
    <xf numFmtId="0" fontId="58" fillId="0" borderId="85" xfId="14" applyFont="1" applyBorder="1" applyAlignment="1">
      <alignment horizontal="distributed" vertical="center" wrapText="1" justifyLastLine="1"/>
    </xf>
    <xf numFmtId="0" fontId="36" fillId="0" borderId="86" xfId="0" applyFont="1" applyBorder="1"/>
    <xf numFmtId="182" fontId="36" fillId="0" borderId="87" xfId="0" applyNumberFormat="1" applyFont="1" applyBorder="1"/>
    <xf numFmtId="0" fontId="36" fillId="0" borderId="87" xfId="0" applyFont="1" applyBorder="1"/>
    <xf numFmtId="182" fontId="36" fillId="0" borderId="88" xfId="0" applyNumberFormat="1" applyFont="1" applyBorder="1"/>
    <xf numFmtId="182" fontId="36" fillId="0" borderId="86" xfId="0" applyNumberFormat="1" applyFont="1" applyBorder="1"/>
    <xf numFmtId="0" fontId="36" fillId="0" borderId="89" xfId="0" applyFont="1" applyBorder="1"/>
    <xf numFmtId="0" fontId="36" fillId="0" borderId="88" xfId="0" applyFont="1" applyBorder="1"/>
    <xf numFmtId="0" fontId="36" fillId="0" borderId="90" xfId="0" applyFont="1" applyBorder="1"/>
    <xf numFmtId="0" fontId="36" fillId="0" borderId="33" xfId="0" applyFont="1" applyBorder="1" applyAlignment="1">
      <alignment horizontal="center"/>
    </xf>
    <xf numFmtId="0" fontId="36" fillId="0" borderId="33" xfId="0" applyFont="1" applyBorder="1"/>
    <xf numFmtId="0" fontId="36" fillId="0" borderId="0" xfId="0" applyFont="1" applyAlignment="1">
      <alignment horizontal="center"/>
    </xf>
    <xf numFmtId="182" fontId="36" fillId="0" borderId="0" xfId="0" applyNumberFormat="1" applyFont="1"/>
    <xf numFmtId="0" fontId="55" fillId="0" borderId="0" xfId="0" applyFont="1"/>
    <xf numFmtId="0" fontId="42" fillId="0" borderId="91" xfId="16" applyFont="1" applyBorder="1" applyAlignment="1">
      <alignment horizontal="center" vertical="center"/>
    </xf>
    <xf numFmtId="182" fontId="61" fillId="0" borderId="68" xfId="0" applyNumberFormat="1" applyFont="1" applyBorder="1"/>
    <xf numFmtId="2" fontId="61" fillId="0" borderId="68" xfId="0" applyNumberFormat="1" applyFont="1" applyBorder="1"/>
    <xf numFmtId="2" fontId="61" fillId="10" borderId="68" xfId="0" applyNumberFormat="1" applyFont="1" applyFill="1" applyBorder="1"/>
    <xf numFmtId="0" fontId="42" fillId="0" borderId="28" xfId="0" applyFont="1" applyBorder="1" applyAlignment="1">
      <alignment horizontal="center"/>
    </xf>
    <xf numFmtId="0" fontId="42" fillId="0" borderId="91" xfId="0" applyFont="1" applyBorder="1" applyAlignment="1">
      <alignment horizontal="center"/>
    </xf>
    <xf numFmtId="182" fontId="58" fillId="0" borderId="91" xfId="16" applyNumberFormat="1" applyFont="1" applyBorder="1">
      <alignment vertical="center"/>
    </xf>
    <xf numFmtId="0" fontId="42" fillId="0" borderId="91" xfId="0" applyFont="1" applyBorder="1"/>
    <xf numFmtId="0" fontId="42" fillId="0" borderId="92" xfId="0" applyFont="1" applyBorder="1"/>
    <xf numFmtId="0" fontId="42" fillId="0" borderId="0" xfId="0" applyFont="1"/>
    <xf numFmtId="0" fontId="58" fillId="8" borderId="79" xfId="16" applyFont="1" applyFill="1" applyBorder="1" applyAlignment="1">
      <alignment horizontal="center" vertical="center"/>
    </xf>
    <xf numFmtId="0" fontId="58" fillId="9" borderId="79" xfId="16" applyFont="1" applyFill="1" applyBorder="1" applyAlignment="1">
      <alignment horizontal="center" vertical="center"/>
    </xf>
    <xf numFmtId="0" fontId="58" fillId="3" borderId="79" xfId="16" applyFont="1" applyFill="1" applyBorder="1" applyAlignment="1">
      <alignment horizontal="center" vertical="center"/>
    </xf>
    <xf numFmtId="182" fontId="58" fillId="0" borderId="79" xfId="16" applyNumberFormat="1" applyFont="1" applyBorder="1" applyAlignment="1">
      <alignment horizontal="center" vertical="center"/>
    </xf>
    <xf numFmtId="0" fontId="42" fillId="0" borderId="79" xfId="0" applyFont="1" applyBorder="1"/>
    <xf numFmtId="0" fontId="58" fillId="0" borderId="79" xfId="16" applyFont="1" applyBorder="1" applyAlignment="1">
      <alignment horizontal="center" vertical="center"/>
    </xf>
    <xf numFmtId="0" fontId="58" fillId="3" borderId="80" xfId="16" applyFont="1" applyFill="1" applyBorder="1" applyAlignment="1">
      <alignment horizontal="center" vertical="center"/>
    </xf>
    <xf numFmtId="0" fontId="58" fillId="0" borderId="25" xfId="0" applyFont="1" applyBorder="1" applyAlignment="1">
      <alignment horizontal="center" vertical="center"/>
    </xf>
    <xf numFmtId="0" fontId="58" fillId="0" borderId="11" xfId="0" applyFont="1" applyBorder="1" applyAlignment="1">
      <alignment horizontal="center" vertical="center"/>
    </xf>
    <xf numFmtId="0" fontId="58" fillId="0" borderId="86" xfId="16" applyFont="1" applyBorder="1">
      <alignment vertical="center"/>
    </xf>
    <xf numFmtId="182" fontId="58" fillId="0" borderId="86" xfId="16" applyNumberFormat="1" applyFont="1" applyBorder="1">
      <alignment vertical="center"/>
    </xf>
    <xf numFmtId="0" fontId="42" fillId="0" borderId="86" xfId="0" applyFont="1" applyBorder="1"/>
    <xf numFmtId="0" fontId="61" fillId="0" borderId="86" xfId="0" applyFont="1" applyBorder="1"/>
    <xf numFmtId="0" fontId="42" fillId="0" borderId="93" xfId="0" applyFont="1" applyBorder="1"/>
    <xf numFmtId="182" fontId="42" fillId="0" borderId="0" xfId="0" applyNumberFormat="1" applyFont="1"/>
    <xf numFmtId="0" fontId="36" fillId="0" borderId="11" xfId="0" applyFont="1" applyBorder="1"/>
    <xf numFmtId="0" fontId="43" fillId="0" borderId="25" xfId="0" applyFont="1" applyBorder="1" applyAlignment="1">
      <alignment horizontal="center"/>
    </xf>
    <xf numFmtId="178" fontId="43" fillId="2" borderId="11" xfId="0" applyNumberFormat="1" applyFont="1" applyFill="1" applyBorder="1" applyAlignment="1">
      <alignment horizontal="center"/>
    </xf>
    <xf numFmtId="0" fontId="43" fillId="2" borderId="11" xfId="0" applyFont="1" applyFill="1" applyBorder="1" applyAlignment="1">
      <alignment horizontal="center"/>
    </xf>
    <xf numFmtId="0" fontId="43" fillId="3" borderId="11" xfId="0" applyFont="1" applyFill="1" applyBorder="1" applyAlignment="1">
      <alignment horizontal="center"/>
    </xf>
    <xf numFmtId="0" fontId="43" fillId="0" borderId="11" xfId="0" applyFont="1" applyBorder="1" applyAlignment="1">
      <alignment horizontal="right" vertical="center"/>
    </xf>
    <xf numFmtId="0" fontId="37" fillId="8" borderId="11" xfId="0" applyFont="1" applyFill="1" applyBorder="1" applyAlignment="1">
      <alignment horizontal="center"/>
    </xf>
    <xf numFmtId="179" fontId="37" fillId="2" borderId="11" xfId="0" applyNumberFormat="1" applyFont="1" applyFill="1" applyBorder="1" applyAlignment="1">
      <alignment horizontal="center"/>
    </xf>
    <xf numFmtId="180" fontId="62" fillId="2" borderId="11" xfId="0" applyNumberFormat="1" applyFont="1" applyFill="1" applyBorder="1" applyAlignment="1">
      <alignment horizontal="center"/>
    </xf>
    <xf numFmtId="2" fontId="36" fillId="0" borderId="11" xfId="0" applyNumberFormat="1" applyFont="1" applyBorder="1"/>
    <xf numFmtId="2" fontId="36" fillId="0" borderId="39" xfId="0" applyNumberFormat="1" applyFont="1" applyBorder="1"/>
    <xf numFmtId="2" fontId="36" fillId="0" borderId="17" xfId="0" applyNumberFormat="1" applyFont="1" applyBorder="1"/>
    <xf numFmtId="182" fontId="36" fillId="0" borderId="39" xfId="0" applyNumberFormat="1" applyFont="1" applyBorder="1"/>
    <xf numFmtId="182" fontId="36" fillId="0" borderId="11" xfId="0" applyNumberFormat="1" applyFont="1" applyBorder="1"/>
    <xf numFmtId="182" fontId="36" fillId="0" borderId="17" xfId="0" applyNumberFormat="1" applyFont="1" applyBorder="1"/>
    <xf numFmtId="182" fontId="36" fillId="0" borderId="32" xfId="0" applyNumberFormat="1" applyFont="1" applyBorder="1"/>
    <xf numFmtId="2" fontId="36" fillId="0" borderId="33" xfId="0" applyNumberFormat="1" applyFont="1" applyBorder="1"/>
    <xf numFmtId="3" fontId="36" fillId="0" borderId="33" xfId="0" applyNumberFormat="1" applyFont="1" applyBorder="1"/>
    <xf numFmtId="2" fontId="36" fillId="0" borderId="0" xfId="0" applyNumberFormat="1" applyFont="1"/>
    <xf numFmtId="3" fontId="36" fillId="0" borderId="0" xfId="0" applyNumberFormat="1" applyFont="1"/>
    <xf numFmtId="0" fontId="38" fillId="0" borderId="22" xfId="0" applyFont="1" applyBorder="1" applyAlignment="1">
      <alignment horizontal="center"/>
    </xf>
    <xf numFmtId="0" fontId="38" fillId="0" borderId="23" xfId="0" applyFont="1" applyBorder="1" applyAlignment="1">
      <alignment horizontal="center"/>
    </xf>
    <xf numFmtId="0" fontId="38" fillId="0" borderId="23" xfId="0" applyFont="1" applyBorder="1" applyAlignment="1">
      <alignment horizontal="right"/>
    </xf>
    <xf numFmtId="178" fontId="38" fillId="8" borderId="23" xfId="0" applyNumberFormat="1" applyFont="1" applyFill="1" applyBorder="1"/>
    <xf numFmtId="0" fontId="46" fillId="0" borderId="23" xfId="0" applyFont="1" applyBorder="1"/>
    <xf numFmtId="178" fontId="38" fillId="2" borderId="23" xfId="0" applyNumberFormat="1" applyFont="1" applyFill="1" applyBorder="1"/>
    <xf numFmtId="177" fontId="38" fillId="3" borderId="23" xfId="0" applyNumberFormat="1" applyFont="1" applyFill="1" applyBorder="1"/>
    <xf numFmtId="0" fontId="46" fillId="0" borderId="0" xfId="0" applyFont="1"/>
    <xf numFmtId="0" fontId="38" fillId="0" borderId="25" xfId="0" applyFont="1" applyBorder="1" applyAlignment="1">
      <alignment horizontal="center" vertical="center"/>
    </xf>
    <xf numFmtId="0" fontId="38" fillId="0" borderId="11" xfId="0" applyFont="1" applyBorder="1" applyAlignment="1">
      <alignment horizontal="center" vertical="center"/>
    </xf>
    <xf numFmtId="178" fontId="38" fillId="8" borderId="11" xfId="0" applyNumberFormat="1" applyFont="1" applyFill="1" applyBorder="1" applyAlignment="1">
      <alignment horizontal="distributed" vertical="top" wrapText="1"/>
    </xf>
    <xf numFmtId="0" fontId="46" fillId="0" borderId="11" xfId="0" applyFont="1" applyBorder="1"/>
    <xf numFmtId="178" fontId="38" fillId="2" borderId="11" xfId="0" applyNumberFormat="1" applyFont="1" applyFill="1" applyBorder="1" applyAlignment="1">
      <alignment horizontal="center" vertical="center" wrapText="1"/>
    </xf>
    <xf numFmtId="177" fontId="38" fillId="3" borderId="11" xfId="0" applyNumberFormat="1" applyFont="1" applyFill="1" applyBorder="1" applyAlignment="1">
      <alignment horizontal="center" vertical="center" wrapText="1"/>
    </xf>
    <xf numFmtId="0" fontId="51" fillId="0" borderId="25" xfId="0" applyFont="1" applyBorder="1" applyAlignment="1">
      <alignment horizontal="center"/>
    </xf>
    <xf numFmtId="0" fontId="51" fillId="0" borderId="11" xfId="0" applyFont="1" applyBorder="1" applyAlignment="1">
      <alignment horizontal="center"/>
    </xf>
    <xf numFmtId="0" fontId="51" fillId="0" borderId="11" xfId="0" applyFont="1" applyBorder="1" applyAlignment="1">
      <alignment horizontal="right"/>
    </xf>
    <xf numFmtId="0" fontId="58" fillId="0" borderId="0" xfId="14" applyFont="1"/>
    <xf numFmtId="182" fontId="45" fillId="0" borderId="76" xfId="0" applyNumberFormat="1" applyFont="1" applyBorder="1" applyAlignment="1">
      <alignment horizontal="right" vertical="center" shrinkToFit="1"/>
    </xf>
    <xf numFmtId="192" fontId="42" fillId="0" borderId="0" xfId="0" applyNumberFormat="1" applyFont="1"/>
    <xf numFmtId="0" fontId="49" fillId="0" borderId="0" xfId="14" applyFont="1" applyAlignment="1">
      <alignment vertical="center"/>
    </xf>
    <xf numFmtId="0" fontId="59" fillId="0" borderId="0" xfId="14" applyFont="1"/>
    <xf numFmtId="0" fontId="49" fillId="0" borderId="0" xfId="14" applyFont="1" applyAlignment="1">
      <alignment horizontal="left" vertical="center"/>
    </xf>
    <xf numFmtId="0" fontId="49" fillId="0" borderId="0" xfId="14" applyFont="1" applyAlignment="1">
      <alignment horizontal="left" vertical="center" wrapText="1"/>
    </xf>
    <xf numFmtId="0" fontId="59" fillId="0" borderId="0" xfId="0" quotePrefix="1" applyFont="1" applyAlignment="1">
      <alignment vertical="center"/>
    </xf>
    <xf numFmtId="0" fontId="59" fillId="0" borderId="0" xfId="0" applyFont="1" applyAlignment="1">
      <alignment vertical="center"/>
    </xf>
    <xf numFmtId="182" fontId="42" fillId="0" borderId="0" xfId="0" applyNumberFormat="1" applyFont="1" applyAlignment="1">
      <alignment vertical="center"/>
    </xf>
    <xf numFmtId="0" fontId="44" fillId="0" borderId="0" xfId="0" applyFont="1" applyAlignment="1">
      <alignment vertical="top" wrapText="1"/>
    </xf>
    <xf numFmtId="0" fontId="11" fillId="0" borderId="0" xfId="14" applyFont="1" applyAlignment="1">
      <alignment horizontal="right" vertical="top"/>
    </xf>
    <xf numFmtId="0" fontId="36" fillId="0" borderId="0" xfId="14" applyFont="1" applyAlignment="1">
      <alignment horizontal="left" vertical="top" wrapText="1"/>
    </xf>
    <xf numFmtId="0" fontId="65" fillId="0" borderId="0" xfId="0" applyFont="1" applyAlignment="1">
      <alignment vertical="top" wrapText="1"/>
    </xf>
    <xf numFmtId="0" fontId="37" fillId="0" borderId="0" xfId="0" applyFont="1" applyAlignment="1">
      <alignment horizontal="distributed" vertical="center" wrapText="1" justifyLastLine="1"/>
    </xf>
    <xf numFmtId="0" fontId="103" fillId="0" borderId="9" xfId="1" applyFont="1" applyBorder="1" applyAlignment="1" applyProtection="1">
      <alignment horizontal="center" vertical="center"/>
    </xf>
    <xf numFmtId="0" fontId="66" fillId="0" borderId="9" xfId="0" applyFont="1" applyBorder="1" applyAlignment="1">
      <alignment horizontal="center" vertical="center"/>
    </xf>
    <xf numFmtId="0" fontId="17" fillId="0" borderId="9" xfId="14" applyFont="1" applyBorder="1"/>
    <xf numFmtId="0" fontId="67" fillId="0" borderId="9" xfId="0" applyFont="1" applyBorder="1" applyAlignment="1">
      <alignment horizontal="center" vertical="center"/>
    </xf>
    <xf numFmtId="0" fontId="68" fillId="0" borderId="9" xfId="0" applyFont="1" applyBorder="1" applyAlignment="1">
      <alignment horizontal="center" vertical="center"/>
    </xf>
    <xf numFmtId="0" fontId="69" fillId="0" borderId="9" xfId="0" applyFont="1" applyBorder="1" applyAlignment="1">
      <alignment horizontal="center" vertical="center"/>
    </xf>
    <xf numFmtId="0" fontId="70" fillId="0" borderId="9" xfId="0" applyFont="1" applyBorder="1" applyAlignment="1">
      <alignment horizontal="center" vertical="center"/>
    </xf>
    <xf numFmtId="0" fontId="71" fillId="0" borderId="9" xfId="0" applyFont="1" applyBorder="1" applyAlignment="1">
      <alignment horizontal="center" vertical="center"/>
    </xf>
    <xf numFmtId="0" fontId="103" fillId="0" borderId="0" xfId="1" applyFont="1" applyBorder="1" applyAlignment="1" applyProtection="1">
      <alignment horizontal="center" vertical="center"/>
    </xf>
    <xf numFmtId="0" fontId="103" fillId="0" borderId="8" xfId="1" applyFont="1" applyBorder="1" applyAlignment="1" applyProtection="1">
      <alignment horizontal="center" vertical="center"/>
    </xf>
    <xf numFmtId="182" fontId="39" fillId="3" borderId="4" xfId="0" applyNumberFormat="1" applyFont="1" applyFill="1" applyBorder="1" applyAlignment="1">
      <alignment horizontal="right" vertical="center"/>
    </xf>
    <xf numFmtId="182" fontId="37" fillId="3" borderId="4" xfId="0" applyNumberFormat="1" applyFont="1" applyFill="1" applyBorder="1" applyAlignment="1">
      <alignment horizontal="right" vertical="center"/>
    </xf>
    <xf numFmtId="0" fontId="58" fillId="0" borderId="27" xfId="0" applyFont="1" applyBorder="1" applyAlignment="1">
      <alignment horizontal="center" vertical="center"/>
    </xf>
    <xf numFmtId="0" fontId="58" fillId="0" borderId="1" xfId="0" applyFont="1" applyBorder="1" applyAlignment="1">
      <alignment horizontal="center" vertical="center"/>
    </xf>
    <xf numFmtId="0" fontId="58" fillId="0" borderId="0" xfId="0" applyFont="1" applyAlignment="1">
      <alignment horizontal="center" vertical="center"/>
    </xf>
    <xf numFmtId="178" fontId="37" fillId="8" borderId="1" xfId="0" applyNumberFormat="1" applyFont="1" applyFill="1" applyBorder="1" applyAlignment="1">
      <alignment horizontal="distributed" vertical="top" wrapText="1"/>
    </xf>
    <xf numFmtId="178" fontId="37" fillId="2" borderId="1" xfId="0" applyNumberFormat="1" applyFont="1" applyFill="1" applyBorder="1" applyAlignment="1">
      <alignment horizontal="center" vertical="center" wrapText="1"/>
    </xf>
    <xf numFmtId="177" fontId="37" fillId="3" borderId="1" xfId="0" applyNumberFormat="1" applyFont="1" applyFill="1" applyBorder="1" applyAlignment="1">
      <alignment horizontal="center" vertical="center" wrapText="1"/>
    </xf>
    <xf numFmtId="0" fontId="43" fillId="0" borderId="27" xfId="0" applyFont="1" applyBorder="1" applyAlignment="1">
      <alignment horizontal="center"/>
    </xf>
    <xf numFmtId="0" fontId="43" fillId="0" borderId="1" xfId="0" applyFont="1" applyBorder="1" applyAlignment="1">
      <alignment horizontal="center"/>
    </xf>
    <xf numFmtId="0" fontId="43" fillId="0" borderId="0" xfId="0" applyFont="1" applyAlignment="1">
      <alignment horizontal="center"/>
    </xf>
    <xf numFmtId="181" fontId="43" fillId="9" borderId="0" xfId="15" applyNumberFormat="1" applyFont="1" applyFill="1" applyAlignment="1">
      <alignment horizontal="center"/>
    </xf>
    <xf numFmtId="181" fontId="37" fillId="9" borderId="1" xfId="15" applyNumberFormat="1" applyFont="1" applyFill="1" applyBorder="1"/>
    <xf numFmtId="0" fontId="43" fillId="0" borderId="0" xfId="0" applyFont="1" applyAlignment="1">
      <alignment horizontal="right"/>
    </xf>
    <xf numFmtId="0" fontId="43" fillId="9" borderId="0" xfId="0" applyFont="1" applyFill="1" applyAlignment="1">
      <alignment horizontal="right"/>
    </xf>
    <xf numFmtId="0" fontId="36" fillId="0" borderId="1" xfId="0" applyFont="1" applyBorder="1"/>
    <xf numFmtId="178" fontId="43" fillId="0" borderId="1" xfId="0" applyNumberFormat="1" applyFont="1" applyBorder="1" applyAlignment="1">
      <alignment horizontal="center"/>
    </xf>
    <xf numFmtId="0" fontId="36" fillId="9" borderId="1" xfId="0" applyFont="1" applyFill="1" applyBorder="1"/>
    <xf numFmtId="0" fontId="43" fillId="0" borderId="0" xfId="0" applyFont="1" applyAlignment="1">
      <alignment horizontal="right" vertical="center"/>
    </xf>
    <xf numFmtId="0" fontId="43" fillId="9" borderId="94" xfId="0" applyFont="1" applyFill="1" applyBorder="1" applyAlignment="1">
      <alignment horizontal="right" vertical="center"/>
    </xf>
    <xf numFmtId="0" fontId="37" fillId="0" borderId="1" xfId="0" applyFont="1" applyBorder="1" applyAlignment="1">
      <alignment horizontal="center"/>
    </xf>
    <xf numFmtId="179" fontId="37" fillId="0" borderId="1" xfId="0" applyNumberFormat="1" applyFont="1" applyBorder="1" applyAlignment="1">
      <alignment horizontal="center"/>
    </xf>
    <xf numFmtId="180" fontId="37" fillId="0" borderId="1" xfId="0" applyNumberFormat="1" applyFont="1" applyBorder="1" applyAlignment="1">
      <alignment horizontal="center"/>
    </xf>
    <xf numFmtId="0" fontId="36" fillId="9" borderId="95" xfId="0" applyFont="1" applyFill="1" applyBorder="1"/>
    <xf numFmtId="2" fontId="36" fillId="9" borderId="34" xfId="0" applyNumberFormat="1" applyFont="1" applyFill="1" applyBorder="1"/>
    <xf numFmtId="2" fontId="36" fillId="9" borderId="70" xfId="0" applyNumberFormat="1" applyFont="1" applyFill="1" applyBorder="1"/>
    <xf numFmtId="2" fontId="36" fillId="0" borderId="1" xfId="0" applyNumberFormat="1" applyFont="1" applyBorder="1"/>
    <xf numFmtId="0" fontId="36" fillId="0" borderId="27" xfId="0" applyFont="1" applyBorder="1" applyAlignment="1">
      <alignment horizontal="center"/>
    </xf>
    <xf numFmtId="0" fontId="36" fillId="0" borderId="1" xfId="0" applyFont="1" applyBorder="1" applyAlignment="1">
      <alignment horizontal="center"/>
    </xf>
    <xf numFmtId="2" fontId="54" fillId="0" borderId="1" xfId="0" applyNumberFormat="1" applyFont="1" applyBorder="1"/>
    <xf numFmtId="0" fontId="55" fillId="0" borderId="1" xfId="0" applyFont="1" applyBorder="1"/>
    <xf numFmtId="2" fontId="37" fillId="0" borderId="96" xfId="0" applyNumberFormat="1" applyFont="1" applyBorder="1" applyAlignment="1">
      <alignment horizontal="right" vertical="center"/>
    </xf>
    <xf numFmtId="182" fontId="37" fillId="3" borderId="96" xfId="0" applyNumberFormat="1" applyFont="1" applyFill="1" applyBorder="1" applyAlignment="1">
      <alignment horizontal="right" vertical="center"/>
    </xf>
    <xf numFmtId="2" fontId="43" fillId="0" borderId="0" xfId="0" applyNumberFormat="1" applyFont="1" applyAlignment="1">
      <alignment horizontal="center" vertical="center"/>
    </xf>
    <xf numFmtId="2" fontId="39" fillId="0" borderId="4" xfId="0" applyNumberFormat="1" applyFont="1" applyBorder="1" applyAlignment="1">
      <alignment horizontal="right" vertical="center"/>
    </xf>
    <xf numFmtId="0" fontId="53" fillId="0" borderId="0" xfId="14" applyFont="1"/>
    <xf numFmtId="0" fontId="144" fillId="0" borderId="0" xfId="14" applyFont="1"/>
    <xf numFmtId="0" fontId="144" fillId="0" borderId="0" xfId="14" applyFont="1" applyAlignment="1">
      <alignment horizontal="center"/>
    </xf>
    <xf numFmtId="181" fontId="43" fillId="9" borderId="70" xfId="15" applyNumberFormat="1" applyFont="1" applyFill="1" applyBorder="1" applyAlignment="1">
      <alignment horizontal="center" vertical="center" wrapText="1"/>
    </xf>
    <xf numFmtId="181" fontId="43" fillId="9" borderId="72" xfId="15" applyNumberFormat="1" applyFont="1" applyFill="1" applyBorder="1" applyAlignment="1">
      <alignment horizontal="center" vertical="center" wrapText="1"/>
    </xf>
    <xf numFmtId="2" fontId="37" fillId="0" borderId="0" xfId="0" applyNumberFormat="1" applyFont="1" applyAlignment="1">
      <alignment horizontal="center" vertical="center"/>
    </xf>
    <xf numFmtId="0" fontId="43" fillId="0" borderId="0" xfId="18" quotePrefix="1" applyFont="1" applyAlignment="1">
      <alignment vertical="center"/>
    </xf>
    <xf numFmtId="0" fontId="37" fillId="0" borderId="0" xfId="0" quotePrefix="1" applyFont="1" applyAlignment="1">
      <alignment horizontal="center" vertical="center"/>
    </xf>
    <xf numFmtId="0" fontId="43" fillId="0" borderId="97" xfId="0" applyFont="1" applyBorder="1" applyAlignment="1">
      <alignment horizontal="center"/>
    </xf>
    <xf numFmtId="0" fontId="43" fillId="0" borderId="98" xfId="0" applyFont="1" applyBorder="1" applyAlignment="1">
      <alignment horizontal="center"/>
    </xf>
    <xf numFmtId="0" fontId="43" fillId="0" borderId="0" xfId="18" applyFont="1" applyAlignment="1">
      <alignment horizontal="center" vertical="center"/>
    </xf>
    <xf numFmtId="183" fontId="43" fillId="0" borderId="99" xfId="18" applyNumberFormat="1" applyFont="1" applyBorder="1" applyAlignment="1">
      <alignment vertical="center"/>
    </xf>
    <xf numFmtId="0" fontId="43" fillId="0" borderId="100" xfId="18" applyFont="1" applyBorder="1" applyAlignment="1">
      <alignment vertical="center"/>
    </xf>
    <xf numFmtId="0" fontId="43" fillId="0" borderId="102" xfId="18" applyFont="1" applyBorder="1" applyAlignment="1">
      <alignment horizontal="distributed" vertical="center" wrapText="1" justifyLastLine="1"/>
    </xf>
    <xf numFmtId="0" fontId="43" fillId="0" borderId="103" xfId="18" applyFont="1" applyBorder="1" applyAlignment="1">
      <alignment vertical="center"/>
    </xf>
    <xf numFmtId="184" fontId="43" fillId="0" borderId="0" xfId="18" applyNumberFormat="1" applyFont="1" applyAlignment="1">
      <alignment horizontal="right" vertical="center"/>
    </xf>
    <xf numFmtId="3" fontId="43" fillId="0" borderId="0" xfId="2" applyNumberFormat="1" applyFont="1" applyBorder="1" applyAlignment="1" applyProtection="1">
      <alignment horizontal="right" vertical="center"/>
    </xf>
    <xf numFmtId="182" fontId="43" fillId="0" borderId="0" xfId="18" applyNumberFormat="1" applyFont="1" applyAlignment="1">
      <alignment horizontal="right" vertical="center"/>
    </xf>
    <xf numFmtId="0" fontId="43" fillId="0" borderId="104" xfId="18" applyFont="1" applyBorder="1" applyAlignment="1">
      <alignment horizontal="distributed" vertical="center" wrapText="1" justifyLastLine="1"/>
    </xf>
    <xf numFmtId="183" fontId="43" fillId="0" borderId="105" xfId="18" applyNumberFormat="1" applyFont="1" applyBorder="1" applyAlignment="1">
      <alignment horizontal="distributed" vertical="center" justifyLastLine="1"/>
    </xf>
    <xf numFmtId="182" fontId="43" fillId="0" borderId="105" xfId="18" applyNumberFormat="1" applyFont="1" applyBorder="1" applyAlignment="1">
      <alignment horizontal="distributed" vertical="center" justifyLastLine="1"/>
    </xf>
    <xf numFmtId="183" fontId="43" fillId="0" borderId="106" xfId="18" applyNumberFormat="1" applyFont="1" applyBorder="1" applyAlignment="1">
      <alignment vertical="center"/>
    </xf>
    <xf numFmtId="0" fontId="43" fillId="0" borderId="9" xfId="18" applyFont="1" applyBorder="1" applyAlignment="1">
      <alignment vertical="center"/>
    </xf>
    <xf numFmtId="182" fontId="43" fillId="0" borderId="78" xfId="18" applyNumberFormat="1" applyFont="1" applyBorder="1" applyAlignment="1">
      <alignment horizontal="distributed" vertical="center" wrapText="1" justifyLastLine="1"/>
    </xf>
    <xf numFmtId="0" fontId="48" fillId="0" borderId="65" xfId="0" applyFont="1" applyBorder="1" applyAlignment="1">
      <alignment vertical="center"/>
    </xf>
    <xf numFmtId="0" fontId="43" fillId="0" borderId="92" xfId="0" applyFont="1" applyBorder="1" applyAlignment="1">
      <alignment vertical="center"/>
    </xf>
    <xf numFmtId="0" fontId="43" fillId="0" borderId="76" xfId="0" applyFont="1" applyBorder="1" applyAlignment="1">
      <alignment vertical="center"/>
    </xf>
    <xf numFmtId="0" fontId="43" fillId="0" borderId="107" xfId="0" applyFont="1" applyBorder="1" applyAlignment="1">
      <alignment vertical="center"/>
    </xf>
    <xf numFmtId="0" fontId="43" fillId="0" borderId="0" xfId="0" applyFont="1" applyAlignment="1">
      <alignment vertical="center"/>
    </xf>
    <xf numFmtId="0" fontId="43" fillId="0" borderId="108" xfId="0" applyFont="1" applyBorder="1" applyAlignment="1">
      <alignment vertical="center"/>
    </xf>
    <xf numFmtId="0" fontId="43" fillId="0" borderId="3" xfId="0" applyFont="1" applyBorder="1" applyAlignment="1">
      <alignment vertical="center"/>
    </xf>
    <xf numFmtId="0" fontId="43" fillId="0" borderId="109" xfId="0" applyFont="1" applyBorder="1" applyAlignment="1">
      <alignment vertical="center"/>
    </xf>
    <xf numFmtId="0" fontId="43" fillId="0" borderId="33" xfId="0" applyFont="1" applyBorder="1" applyAlignment="1">
      <alignment vertical="center"/>
    </xf>
    <xf numFmtId="0" fontId="43" fillId="0" borderId="110" xfId="0" applyFont="1" applyBorder="1" applyAlignment="1">
      <alignment vertical="center"/>
    </xf>
    <xf numFmtId="0" fontId="43" fillId="0" borderId="108" xfId="0" applyFont="1" applyBorder="1" applyAlignment="1">
      <alignment vertical="center" shrinkToFit="1"/>
    </xf>
    <xf numFmtId="0" fontId="43" fillId="0" borderId="65" xfId="0" applyFont="1" applyBorder="1" applyAlignment="1">
      <alignment vertical="center"/>
    </xf>
    <xf numFmtId="0" fontId="43" fillId="0" borderId="75" xfId="0" applyFont="1" applyBorder="1" applyAlignment="1">
      <alignment vertical="center"/>
    </xf>
    <xf numFmtId="0" fontId="43" fillId="0" borderId="10" xfId="0" applyFont="1" applyBorder="1" applyAlignment="1">
      <alignment vertical="center"/>
    </xf>
    <xf numFmtId="0" fontId="43" fillId="0" borderId="0" xfId="0" quotePrefix="1" applyFont="1"/>
    <xf numFmtId="0" fontId="43" fillId="0" borderId="0" xfId="14" quotePrefix="1" applyFont="1" applyAlignment="1">
      <alignment horizontal="center" vertical="center"/>
    </xf>
    <xf numFmtId="0" fontId="45" fillId="0" borderId="0" xfId="0" applyFont="1"/>
    <xf numFmtId="0" fontId="59" fillId="0" borderId="0" xfId="0" quotePrefix="1" applyFont="1" applyAlignment="1">
      <alignment horizontal="center" vertical="center"/>
    </xf>
    <xf numFmtId="0" fontId="59" fillId="0" borderId="0" xfId="0" quotePrefix="1" applyFont="1" applyAlignment="1">
      <alignment horizontal="center" vertical="top"/>
    </xf>
    <xf numFmtId="0" fontId="36" fillId="7" borderId="38" xfId="0" applyFont="1" applyFill="1" applyBorder="1" applyAlignment="1">
      <alignment horizontal="center"/>
    </xf>
    <xf numFmtId="0" fontId="36" fillId="7" borderId="39" xfId="0" applyFont="1" applyFill="1" applyBorder="1" applyAlignment="1">
      <alignment horizontal="center"/>
    </xf>
    <xf numFmtId="0" fontId="36" fillId="7" borderId="39" xfId="0" applyFont="1" applyFill="1" applyBorder="1"/>
    <xf numFmtId="2" fontId="36" fillId="7" borderId="39" xfId="0" applyNumberFormat="1" applyFont="1" applyFill="1" applyBorder="1"/>
    <xf numFmtId="0" fontId="36" fillId="7" borderId="25" xfId="0" applyFont="1" applyFill="1" applyBorder="1" applyAlignment="1">
      <alignment horizontal="center"/>
    </xf>
    <xf numFmtId="0" fontId="36" fillId="7" borderId="11" xfId="0" applyFont="1" applyFill="1" applyBorder="1" applyAlignment="1">
      <alignment horizontal="center"/>
    </xf>
    <xf numFmtId="0" fontId="36" fillId="7" borderId="11" xfId="0" applyFont="1" applyFill="1" applyBorder="1"/>
    <xf numFmtId="2" fontId="36" fillId="7" borderId="11" xfId="0" applyNumberFormat="1" applyFont="1" applyFill="1" applyBorder="1"/>
    <xf numFmtId="0" fontId="36" fillId="7" borderId="41" xfId="0" applyFont="1" applyFill="1" applyBorder="1" applyAlignment="1">
      <alignment horizontal="center"/>
    </xf>
    <xf numFmtId="0" fontId="36" fillId="7" borderId="17" xfId="0" applyFont="1" applyFill="1" applyBorder="1" applyAlignment="1">
      <alignment horizontal="center"/>
    </xf>
    <xf numFmtId="0" fontId="36" fillId="7" borderId="17" xfId="0" applyFont="1" applyFill="1" applyBorder="1"/>
    <xf numFmtId="2" fontId="36" fillId="7" borderId="17" xfId="0" applyNumberFormat="1" applyFont="1" applyFill="1" applyBorder="1"/>
    <xf numFmtId="0" fontId="36" fillId="7" borderId="111" xfId="0" applyFont="1" applyFill="1" applyBorder="1" applyAlignment="1">
      <alignment horizontal="center"/>
    </xf>
    <xf numFmtId="0" fontId="36" fillId="7" borderId="112" xfId="0" applyFont="1" applyFill="1" applyBorder="1" applyAlignment="1">
      <alignment horizontal="center"/>
    </xf>
    <xf numFmtId="0" fontId="36" fillId="7" borderId="112" xfId="0" applyFont="1" applyFill="1" applyBorder="1"/>
    <xf numFmtId="2" fontId="36" fillId="7" borderId="112" xfId="0" applyNumberFormat="1" applyFont="1" applyFill="1" applyBorder="1"/>
    <xf numFmtId="0" fontId="36" fillId="7" borderId="31" xfId="0" applyFont="1" applyFill="1" applyBorder="1" applyAlignment="1">
      <alignment horizontal="center"/>
    </xf>
    <xf numFmtId="0" fontId="36" fillId="7" borderId="32" xfId="0" applyFont="1" applyFill="1" applyBorder="1" applyAlignment="1">
      <alignment horizontal="center"/>
    </xf>
    <xf numFmtId="0" fontId="36" fillId="7" borderId="32" xfId="0" applyFont="1" applyFill="1" applyBorder="1"/>
    <xf numFmtId="2" fontId="36" fillId="7" borderId="32" xfId="0" applyNumberFormat="1" applyFont="1" applyFill="1" applyBorder="1"/>
    <xf numFmtId="0" fontId="36" fillId="7" borderId="27" xfId="0" applyFont="1" applyFill="1" applyBorder="1" applyAlignment="1">
      <alignment horizontal="center"/>
    </xf>
    <xf numFmtId="0" fontId="36" fillId="7" borderId="1" xfId="0" applyFont="1" applyFill="1" applyBorder="1" applyAlignment="1">
      <alignment horizontal="center"/>
    </xf>
    <xf numFmtId="0" fontId="36" fillId="7" borderId="0" xfId="0" applyFont="1" applyFill="1"/>
    <xf numFmtId="2" fontId="36" fillId="7" borderId="1" xfId="15" applyNumberFormat="1" applyFont="1" applyFill="1" applyBorder="1"/>
    <xf numFmtId="0" fontId="36" fillId="7" borderId="55" xfId="0" applyFont="1" applyFill="1" applyBorder="1" applyAlignment="1">
      <alignment horizontal="center"/>
    </xf>
    <xf numFmtId="0" fontId="36" fillId="7" borderId="34" xfId="0" applyFont="1" applyFill="1" applyBorder="1" applyAlignment="1">
      <alignment horizontal="center"/>
    </xf>
    <xf numFmtId="0" fontId="36" fillId="7" borderId="33" xfId="0" applyFont="1" applyFill="1" applyBorder="1"/>
    <xf numFmtId="2" fontId="36" fillId="7" borderId="34" xfId="15" applyNumberFormat="1" applyFont="1" applyFill="1" applyBorder="1"/>
    <xf numFmtId="0" fontId="36" fillId="7" borderId="56" xfId="0" applyFont="1" applyFill="1" applyBorder="1" applyAlignment="1">
      <alignment horizontal="center"/>
    </xf>
    <xf numFmtId="0" fontId="36" fillId="7" borderId="73" xfId="0" applyFont="1" applyFill="1" applyBorder="1" applyAlignment="1">
      <alignment horizontal="center"/>
    </xf>
    <xf numFmtId="0" fontId="36" fillId="7" borderId="3" xfId="0" applyFont="1" applyFill="1" applyBorder="1"/>
    <xf numFmtId="2" fontId="36" fillId="7" borderId="73" xfId="15" applyNumberFormat="1" applyFont="1" applyFill="1" applyBorder="1"/>
    <xf numFmtId="2" fontId="36" fillId="7" borderId="34" xfId="0" applyNumberFormat="1" applyFont="1" applyFill="1" applyBorder="1"/>
    <xf numFmtId="2" fontId="36" fillId="7" borderId="1" xfId="0" applyNumberFormat="1" applyFont="1" applyFill="1" applyBorder="1"/>
    <xf numFmtId="2" fontId="36" fillId="7" borderId="72" xfId="0" applyNumberFormat="1" applyFont="1" applyFill="1" applyBorder="1"/>
    <xf numFmtId="2" fontId="36" fillId="7" borderId="113" xfId="0" applyNumberFormat="1" applyFont="1" applyFill="1" applyBorder="1"/>
    <xf numFmtId="0" fontId="39" fillId="0" borderId="0" xfId="14" applyFont="1" applyAlignment="1">
      <alignment horizontal="left" vertical="center"/>
    </xf>
    <xf numFmtId="0" fontId="39" fillId="0" borderId="0" xfId="0" applyFont="1" applyAlignment="1">
      <alignment horizontal="left" vertical="center"/>
    </xf>
    <xf numFmtId="182" fontId="37" fillId="0" borderId="0" xfId="0" applyNumberFormat="1" applyFont="1" applyAlignment="1">
      <alignment horizontal="right" vertical="center"/>
    </xf>
    <xf numFmtId="2" fontId="37" fillId="0" borderId="0" xfId="0" applyNumberFormat="1" applyFont="1" applyAlignment="1">
      <alignment horizontal="right" vertical="center"/>
    </xf>
    <xf numFmtId="0" fontId="44" fillId="0" borderId="0" xfId="0" applyFont="1" applyAlignment="1">
      <alignment vertical="center" wrapText="1"/>
    </xf>
    <xf numFmtId="0" fontId="145" fillId="0" borderId="0" xfId="0" applyFont="1"/>
    <xf numFmtId="0" fontId="36" fillId="11" borderId="25" xfId="0" applyFont="1" applyFill="1" applyBorder="1" applyAlignment="1">
      <alignment horizontal="center"/>
    </xf>
    <xf numFmtId="0" fontId="36" fillId="11" borderId="11" xfId="0" applyFont="1" applyFill="1" applyBorder="1" applyAlignment="1">
      <alignment horizontal="center"/>
    </xf>
    <xf numFmtId="0" fontId="36" fillId="11" borderId="11" xfId="0" applyFont="1" applyFill="1" applyBorder="1"/>
    <xf numFmtId="2" fontId="36" fillId="11" borderId="11" xfId="0" applyNumberFormat="1" applyFont="1" applyFill="1" applyBorder="1"/>
    <xf numFmtId="0" fontId="36" fillId="11" borderId="31" xfId="0" applyFont="1" applyFill="1" applyBorder="1" applyAlignment="1">
      <alignment horizontal="center"/>
    </xf>
    <xf numFmtId="0" fontId="36" fillId="11" borderId="32" xfId="0" applyFont="1" applyFill="1" applyBorder="1" applyAlignment="1">
      <alignment horizontal="center"/>
    </xf>
    <xf numFmtId="0" fontId="36" fillId="11" borderId="32" xfId="0" applyFont="1" applyFill="1" applyBorder="1"/>
    <xf numFmtId="2" fontId="36" fillId="11" borderId="32" xfId="0" applyNumberFormat="1" applyFont="1" applyFill="1" applyBorder="1"/>
    <xf numFmtId="0" fontId="36" fillId="11" borderId="38" xfId="0" applyFont="1" applyFill="1" applyBorder="1" applyAlignment="1">
      <alignment horizontal="center"/>
    </xf>
    <xf numFmtId="0" fontId="36" fillId="11" borderId="39" xfId="0" applyFont="1" applyFill="1" applyBorder="1" applyAlignment="1">
      <alignment horizontal="center"/>
    </xf>
    <xf numFmtId="0" fontId="36" fillId="11" borderId="39" xfId="0" applyFont="1" applyFill="1" applyBorder="1"/>
    <xf numFmtId="2" fontId="36" fillId="11" borderId="39" xfId="0" applyNumberFormat="1" applyFont="1" applyFill="1" applyBorder="1"/>
    <xf numFmtId="0" fontId="36" fillId="11" borderId="41" xfId="0" applyFont="1" applyFill="1" applyBorder="1" applyAlignment="1">
      <alignment horizontal="center"/>
    </xf>
    <xf numFmtId="0" fontId="36" fillId="11" borderId="17" xfId="0" applyFont="1" applyFill="1" applyBorder="1" applyAlignment="1">
      <alignment horizontal="center"/>
    </xf>
    <xf numFmtId="0" fontId="36" fillId="11" borderId="17" xfId="0" applyFont="1" applyFill="1" applyBorder="1"/>
    <xf numFmtId="2" fontId="36" fillId="11" borderId="17" xfId="0" applyNumberFormat="1" applyFont="1" applyFill="1" applyBorder="1"/>
    <xf numFmtId="0" fontId="36" fillId="11" borderId="111" xfId="0" applyFont="1" applyFill="1" applyBorder="1" applyAlignment="1">
      <alignment horizontal="center"/>
    </xf>
    <xf numFmtId="0" fontId="36" fillId="11" borderId="112" xfId="0" applyFont="1" applyFill="1" applyBorder="1" applyAlignment="1">
      <alignment horizontal="center"/>
    </xf>
    <xf numFmtId="0" fontId="36" fillId="11" borderId="112" xfId="0" applyFont="1" applyFill="1" applyBorder="1"/>
    <xf numFmtId="2" fontId="36" fillId="11" borderId="112" xfId="0" applyNumberFormat="1" applyFont="1" applyFill="1" applyBorder="1"/>
    <xf numFmtId="0" fontId="36" fillId="11" borderId="55" xfId="0" applyFont="1" applyFill="1" applyBorder="1" applyAlignment="1">
      <alignment horizontal="center"/>
    </xf>
    <xf numFmtId="0" fontId="36" fillId="11" borderId="34" xfId="0" applyFont="1" applyFill="1" applyBorder="1" applyAlignment="1">
      <alignment horizontal="center"/>
    </xf>
    <xf numFmtId="0" fontId="36" fillId="11" borderId="33" xfId="0" applyFont="1" applyFill="1" applyBorder="1"/>
    <xf numFmtId="2" fontId="36" fillId="11" borderId="34" xfId="15" applyNumberFormat="1" applyFont="1" applyFill="1" applyBorder="1"/>
    <xf numFmtId="0" fontId="36" fillId="11" borderId="27" xfId="0" applyFont="1" applyFill="1" applyBorder="1" applyAlignment="1">
      <alignment horizontal="center"/>
    </xf>
    <xf numFmtId="0" fontId="36" fillId="11" borderId="1" xfId="0" applyFont="1" applyFill="1" applyBorder="1" applyAlignment="1">
      <alignment horizontal="center"/>
    </xf>
    <xf numFmtId="0" fontId="36" fillId="11" borderId="0" xfId="0" applyFont="1" applyFill="1"/>
    <xf numFmtId="2" fontId="36" fillId="11" borderId="1" xfId="15" applyNumberFormat="1" applyFont="1" applyFill="1" applyBorder="1"/>
    <xf numFmtId="0" fontId="36" fillId="11" borderId="56" xfId="0" applyFont="1" applyFill="1" applyBorder="1" applyAlignment="1">
      <alignment horizontal="center"/>
    </xf>
    <xf numFmtId="0" fontId="36" fillId="11" borderId="73" xfId="0" applyFont="1" applyFill="1" applyBorder="1" applyAlignment="1">
      <alignment horizontal="center"/>
    </xf>
    <xf numFmtId="0" fontId="36" fillId="11" borderId="3" xfId="0" applyFont="1" applyFill="1" applyBorder="1"/>
    <xf numFmtId="2" fontId="36" fillId="11" borderId="73" xfId="15" applyNumberFormat="1" applyFont="1" applyFill="1" applyBorder="1"/>
    <xf numFmtId="182" fontId="36" fillId="11" borderId="87" xfId="17" applyNumberFormat="1" applyFont="1" applyFill="1" applyBorder="1"/>
    <xf numFmtId="182" fontId="36" fillId="11" borderId="87" xfId="0" applyNumberFormat="1" applyFont="1" applyFill="1" applyBorder="1"/>
    <xf numFmtId="0" fontId="36" fillId="11" borderId="87" xfId="0" applyFont="1" applyFill="1" applyBorder="1"/>
    <xf numFmtId="2" fontId="36" fillId="11" borderId="87" xfId="0" applyNumberFormat="1" applyFont="1" applyFill="1" applyBorder="1"/>
    <xf numFmtId="2" fontId="36" fillId="11" borderId="89" xfId="0" applyNumberFormat="1" applyFont="1" applyFill="1" applyBorder="1"/>
    <xf numFmtId="182" fontId="36" fillId="11" borderId="88" xfId="17" applyNumberFormat="1" applyFont="1" applyFill="1" applyBorder="1"/>
    <xf numFmtId="182" fontId="36" fillId="11" borderId="88" xfId="0" applyNumberFormat="1" applyFont="1" applyFill="1" applyBorder="1"/>
    <xf numFmtId="182" fontId="36" fillId="11" borderId="114" xfId="17" applyNumberFormat="1" applyFont="1" applyFill="1" applyBorder="1"/>
    <xf numFmtId="182" fontId="36" fillId="11" borderId="114" xfId="0" applyNumberFormat="1" applyFont="1" applyFill="1" applyBorder="1"/>
    <xf numFmtId="182" fontId="36" fillId="11" borderId="115" xfId="17" applyNumberFormat="1" applyFont="1" applyFill="1" applyBorder="1"/>
    <xf numFmtId="182" fontId="36" fillId="11" borderId="115" xfId="0" applyNumberFormat="1" applyFont="1" applyFill="1" applyBorder="1"/>
    <xf numFmtId="182" fontId="36" fillId="11" borderId="86" xfId="17" applyNumberFormat="1" applyFont="1" applyFill="1" applyBorder="1"/>
    <xf numFmtId="182" fontId="36" fillId="11" borderId="86" xfId="0" applyNumberFormat="1" applyFont="1" applyFill="1" applyBorder="1"/>
    <xf numFmtId="189" fontId="45" fillId="0" borderId="65" xfId="0" applyNumberFormat="1" applyFont="1" applyBorder="1" applyAlignment="1">
      <alignment horizontal="right" vertical="center" shrinkToFit="1"/>
    </xf>
    <xf numFmtId="2" fontId="37" fillId="0" borderId="0" xfId="0" applyNumberFormat="1" applyFont="1" applyAlignment="1">
      <alignment horizontal="distributed" vertical="center" wrapText="1" justifyLastLine="1"/>
    </xf>
    <xf numFmtId="0" fontId="43" fillId="0" borderId="116" xfId="18" applyFont="1" applyBorder="1" applyAlignment="1">
      <alignment vertical="center"/>
    </xf>
    <xf numFmtId="3" fontId="43" fillId="0" borderId="117" xfId="18" applyNumberFormat="1" applyFont="1" applyBorder="1" applyAlignment="1">
      <alignment vertical="center"/>
    </xf>
    <xf numFmtId="0" fontId="149" fillId="0" borderId="0" xfId="14" applyFont="1" applyAlignment="1">
      <alignment vertical="center"/>
    </xf>
    <xf numFmtId="0" fontId="37" fillId="0" borderId="0" xfId="0" applyFont="1" applyAlignment="1">
      <alignment horizontal="left" vertical="center"/>
    </xf>
    <xf numFmtId="0" fontId="50" fillId="0" borderId="118" xfId="14" applyFont="1" applyBorder="1" applyAlignment="1">
      <alignment horizontal="distributed" vertical="center" justifyLastLine="1"/>
    </xf>
    <xf numFmtId="0" fontId="50" fillId="0" borderId="119" xfId="14" applyFont="1" applyBorder="1" applyAlignment="1">
      <alignment horizontal="distributed" vertical="center" justifyLastLine="1"/>
    </xf>
    <xf numFmtId="0" fontId="50" fillId="0" borderId="120" xfId="14" applyFont="1" applyBorder="1" applyAlignment="1">
      <alignment horizontal="distributed" vertical="center" justifyLastLine="1"/>
    </xf>
    <xf numFmtId="176" fontId="49" fillId="0" borderId="0" xfId="14" applyNumberFormat="1" applyFont="1" applyAlignment="1">
      <alignment horizontal="left" vertical="center"/>
    </xf>
    <xf numFmtId="182" fontId="36" fillId="7" borderId="39" xfId="0" applyNumberFormat="1" applyFont="1" applyFill="1" applyBorder="1"/>
    <xf numFmtId="182" fontId="36" fillId="7" borderId="11" xfId="0" applyNumberFormat="1" applyFont="1" applyFill="1" applyBorder="1"/>
    <xf numFmtId="3" fontId="5" fillId="0" borderId="15" xfId="19" applyNumberFormat="1" applyBorder="1"/>
    <xf numFmtId="3" fontId="5" fillId="0" borderId="7" xfId="19" applyNumberFormat="1" applyBorder="1"/>
    <xf numFmtId="3" fontId="5" fillId="0" borderId="0" xfId="19" applyNumberFormat="1"/>
    <xf numFmtId="182" fontId="36" fillId="7" borderId="114" xfId="17" applyNumberFormat="1" applyFont="1" applyFill="1" applyBorder="1"/>
    <xf numFmtId="182" fontId="36" fillId="7" borderId="114" xfId="0" applyNumberFormat="1" applyFont="1" applyFill="1" applyBorder="1"/>
    <xf numFmtId="182" fontId="55" fillId="7" borderId="114" xfId="0" applyNumberFormat="1" applyFont="1" applyFill="1" applyBorder="1"/>
    <xf numFmtId="182" fontId="55" fillId="7" borderId="87" xfId="0" applyNumberFormat="1" applyFont="1" applyFill="1" applyBorder="1"/>
    <xf numFmtId="2" fontId="55" fillId="7" borderId="114" xfId="0" applyNumberFormat="1" applyFont="1" applyFill="1" applyBorder="1"/>
    <xf numFmtId="2" fontId="55" fillId="7" borderId="121" xfId="0" applyNumberFormat="1" applyFont="1" applyFill="1" applyBorder="1"/>
    <xf numFmtId="182" fontId="36" fillId="7" borderId="87" xfId="17" applyNumberFormat="1" applyFont="1" applyFill="1" applyBorder="1"/>
    <xf numFmtId="182" fontId="36" fillId="7" borderId="87" xfId="0" applyNumberFormat="1" applyFont="1" applyFill="1" applyBorder="1"/>
    <xf numFmtId="2" fontId="55" fillId="7" borderId="87" xfId="0" applyNumberFormat="1" applyFont="1" applyFill="1" applyBorder="1"/>
    <xf numFmtId="2" fontId="55" fillId="7" borderId="89" xfId="0" applyNumberFormat="1" applyFont="1" applyFill="1" applyBorder="1"/>
    <xf numFmtId="182" fontId="36" fillId="7" borderId="115" xfId="17" applyNumberFormat="1" applyFont="1" applyFill="1" applyBorder="1"/>
    <xf numFmtId="182" fontId="36" fillId="7" borderId="115" xfId="0" applyNumberFormat="1" applyFont="1" applyFill="1" applyBorder="1"/>
    <xf numFmtId="182" fontId="55" fillId="7" borderId="115" xfId="0" applyNumberFormat="1" applyFont="1" applyFill="1" applyBorder="1"/>
    <xf numFmtId="2" fontId="55" fillId="7" borderId="115" xfId="0" applyNumberFormat="1" applyFont="1" applyFill="1" applyBorder="1"/>
    <xf numFmtId="2" fontId="55" fillId="7" borderId="122" xfId="0" applyNumberFormat="1" applyFont="1" applyFill="1" applyBorder="1"/>
    <xf numFmtId="182" fontId="36" fillId="7" borderId="86" xfId="17" applyNumberFormat="1" applyFont="1" applyFill="1" applyBorder="1"/>
    <xf numFmtId="182" fontId="36" fillId="7" borderId="86" xfId="0" applyNumberFormat="1" applyFont="1" applyFill="1" applyBorder="1"/>
    <xf numFmtId="182" fontId="55" fillId="7" borderId="86" xfId="0" applyNumberFormat="1" applyFont="1" applyFill="1" applyBorder="1"/>
    <xf numFmtId="2" fontId="55" fillId="7" borderId="86" xfId="0" applyNumberFormat="1" applyFont="1" applyFill="1" applyBorder="1"/>
    <xf numFmtId="2" fontId="55" fillId="7" borderId="93" xfId="0" applyNumberFormat="1" applyFont="1" applyFill="1" applyBorder="1"/>
    <xf numFmtId="182" fontId="36" fillId="7" borderId="88" xfId="17" applyNumberFormat="1" applyFont="1" applyFill="1" applyBorder="1"/>
    <xf numFmtId="182" fontId="36" fillId="7" borderId="88" xfId="0" applyNumberFormat="1" applyFont="1" applyFill="1" applyBorder="1"/>
    <xf numFmtId="182" fontId="55" fillId="7" borderId="88" xfId="0" applyNumberFormat="1" applyFont="1" applyFill="1" applyBorder="1"/>
    <xf numFmtId="2" fontId="55" fillId="7" borderId="88" xfId="0" applyNumberFormat="1" applyFont="1" applyFill="1" applyBorder="1"/>
    <xf numFmtId="2" fontId="55" fillId="7" borderId="90" xfId="0" applyNumberFormat="1" applyFont="1" applyFill="1" applyBorder="1"/>
    <xf numFmtId="49" fontId="151" fillId="0" borderId="0" xfId="14" applyNumberFormat="1" applyFont="1" applyAlignment="1">
      <alignment horizontal="right" vertical="center"/>
    </xf>
    <xf numFmtId="49" fontId="151" fillId="0" borderId="106" xfId="14" applyNumberFormat="1" applyFont="1" applyBorder="1" applyAlignment="1">
      <alignment horizontal="right" vertical="center"/>
    </xf>
    <xf numFmtId="49" fontId="151" fillId="0" borderId="110" xfId="14" applyNumberFormat="1" applyFont="1" applyBorder="1" applyAlignment="1">
      <alignment horizontal="right" vertical="center"/>
    </xf>
    <xf numFmtId="49" fontId="151" fillId="0" borderId="12" xfId="14" applyNumberFormat="1" applyFont="1" applyBorder="1" applyAlignment="1">
      <alignment horizontal="right" vertical="center"/>
    </xf>
    <xf numFmtId="49" fontId="151" fillId="0" borderId="87" xfId="14" applyNumberFormat="1" applyFont="1" applyBorder="1" applyAlignment="1">
      <alignment horizontal="right" vertical="center"/>
    </xf>
    <xf numFmtId="49" fontId="151" fillId="0" borderId="89" xfId="14" applyNumberFormat="1" applyFont="1" applyBorder="1" applyAlignment="1">
      <alignment horizontal="right" vertical="center"/>
    </xf>
    <xf numFmtId="49" fontId="151" fillId="0" borderId="123" xfId="14" applyNumberFormat="1" applyFont="1" applyBorder="1" applyAlignment="1">
      <alignment horizontal="right" vertical="center"/>
    </xf>
    <xf numFmtId="0" fontId="41" fillId="0" borderId="28" xfId="14" applyFont="1" applyBorder="1"/>
    <xf numFmtId="0" fontId="41" fillId="0" borderId="0" xfId="14" applyFont="1" applyAlignment="1">
      <alignment horizontal="center" vertical="distributed" textRotation="255" justifyLastLine="1"/>
    </xf>
    <xf numFmtId="0" fontId="42" fillId="0" borderId="0" xfId="14" applyFont="1" applyAlignment="1">
      <alignment horizontal="distributed" vertical="center" justifyLastLine="1"/>
    </xf>
    <xf numFmtId="182" fontId="148" fillId="0" borderId="0" xfId="0" applyNumberFormat="1" applyFont="1" applyAlignment="1">
      <alignment horizontal="right" vertical="center"/>
    </xf>
    <xf numFmtId="182" fontId="148" fillId="0" borderId="0" xfId="0" applyNumberFormat="1" applyFont="1" applyAlignment="1">
      <alignment horizontal="right" vertical="center" shrinkToFit="1"/>
    </xf>
    <xf numFmtId="193" fontId="148" fillId="0" borderId="0" xfId="0" applyNumberFormat="1" applyFont="1" applyAlignment="1">
      <alignment horizontal="right" vertical="center" shrinkToFit="1"/>
    </xf>
    <xf numFmtId="0" fontId="152" fillId="0" borderId="97" xfId="14" applyFont="1" applyBorder="1" applyAlignment="1">
      <alignment horizontal="distributed" vertical="center" justifyLastLine="1"/>
    </xf>
    <xf numFmtId="0" fontId="152" fillId="0" borderId="36" xfId="14" applyFont="1" applyBorder="1" applyAlignment="1">
      <alignment horizontal="right" vertical="center" justifyLastLine="1"/>
    </xf>
    <xf numFmtId="0" fontId="152" fillId="0" borderId="124" xfId="14" applyFont="1" applyBorder="1" applyAlignment="1">
      <alignment horizontal="left" vertical="center" justifyLastLine="1"/>
    </xf>
    <xf numFmtId="0" fontId="152" fillId="0" borderId="98" xfId="14" applyFont="1" applyBorder="1" applyAlignment="1">
      <alignment horizontal="distributed" vertical="center" justifyLastLine="1"/>
    </xf>
    <xf numFmtId="0" fontId="144" fillId="0" borderId="0" xfId="14" applyFont="1" applyAlignment="1">
      <alignment vertical="center"/>
    </xf>
    <xf numFmtId="0" fontId="153" fillId="0" borderId="0" xfId="0" applyFont="1" applyAlignment="1">
      <alignment vertical="center"/>
    </xf>
    <xf numFmtId="0" fontId="154" fillId="0" borderId="0" xfId="0" applyFont="1" applyAlignment="1">
      <alignment vertical="center"/>
    </xf>
    <xf numFmtId="186" fontId="144" fillId="0" borderId="0" xfId="14" quotePrefix="1" applyNumberFormat="1" applyFont="1" applyAlignment="1">
      <alignment horizontal="center" vertical="center"/>
    </xf>
    <xf numFmtId="0" fontId="144" fillId="0" borderId="0" xfId="0" applyFont="1" applyAlignment="1">
      <alignment vertical="center"/>
    </xf>
    <xf numFmtId="0" fontId="144" fillId="0" borderId="0" xfId="14" applyFont="1" applyAlignment="1">
      <alignment horizontal="center" vertical="center"/>
    </xf>
    <xf numFmtId="182" fontId="36" fillId="7" borderId="78" xfId="0" applyNumberFormat="1" applyFont="1" applyFill="1" applyBorder="1"/>
    <xf numFmtId="0" fontId="146" fillId="0" borderId="0" xfId="14" applyFont="1" applyAlignment="1">
      <alignment vertical="center"/>
    </xf>
    <xf numFmtId="3" fontId="31" fillId="0" borderId="125" xfId="19" applyNumberFormat="1" applyFont="1" applyBorder="1" applyProtection="1">
      <protection locked="0"/>
    </xf>
    <xf numFmtId="1" fontId="31" fillId="0" borderId="126" xfId="19" applyNumberFormat="1" applyFont="1" applyBorder="1" applyProtection="1">
      <protection locked="0"/>
    </xf>
    <xf numFmtId="3" fontId="31" fillId="0" borderId="127" xfId="19" applyNumberFormat="1" applyFont="1" applyBorder="1" applyProtection="1">
      <protection locked="0"/>
    </xf>
    <xf numFmtId="1" fontId="31" fillId="0" borderId="128" xfId="19" applyNumberFormat="1" applyFont="1" applyBorder="1" applyProtection="1">
      <protection locked="0"/>
    </xf>
    <xf numFmtId="3" fontId="31" fillId="0" borderId="13" xfId="19" applyNumberFormat="1" applyFont="1" applyBorder="1" applyProtection="1">
      <protection locked="0"/>
    </xf>
    <xf numFmtId="3" fontId="31" fillId="0" borderId="18" xfId="19" applyNumberFormat="1" applyFont="1" applyBorder="1" applyProtection="1">
      <protection locked="0"/>
    </xf>
    <xf numFmtId="1" fontId="31" fillId="0" borderId="129" xfId="19" applyNumberFormat="1" applyFont="1" applyBorder="1" applyProtection="1">
      <protection locked="0"/>
    </xf>
    <xf numFmtId="3" fontId="31" fillId="0" borderId="26" xfId="19" applyNumberFormat="1" applyFont="1" applyBorder="1" applyProtection="1">
      <protection locked="0"/>
    </xf>
    <xf numFmtId="1" fontId="31" fillId="0" borderId="130" xfId="19" applyNumberFormat="1" applyFont="1" applyBorder="1" applyProtection="1">
      <protection locked="0"/>
    </xf>
    <xf numFmtId="182" fontId="31" fillId="0" borderId="35" xfId="19" applyNumberFormat="1" applyFont="1" applyBorder="1"/>
    <xf numFmtId="182" fontId="31" fillId="0" borderId="36" xfId="19" applyNumberFormat="1" applyFont="1" applyBorder="1"/>
    <xf numFmtId="182" fontId="31" fillId="0" borderId="13" xfId="19" applyNumberFormat="1" applyFont="1" applyBorder="1"/>
    <xf numFmtId="182" fontId="31" fillId="0" borderId="14" xfId="19" applyNumberFormat="1" applyFont="1" applyBorder="1"/>
    <xf numFmtId="182" fontId="31" fillId="0" borderId="18" xfId="19" applyNumberFormat="1" applyFont="1" applyBorder="1"/>
    <xf numFmtId="0" fontId="43" fillId="0" borderId="109" xfId="0" applyFont="1" applyBorder="1" applyAlignment="1">
      <alignment vertical="center" shrinkToFit="1"/>
    </xf>
    <xf numFmtId="182" fontId="36" fillId="7" borderId="32" xfId="0" applyNumberFormat="1" applyFont="1" applyFill="1" applyBorder="1"/>
    <xf numFmtId="178" fontId="63" fillId="8" borderId="11" xfId="0" applyNumberFormat="1" applyFont="1" applyFill="1" applyBorder="1" applyAlignment="1">
      <alignment horizontal="distributed" vertical="top" wrapText="1"/>
    </xf>
    <xf numFmtId="2" fontId="36" fillId="9" borderId="34" xfId="15" applyNumberFormat="1" applyFont="1" applyFill="1" applyBorder="1"/>
    <xf numFmtId="2" fontId="36" fillId="9" borderId="72" xfId="15" applyNumberFormat="1" applyFont="1" applyFill="1" applyBorder="1"/>
    <xf numFmtId="2" fontId="36" fillId="9" borderId="73" xfId="15" applyNumberFormat="1" applyFont="1" applyFill="1" applyBorder="1"/>
    <xf numFmtId="2" fontId="36" fillId="9" borderId="1" xfId="15" applyNumberFormat="1" applyFont="1" applyFill="1" applyBorder="1"/>
    <xf numFmtId="2" fontId="36" fillId="9" borderId="72" xfId="0" applyNumberFormat="1" applyFont="1" applyFill="1" applyBorder="1"/>
    <xf numFmtId="2" fontId="36" fillId="9" borderId="131" xfId="0" applyNumberFormat="1" applyFont="1" applyFill="1" applyBorder="1"/>
    <xf numFmtId="2" fontId="36" fillId="9" borderId="33" xfId="15" applyNumberFormat="1" applyFont="1" applyFill="1" applyBorder="1"/>
    <xf numFmtId="2" fontId="36" fillId="9" borderId="70" xfId="15" applyNumberFormat="1" applyFont="1" applyFill="1" applyBorder="1"/>
    <xf numFmtId="2" fontId="36" fillId="9" borderId="3" xfId="15" applyNumberFormat="1" applyFont="1" applyFill="1" applyBorder="1"/>
    <xf numFmtId="2" fontId="36" fillId="9" borderId="0" xfId="15" applyNumberFormat="1" applyFont="1" applyFill="1"/>
    <xf numFmtId="2" fontId="36" fillId="9" borderId="94" xfId="15" applyNumberFormat="1" applyFont="1" applyFill="1" applyBorder="1"/>
    <xf numFmtId="2" fontId="36" fillId="9" borderId="33" xfId="0" applyNumberFormat="1" applyFont="1" applyFill="1" applyBorder="1"/>
    <xf numFmtId="2" fontId="36" fillId="11" borderId="88" xfId="0" applyNumberFormat="1" applyFont="1" applyFill="1" applyBorder="1"/>
    <xf numFmtId="2" fontId="36" fillId="11" borderId="90" xfId="0" applyNumberFormat="1" applyFont="1" applyFill="1" applyBorder="1"/>
    <xf numFmtId="2" fontId="36" fillId="11" borderId="114" xfId="0" applyNumberFormat="1" applyFont="1" applyFill="1" applyBorder="1"/>
    <xf numFmtId="2" fontId="36" fillId="11" borderId="121" xfId="0" applyNumberFormat="1" applyFont="1" applyFill="1" applyBorder="1"/>
    <xf numFmtId="2" fontId="36" fillId="11" borderId="115" xfId="0" applyNumberFormat="1" applyFont="1" applyFill="1" applyBorder="1"/>
    <xf numFmtId="2" fontId="36" fillId="11" borderId="122" xfId="0" applyNumberFormat="1" applyFont="1" applyFill="1" applyBorder="1"/>
    <xf numFmtId="2" fontId="36" fillId="11" borderId="86" xfId="0" applyNumberFormat="1" applyFont="1" applyFill="1" applyBorder="1"/>
    <xf numFmtId="2" fontId="36" fillId="11" borderId="93" xfId="0" applyNumberFormat="1" applyFont="1" applyFill="1" applyBorder="1"/>
    <xf numFmtId="178" fontId="155" fillId="8" borderId="11" xfId="0" applyNumberFormat="1" applyFont="1" applyFill="1" applyBorder="1" applyAlignment="1">
      <alignment horizontal="center"/>
    </xf>
    <xf numFmtId="178" fontId="155" fillId="2" borderId="11" xfId="0" applyNumberFormat="1" applyFont="1" applyFill="1" applyBorder="1" applyAlignment="1">
      <alignment horizontal="center"/>
    </xf>
    <xf numFmtId="177" fontId="155" fillId="3" borderId="11" xfId="0" applyNumberFormat="1" applyFont="1" applyFill="1" applyBorder="1" applyAlignment="1">
      <alignment horizontal="center"/>
    </xf>
    <xf numFmtId="0" fontId="43" fillId="8" borderId="11" xfId="0" applyFont="1" applyFill="1" applyBorder="1" applyAlignment="1">
      <alignment horizontal="center"/>
    </xf>
    <xf numFmtId="2" fontId="36" fillId="11" borderId="33" xfId="15" applyNumberFormat="1" applyFont="1" applyFill="1" applyBorder="1"/>
    <xf numFmtId="2" fontId="36" fillId="11" borderId="70" xfId="15" applyNumberFormat="1" applyFont="1" applyFill="1" applyBorder="1"/>
    <xf numFmtId="2" fontId="36" fillId="11" borderId="72" xfId="15" applyNumberFormat="1" applyFont="1" applyFill="1" applyBorder="1"/>
    <xf numFmtId="2" fontId="36" fillId="11" borderId="3" xfId="15" applyNumberFormat="1" applyFont="1" applyFill="1" applyBorder="1"/>
    <xf numFmtId="2" fontId="36" fillId="11" borderId="0" xfId="15" applyNumberFormat="1" applyFont="1" applyFill="1"/>
    <xf numFmtId="178" fontId="39" fillId="8" borderId="1" xfId="0" applyNumberFormat="1" applyFont="1" applyFill="1" applyBorder="1" applyAlignment="1">
      <alignment horizontal="center"/>
    </xf>
    <xf numFmtId="178" fontId="39" fillId="2" borderId="1" xfId="0" applyNumberFormat="1" applyFont="1" applyFill="1" applyBorder="1" applyAlignment="1">
      <alignment horizontal="center"/>
    </xf>
    <xf numFmtId="177" fontId="39" fillId="3" borderId="1" xfId="0" applyNumberFormat="1" applyFont="1" applyFill="1" applyBorder="1" applyAlignment="1">
      <alignment horizontal="center"/>
    </xf>
    <xf numFmtId="38" fontId="43" fillId="0" borderId="117" xfId="2" applyFont="1" applyBorder="1" applyAlignment="1" applyProtection="1">
      <alignment vertical="center"/>
    </xf>
    <xf numFmtId="194" fontId="43" fillId="0" borderId="117" xfId="2" applyNumberFormat="1" applyFont="1" applyBorder="1" applyAlignment="1" applyProtection="1">
      <alignment vertical="center"/>
    </xf>
    <xf numFmtId="0" fontId="37" fillId="0" borderId="83" xfId="14" applyFont="1" applyBorder="1" applyAlignment="1">
      <alignment horizontal="distributed" vertical="center" justifyLastLine="1"/>
    </xf>
    <xf numFmtId="0" fontId="37" fillId="0" borderId="132" xfId="14" applyFont="1" applyBorder="1" applyAlignment="1">
      <alignment horizontal="center" vertical="center"/>
    </xf>
    <xf numFmtId="0" fontId="39" fillId="0" borderId="0" xfId="14" applyFont="1" applyAlignment="1">
      <alignment horizontal="center" vertical="top"/>
    </xf>
    <xf numFmtId="0" fontId="60" fillId="0" borderId="124" xfId="0" applyFont="1" applyBorder="1" applyAlignment="1">
      <alignment horizontal="center" vertical="center"/>
    </xf>
    <xf numFmtId="0" fontId="60" fillId="0" borderId="3" xfId="0" applyFont="1" applyBorder="1" applyAlignment="1">
      <alignment horizontal="center" vertical="center"/>
    </xf>
    <xf numFmtId="0" fontId="64" fillId="0" borderId="133" xfId="0" applyFont="1" applyBorder="1" applyAlignment="1">
      <alignment horizontal="center" vertical="center"/>
    </xf>
    <xf numFmtId="0" fontId="37" fillId="0" borderId="9" xfId="0" applyFont="1" applyBorder="1" applyAlignment="1">
      <alignment vertical="center"/>
    </xf>
    <xf numFmtId="0" fontId="43" fillId="0" borderId="134" xfId="18" applyFont="1" applyBorder="1" applyAlignment="1">
      <alignment horizontal="right" vertical="center"/>
    </xf>
    <xf numFmtId="0" fontId="43" fillId="0" borderId="135" xfId="18" applyFont="1" applyBorder="1" applyAlignment="1">
      <alignment horizontal="right" vertical="center"/>
    </xf>
    <xf numFmtId="0" fontId="43" fillId="0" borderId="100" xfId="18" applyFont="1" applyBorder="1" applyAlignment="1">
      <alignment horizontal="right" vertical="center"/>
    </xf>
    <xf numFmtId="0" fontId="43" fillId="0" borderId="103" xfId="18" applyFont="1" applyBorder="1" applyAlignment="1">
      <alignment horizontal="right" vertical="center"/>
    </xf>
    <xf numFmtId="0" fontId="43" fillId="0" borderId="35" xfId="18" applyFont="1" applyBorder="1" applyAlignment="1">
      <alignment horizontal="right" vertical="center"/>
    </xf>
    <xf numFmtId="0" fontId="59" fillId="0" borderId="0" xfId="0" applyFont="1"/>
    <xf numFmtId="0" fontId="43" fillId="0" borderId="36" xfId="0" applyFont="1" applyBorder="1" applyAlignment="1">
      <alignment horizontal="center" vertical="center"/>
    </xf>
    <xf numFmtId="0" fontId="43" fillId="0" borderId="124" xfId="0" applyFont="1" applyBorder="1" applyAlignment="1">
      <alignment horizontal="center" vertical="center"/>
    </xf>
    <xf numFmtId="0" fontId="43" fillId="0" borderId="134" xfId="18" applyFont="1" applyBorder="1" applyAlignment="1">
      <alignment horizontal="left" vertical="center"/>
    </xf>
    <xf numFmtId="0" fontId="43" fillId="0" borderId="9" xfId="0" applyFont="1" applyBorder="1"/>
    <xf numFmtId="0" fontId="43" fillId="0" borderId="8" xfId="0" applyFont="1" applyBorder="1"/>
    <xf numFmtId="0" fontId="43" fillId="0" borderId="36" xfId="0" applyFont="1" applyBorder="1" applyAlignment="1">
      <alignment horizontal="right" vertical="center"/>
    </xf>
    <xf numFmtId="0" fontId="43" fillId="0" borderId="0" xfId="18" applyFont="1" applyAlignment="1">
      <alignment horizontal="left" vertical="center"/>
    </xf>
    <xf numFmtId="0" fontId="146" fillId="0" borderId="0" xfId="0" applyFont="1" applyAlignment="1">
      <alignment vertical="center"/>
    </xf>
    <xf numFmtId="0" fontId="156" fillId="0" borderId="0" xfId="14" quotePrefix="1" applyFont="1" applyAlignment="1">
      <alignment vertical="center"/>
    </xf>
    <xf numFmtId="0" fontId="55" fillId="0" borderId="59" xfId="14" applyFont="1" applyBorder="1" applyAlignment="1">
      <alignment horizontal="center" vertical="center"/>
    </xf>
    <xf numFmtId="0" fontId="55" fillId="0" borderId="39" xfId="0" applyFont="1" applyBorder="1" applyAlignment="1">
      <alignment horizontal="center" vertical="center"/>
    </xf>
    <xf numFmtId="0" fontId="55" fillId="0" borderId="39" xfId="14" applyFont="1" applyBorder="1" applyAlignment="1">
      <alignment horizontal="center" vertical="center"/>
    </xf>
    <xf numFmtId="0" fontId="55" fillId="0" borderId="61" xfId="14" applyFont="1" applyBorder="1" applyAlignment="1">
      <alignment horizontal="center" vertical="center"/>
    </xf>
    <xf numFmtId="0" fontId="55" fillId="0" borderId="17" xfId="0" applyFont="1" applyBorder="1" applyAlignment="1">
      <alignment horizontal="center" vertical="center"/>
    </xf>
    <xf numFmtId="0" fontId="55" fillId="0" borderId="17" xfId="14" applyFont="1" applyBorder="1" applyAlignment="1">
      <alignment horizontal="center" vertical="center"/>
    </xf>
    <xf numFmtId="0" fontId="55" fillId="0" borderId="136" xfId="14" applyFont="1" applyBorder="1" applyAlignment="1">
      <alignment horizontal="center" vertical="center"/>
    </xf>
    <xf numFmtId="0" fontId="55" fillId="0" borderId="4" xfId="0" applyFont="1" applyBorder="1" applyAlignment="1">
      <alignment horizontal="center" vertical="center"/>
    </xf>
    <xf numFmtId="0" fontId="55" fillId="0" borderId="4" xfId="14" applyFont="1" applyBorder="1" applyAlignment="1">
      <alignment horizontal="center" vertical="center"/>
    </xf>
    <xf numFmtId="0" fontId="55" fillId="0" borderId="137" xfId="14" applyFont="1" applyBorder="1" applyAlignment="1">
      <alignment horizontal="center" vertical="center"/>
    </xf>
    <xf numFmtId="0" fontId="55" fillId="0" borderId="23" xfId="0" applyFont="1" applyBorder="1" applyAlignment="1">
      <alignment horizontal="center" vertical="center"/>
    </xf>
    <xf numFmtId="0" fontId="55" fillId="0" borderId="23" xfId="14" applyFont="1" applyBorder="1" applyAlignment="1">
      <alignment horizontal="center" vertical="center"/>
    </xf>
    <xf numFmtId="0" fontId="55" fillId="0" borderId="60" xfId="14" applyFont="1" applyBorder="1" applyAlignment="1">
      <alignment horizontal="center" vertical="center"/>
    </xf>
    <xf numFmtId="0" fontId="55" fillId="0" borderId="11" xfId="0" applyFont="1" applyBorder="1" applyAlignment="1">
      <alignment horizontal="center" vertical="center"/>
    </xf>
    <xf numFmtId="0" fontId="55" fillId="0" borderId="11" xfId="14" applyFont="1" applyBorder="1" applyAlignment="1">
      <alignment horizontal="center" vertical="center"/>
    </xf>
    <xf numFmtId="49" fontId="55" fillId="0" borderId="61" xfId="14" applyNumberFormat="1" applyFont="1" applyBorder="1" applyAlignment="1">
      <alignment horizontal="center" vertical="center"/>
    </xf>
    <xf numFmtId="49" fontId="55" fillId="0" borderId="17" xfId="0" applyNumberFormat="1" applyFont="1" applyBorder="1" applyAlignment="1">
      <alignment horizontal="center" vertical="center"/>
    </xf>
    <xf numFmtId="49" fontId="55" fillId="0" borderId="17" xfId="14" applyNumberFormat="1" applyFont="1" applyBorder="1" applyAlignment="1">
      <alignment horizontal="center" vertical="center"/>
    </xf>
    <xf numFmtId="0" fontId="158" fillId="0" borderId="0" xfId="14" quotePrefix="1" applyFont="1" applyAlignment="1">
      <alignment horizontal="center" vertical="center"/>
    </xf>
    <xf numFmtId="0" fontId="158" fillId="0" borderId="0" xfId="14" applyFont="1" applyAlignment="1">
      <alignment vertical="center"/>
    </xf>
    <xf numFmtId="0" fontId="56" fillId="0" borderId="0" xfId="14" applyFont="1"/>
    <xf numFmtId="186" fontId="158" fillId="0" borderId="0" xfId="14" quotePrefix="1" applyNumberFormat="1" applyFont="1" applyAlignment="1">
      <alignment horizontal="center" vertical="center"/>
    </xf>
    <xf numFmtId="0" fontId="144" fillId="0" borderId="79" xfId="14" applyFont="1" applyBorder="1" applyAlignment="1">
      <alignment horizontal="center" vertical="distributed" textRotation="255" justifyLastLine="1"/>
    </xf>
    <xf numFmtId="0" fontId="144" fillId="0" borderId="35" xfId="14" applyFont="1" applyBorder="1" applyAlignment="1">
      <alignment horizontal="distributed" vertical="center" justifyLastLine="1"/>
    </xf>
    <xf numFmtId="0" fontId="144" fillId="0" borderId="127" xfId="14" applyFont="1" applyBorder="1" applyAlignment="1">
      <alignment horizontal="distributed" vertical="center" justifyLastLine="1"/>
    </xf>
    <xf numFmtId="0" fontId="144" fillId="0" borderId="18" xfId="14" applyFont="1" applyBorder="1" applyAlignment="1">
      <alignment horizontal="distributed" vertical="center" justifyLastLine="1"/>
    </xf>
    <xf numFmtId="0" fontId="144" fillId="0" borderId="6" xfId="14" applyFont="1" applyBorder="1" applyAlignment="1">
      <alignment horizontal="center" vertical="distributed" textRotation="255" justifyLastLine="1"/>
    </xf>
    <xf numFmtId="0" fontId="144" fillId="0" borderId="0" xfId="14" applyFont="1" applyAlignment="1">
      <alignment horizontal="distributed" vertical="center" justifyLastLine="1"/>
    </xf>
    <xf numFmtId="0" fontId="144" fillId="0" borderId="5" xfId="14" applyFont="1" applyBorder="1" applyAlignment="1">
      <alignment horizontal="distributed" vertical="center" justifyLastLine="1"/>
    </xf>
    <xf numFmtId="0" fontId="144" fillId="0" borderId="19" xfId="14" applyFont="1" applyBorder="1" applyAlignment="1">
      <alignment vertical="center"/>
    </xf>
    <xf numFmtId="3" fontId="41" fillId="0" borderId="4" xfId="0" applyNumberFormat="1" applyFont="1" applyBorder="1" applyAlignment="1">
      <alignment horizontal="center" vertical="center"/>
    </xf>
    <xf numFmtId="3" fontId="41" fillId="0" borderId="138" xfId="0" applyNumberFormat="1" applyFont="1" applyBorder="1" applyAlignment="1">
      <alignment horizontal="center" vertical="center"/>
    </xf>
    <xf numFmtId="3" fontId="41" fillId="0" borderId="4" xfId="14" applyNumberFormat="1" applyFont="1" applyBorder="1" applyAlignment="1">
      <alignment horizontal="center" vertical="center"/>
    </xf>
    <xf numFmtId="0" fontId="53" fillId="0" borderId="0" xfId="14" applyFont="1" applyAlignment="1">
      <alignment horizontal="center" vertical="center"/>
    </xf>
    <xf numFmtId="0" fontId="144" fillId="0" borderId="9" xfId="14" applyFont="1" applyBorder="1" applyAlignment="1">
      <alignment horizontal="distributed" vertical="center" justifyLastLine="1"/>
    </xf>
    <xf numFmtId="0" fontId="144" fillId="10" borderId="13" xfId="14" applyFont="1" applyFill="1" applyBorder="1" applyAlignment="1">
      <alignment horizontal="distributed" vertical="center" justifyLastLine="1"/>
    </xf>
    <xf numFmtId="0" fontId="41" fillId="0" borderId="0" xfId="14" applyFont="1" applyAlignment="1">
      <alignment horizontal="distributed" vertical="center" justifyLastLine="1"/>
    </xf>
    <xf numFmtId="49" fontId="144" fillId="0" borderId="35" xfId="14" applyNumberFormat="1" applyFont="1" applyBorder="1" applyAlignment="1">
      <alignment horizontal="distributed" vertical="center" justifyLastLine="1"/>
    </xf>
    <xf numFmtId="0" fontId="144" fillId="0" borderId="106" xfId="14" applyFont="1" applyBorder="1" applyAlignment="1">
      <alignment horizontal="center" vertical="distributed" textRotation="255" justifyLastLine="1"/>
    </xf>
    <xf numFmtId="49" fontId="144" fillId="0" borderId="18" xfId="14" applyNumberFormat="1" applyFont="1" applyBorder="1" applyAlignment="1">
      <alignment horizontal="distributed" vertical="center" justifyLastLine="1"/>
    </xf>
    <xf numFmtId="49" fontId="144" fillId="0" borderId="5" xfId="14" applyNumberFormat="1" applyFont="1" applyBorder="1" applyAlignment="1">
      <alignment horizontal="distributed" vertical="center" justifyLastLine="1"/>
    </xf>
    <xf numFmtId="0" fontId="144" fillId="0" borderId="36" xfId="14" applyFont="1" applyBorder="1" applyAlignment="1">
      <alignment horizontal="center" vertical="center" wrapText="1" shrinkToFit="1"/>
    </xf>
    <xf numFmtId="49" fontId="144" fillId="0" borderId="13" xfId="14" applyNumberFormat="1" applyFont="1" applyBorder="1" applyAlignment="1">
      <alignment horizontal="distributed" vertical="center" justifyLastLine="1"/>
    </xf>
    <xf numFmtId="182" fontId="61" fillId="0" borderId="96" xfId="0" applyNumberFormat="1" applyFont="1" applyBorder="1" applyAlignment="1">
      <alignment horizontal="right" vertical="center" shrinkToFit="1"/>
    </xf>
    <xf numFmtId="182" fontId="61" fillId="0" borderId="96" xfId="14" applyNumberFormat="1" applyFont="1" applyBorder="1" applyAlignment="1">
      <alignment horizontal="right" vertical="center"/>
    </xf>
    <xf numFmtId="0" fontId="49" fillId="0" borderId="0" xfId="14" applyFont="1"/>
    <xf numFmtId="0" fontId="144" fillId="10" borderId="5" xfId="14" applyFont="1" applyFill="1" applyBorder="1" applyAlignment="1">
      <alignment horizontal="distributed" vertical="center" justifyLastLine="1"/>
    </xf>
    <xf numFmtId="0" fontId="43" fillId="0" borderId="33" xfId="0" applyFont="1" applyBorder="1" applyAlignment="1">
      <alignment vertical="center" shrinkToFit="1"/>
    </xf>
    <xf numFmtId="0" fontId="43" fillId="0" borderId="32" xfId="0" applyFont="1" applyBorder="1" applyAlignment="1">
      <alignment horizontal="center" vertical="center" shrinkToFit="1"/>
    </xf>
    <xf numFmtId="0" fontId="40" fillId="0" borderId="32" xfId="0" applyFont="1" applyBorder="1" applyAlignment="1">
      <alignment horizontal="distributed" vertical="center" justifyLastLine="1" shrinkToFit="1"/>
    </xf>
    <xf numFmtId="2" fontId="34" fillId="10" borderId="69" xfId="0" applyNumberFormat="1" applyFont="1" applyFill="1" applyBorder="1"/>
    <xf numFmtId="0" fontId="0" fillId="9" borderId="139" xfId="0" applyFill="1" applyBorder="1"/>
    <xf numFmtId="2" fontId="34" fillId="9" borderId="241" xfId="0" applyNumberFormat="1" applyFont="1" applyFill="1" applyBorder="1"/>
    <xf numFmtId="2" fontId="34" fillId="9" borderId="242" xfId="0" applyNumberFormat="1" applyFont="1" applyFill="1" applyBorder="1"/>
    <xf numFmtId="2" fontId="61" fillId="0" borderId="69" xfId="0" applyNumberFormat="1" applyFont="1" applyBorder="1"/>
    <xf numFmtId="182" fontId="61" fillId="0" borderId="69" xfId="0" applyNumberFormat="1" applyFont="1" applyBorder="1"/>
    <xf numFmtId="0" fontId="36" fillId="13" borderId="39" xfId="0" applyFont="1" applyFill="1" applyBorder="1" applyAlignment="1">
      <alignment horizontal="center"/>
    </xf>
    <xf numFmtId="0" fontId="36" fillId="13" borderId="39" xfId="0" applyFont="1" applyFill="1" applyBorder="1"/>
    <xf numFmtId="0" fontId="36" fillId="13" borderId="27" xfId="0" applyFont="1" applyFill="1" applyBorder="1" applyAlignment="1">
      <alignment horizontal="center"/>
    </xf>
    <xf numFmtId="0" fontId="36" fillId="13" borderId="1" xfId="0" applyFont="1" applyFill="1" applyBorder="1" applyAlignment="1">
      <alignment horizontal="center"/>
    </xf>
    <xf numFmtId="0" fontId="36" fillId="13" borderId="0" xfId="0" applyFont="1" applyFill="1"/>
    <xf numFmtId="0" fontId="55" fillId="14" borderId="4" xfId="14" applyFont="1" applyFill="1" applyBorder="1" applyAlignment="1">
      <alignment horizontal="center" vertical="center"/>
    </xf>
    <xf numFmtId="0" fontId="55" fillId="14" borderId="17" xfId="14" applyFont="1" applyFill="1" applyBorder="1" applyAlignment="1">
      <alignment horizontal="center" vertical="center"/>
    </xf>
    <xf numFmtId="0" fontId="37" fillId="0" borderId="3" xfId="0" applyFont="1" applyBorder="1" applyAlignment="1">
      <alignment vertical="center"/>
    </xf>
    <xf numFmtId="0" fontId="37" fillId="0" borderId="133" xfId="0" applyFont="1" applyBorder="1" applyAlignment="1">
      <alignment vertical="center"/>
    </xf>
    <xf numFmtId="0" fontId="43" fillId="0" borderId="140" xfId="18" applyFont="1" applyBorder="1" applyAlignment="1">
      <alignment vertical="center"/>
    </xf>
    <xf numFmtId="0" fontId="55" fillId="0" borderId="42" xfId="14" applyFont="1" applyBorder="1" applyAlignment="1">
      <alignment horizontal="center" vertical="center"/>
    </xf>
    <xf numFmtId="0" fontId="55" fillId="0" borderId="141" xfId="14" applyFont="1" applyBorder="1" applyAlignment="1">
      <alignment horizontal="center" vertical="center"/>
    </xf>
    <xf numFmtId="182" fontId="55" fillId="0" borderId="40" xfId="14" applyNumberFormat="1" applyFont="1" applyBorder="1" applyAlignment="1">
      <alignment horizontal="center" vertical="center"/>
    </xf>
    <xf numFmtId="182" fontId="61" fillId="0" borderId="142" xfId="0" applyNumberFormat="1" applyFont="1" applyBorder="1" applyAlignment="1">
      <alignment horizontal="right" vertical="center" shrinkToFit="1"/>
    </xf>
    <xf numFmtId="0" fontId="55" fillId="0" borderId="143" xfId="14" applyFont="1" applyBorder="1" applyAlignment="1">
      <alignment horizontal="center" vertical="center"/>
    </xf>
    <xf numFmtId="2" fontId="36" fillId="13" borderId="11" xfId="0" applyNumberFormat="1" applyFont="1" applyFill="1" applyBorder="1"/>
    <xf numFmtId="2" fontId="36" fillId="13" borderId="39" xfId="0" applyNumberFormat="1" applyFont="1" applyFill="1" applyBorder="1"/>
    <xf numFmtId="0" fontId="36" fillId="13" borderId="25" xfId="0" applyFont="1" applyFill="1" applyBorder="1" applyAlignment="1">
      <alignment horizontal="center"/>
    </xf>
    <xf numFmtId="0" fontId="36" fillId="13" borderId="11" xfId="0" applyFont="1" applyFill="1" applyBorder="1" applyAlignment="1">
      <alignment horizontal="center"/>
    </xf>
    <xf numFmtId="0" fontId="36" fillId="13" borderId="11" xfId="0" applyFont="1" applyFill="1" applyBorder="1"/>
    <xf numFmtId="0" fontId="55" fillId="0" borderId="40" xfId="14" applyFont="1" applyBorder="1" applyAlignment="1">
      <alignment horizontal="center" vertical="center"/>
    </xf>
    <xf numFmtId="0" fontId="39" fillId="0" borderId="0" xfId="0" applyFont="1" applyAlignment="1">
      <alignment horizontal="center" vertical="center"/>
    </xf>
    <xf numFmtId="182" fontId="61" fillId="0" borderId="144" xfId="0" applyNumberFormat="1" applyFont="1" applyBorder="1" applyAlignment="1">
      <alignment horizontal="right" vertical="center" shrinkToFit="1"/>
    </xf>
    <xf numFmtId="38" fontId="43" fillId="0" borderId="145" xfId="2" applyFont="1" applyBorder="1" applyAlignment="1" applyProtection="1">
      <alignment vertical="center"/>
    </xf>
    <xf numFmtId="194" fontId="43" fillId="0" borderId="145" xfId="2" applyNumberFormat="1" applyFont="1" applyBorder="1" applyAlignment="1" applyProtection="1">
      <alignment vertical="center"/>
    </xf>
    <xf numFmtId="182" fontId="43" fillId="0" borderId="117" xfId="18" applyNumberFormat="1" applyFont="1" applyBorder="1" applyAlignment="1">
      <alignment vertical="center"/>
    </xf>
    <xf numFmtId="182" fontId="61" fillId="0" borderId="142" xfId="14" applyNumberFormat="1" applyFont="1" applyBorder="1" applyAlignment="1">
      <alignment horizontal="right" vertical="center" shrinkToFit="1"/>
    </xf>
    <xf numFmtId="182" fontId="61" fillId="0" borderId="142" xfId="0" applyNumberFormat="1" applyFont="1" applyBorder="1" applyAlignment="1">
      <alignment horizontal="right" vertical="center"/>
    </xf>
    <xf numFmtId="0" fontId="43" fillId="0" borderId="146" xfId="18" applyFont="1" applyBorder="1" applyAlignment="1">
      <alignment vertical="center"/>
    </xf>
    <xf numFmtId="182" fontId="36" fillId="13" borderId="87" xfId="0" applyNumberFormat="1" applyFont="1" applyFill="1" applyBorder="1"/>
    <xf numFmtId="0" fontId="39" fillId="0" borderId="0" xfId="14" applyFont="1" applyAlignment="1">
      <alignment vertical="top"/>
    </xf>
    <xf numFmtId="0" fontId="0" fillId="0" borderId="0" xfId="0" applyAlignment="1">
      <alignment vertical="top"/>
    </xf>
    <xf numFmtId="3" fontId="41" fillId="0" borderId="141" xfId="0" applyNumberFormat="1" applyFont="1" applyBorder="1" applyAlignment="1">
      <alignment horizontal="center" vertical="center"/>
    </xf>
    <xf numFmtId="0" fontId="55" fillId="0" borderId="0" xfId="14" applyFont="1" applyAlignment="1">
      <alignment horizontal="center" vertical="center"/>
    </xf>
    <xf numFmtId="0" fontId="55" fillId="0" borderId="24" xfId="14" applyFont="1" applyBorder="1" applyAlignment="1">
      <alignment horizontal="center" vertical="center"/>
    </xf>
    <xf numFmtId="0" fontId="55" fillId="0" borderId="20" xfId="14" applyFont="1" applyBorder="1" applyAlignment="1">
      <alignment horizontal="center" vertical="center"/>
    </xf>
    <xf numFmtId="0" fontId="158" fillId="0" borderId="0" xfId="14" quotePrefix="1" applyFont="1" applyAlignment="1">
      <alignment vertical="center"/>
    </xf>
    <xf numFmtId="3" fontId="41" fillId="0" borderId="147" xfId="14" applyNumberFormat="1" applyFont="1" applyBorder="1" applyAlignment="1">
      <alignment horizontal="center" vertical="center"/>
    </xf>
    <xf numFmtId="0" fontId="55" fillId="0" borderId="53" xfId="14" applyFont="1" applyBorder="1" applyAlignment="1">
      <alignment horizontal="center" vertical="center"/>
    </xf>
    <xf numFmtId="0" fontId="55" fillId="0" borderId="50" xfId="14" applyFont="1" applyBorder="1" applyAlignment="1">
      <alignment horizontal="center" vertical="center"/>
    </xf>
    <xf numFmtId="0" fontId="55" fillId="0" borderId="147" xfId="14" applyFont="1" applyBorder="1" applyAlignment="1">
      <alignment horizontal="center" vertical="center"/>
    </xf>
    <xf numFmtId="182" fontId="61" fillId="0" borderId="148" xfId="0" applyNumberFormat="1" applyFont="1" applyBorder="1" applyAlignment="1">
      <alignment horizontal="right" vertical="center" shrinkToFit="1"/>
    </xf>
    <xf numFmtId="0" fontId="55" fillId="0" borderId="149" xfId="14" applyFont="1" applyBorder="1" applyAlignment="1">
      <alignment horizontal="center" vertical="center"/>
    </xf>
    <xf numFmtId="189" fontId="39" fillId="3" borderId="136" xfId="0" applyNumberFormat="1" applyFont="1" applyFill="1" applyBorder="1" applyAlignment="1">
      <alignment horizontal="right" vertical="center"/>
    </xf>
    <xf numFmtId="189" fontId="37" fillId="3" borderId="150" xfId="0" applyNumberFormat="1" applyFont="1" applyFill="1" applyBorder="1" applyAlignment="1">
      <alignment horizontal="right" vertical="center"/>
    </xf>
    <xf numFmtId="189" fontId="37" fillId="3" borderId="136" xfId="0" applyNumberFormat="1" applyFont="1" applyFill="1" applyBorder="1" applyAlignment="1">
      <alignment horizontal="right" vertical="center"/>
    </xf>
    <xf numFmtId="182" fontId="37" fillId="3" borderId="144" xfId="0" applyNumberFormat="1" applyFont="1" applyFill="1" applyBorder="1" applyAlignment="1">
      <alignment horizontal="right" vertical="center"/>
    </xf>
    <xf numFmtId="2" fontId="37" fillId="0" borderId="151" xfId="0" applyNumberFormat="1" applyFont="1" applyBorder="1" applyAlignment="1">
      <alignment horizontal="right" vertical="center"/>
    </xf>
    <xf numFmtId="182" fontId="37" fillId="3" borderId="73" xfId="0" applyNumberFormat="1" applyFont="1" applyFill="1" applyBorder="1" applyAlignment="1">
      <alignment horizontal="right" vertical="center"/>
    </xf>
    <xf numFmtId="183" fontId="43" fillId="0" borderId="152" xfId="18" applyNumberFormat="1" applyFont="1" applyBorder="1" applyAlignment="1">
      <alignment horizontal="distributed" vertical="center" wrapText="1" justifyLastLine="1"/>
    </xf>
    <xf numFmtId="37" fontId="43" fillId="0" borderId="152" xfId="18" applyNumberFormat="1" applyFont="1" applyBorder="1" applyAlignment="1">
      <alignment horizontal="distributed" vertical="center" wrapText="1" justifyLastLine="1"/>
    </xf>
    <xf numFmtId="182" fontId="43" fillId="0" borderId="152" xfId="18" applyNumberFormat="1" applyFont="1" applyBorder="1" applyAlignment="1">
      <alignment horizontal="distributed" vertical="center" wrapText="1" justifyLastLine="1"/>
    </xf>
    <xf numFmtId="3" fontId="43" fillId="0" borderId="153" xfId="18" applyNumberFormat="1" applyFont="1" applyBorder="1" applyAlignment="1">
      <alignment vertical="center"/>
    </xf>
    <xf numFmtId="195" fontId="43" fillId="0" borderId="117" xfId="18" applyNumberFormat="1" applyFont="1" applyBorder="1" applyAlignment="1">
      <alignment vertical="center"/>
    </xf>
    <xf numFmtId="37" fontId="44" fillId="0" borderId="105" xfId="18" applyNumberFormat="1" applyFont="1" applyBorder="1" applyAlignment="1">
      <alignment horizontal="distributed" vertical="center" wrapText="1" justifyLastLine="1"/>
    </xf>
    <xf numFmtId="0" fontId="43" fillId="0" borderId="0" xfId="18" applyFont="1" applyAlignment="1">
      <alignment horizontal="distributed" vertical="center" wrapText="1" justifyLastLine="1"/>
    </xf>
    <xf numFmtId="0" fontId="144" fillId="0" borderId="115" xfId="14" applyFont="1" applyBorder="1" applyAlignment="1">
      <alignment vertical="center"/>
    </xf>
    <xf numFmtId="0" fontId="144" fillId="0" borderId="18" xfId="14" applyFont="1" applyBorder="1" applyAlignment="1">
      <alignment vertical="center"/>
    </xf>
    <xf numFmtId="49" fontId="144" fillId="0" borderId="154" xfId="14" applyNumberFormat="1" applyFont="1" applyBorder="1" applyAlignment="1">
      <alignment horizontal="distributed" vertical="center" justifyLastLine="1"/>
    </xf>
    <xf numFmtId="0" fontId="144" fillId="0" borderId="154" xfId="14" applyFont="1" applyBorder="1" applyAlignment="1">
      <alignment horizontal="distributed" vertical="center" justifyLastLine="1"/>
    </xf>
    <xf numFmtId="0" fontId="55" fillId="0" borderId="17" xfId="0" quotePrefix="1" applyFont="1" applyBorder="1" applyAlignment="1">
      <alignment horizontal="center" vertical="center"/>
    </xf>
    <xf numFmtId="0" fontId="55" fillId="0" borderId="155" xfId="14" applyFont="1" applyBorder="1" applyAlignment="1">
      <alignment horizontal="center" vertical="center"/>
    </xf>
    <xf numFmtId="0" fontId="55" fillId="0" borderId="49" xfId="14" applyFont="1" applyBorder="1" applyAlignment="1">
      <alignment horizontal="center" vertical="center"/>
    </xf>
    <xf numFmtId="182" fontId="61" fillId="0" borderId="148" xfId="14" applyNumberFormat="1" applyFont="1" applyBorder="1" applyAlignment="1">
      <alignment horizontal="right" vertical="center"/>
    </xf>
    <xf numFmtId="182" fontId="55" fillId="0" borderId="39" xfId="14" applyNumberFormat="1" applyFont="1" applyBorder="1" applyAlignment="1">
      <alignment horizontal="center" vertical="center"/>
    </xf>
    <xf numFmtId="182" fontId="55" fillId="0" borderId="39" xfId="0" applyNumberFormat="1" applyFont="1" applyBorder="1" applyAlignment="1">
      <alignment horizontal="center" vertical="center"/>
    </xf>
    <xf numFmtId="182" fontId="55" fillId="0" borderId="53" xfId="14" applyNumberFormat="1" applyFont="1" applyBorder="1" applyAlignment="1">
      <alignment horizontal="center" vertical="center"/>
    </xf>
    <xf numFmtId="0" fontId="55" fillId="0" borderId="66" xfId="0" applyFont="1" applyBorder="1" applyAlignment="1">
      <alignment horizontal="center" vertical="center"/>
    </xf>
    <xf numFmtId="0" fontId="55" fillId="0" borderId="66" xfId="14" applyFont="1" applyBorder="1" applyAlignment="1">
      <alignment horizontal="center" vertical="center"/>
    </xf>
    <xf numFmtId="0" fontId="55" fillId="0" borderId="156" xfId="14" applyFont="1" applyBorder="1" applyAlignment="1">
      <alignment horizontal="center" vertical="center"/>
    </xf>
    <xf numFmtId="49" fontId="55" fillId="0" borderId="50" xfId="14" applyNumberFormat="1" applyFont="1" applyBorder="1" applyAlignment="1">
      <alignment horizontal="center" vertical="center"/>
    </xf>
    <xf numFmtId="49" fontId="144" fillId="0" borderId="127" xfId="14" applyNumberFormat="1" applyFont="1" applyBorder="1" applyAlignment="1">
      <alignment horizontal="distributed" vertical="center" justifyLastLine="1"/>
    </xf>
    <xf numFmtId="182" fontId="55" fillId="0" borderId="59" xfId="14" applyNumberFormat="1" applyFont="1" applyBorder="1" applyAlignment="1">
      <alignment horizontal="center" vertical="center"/>
    </xf>
    <xf numFmtId="3" fontId="43" fillId="0" borderId="157" xfId="18" applyNumberFormat="1" applyFont="1" applyBorder="1" applyAlignment="1">
      <alignment vertical="center"/>
    </xf>
    <xf numFmtId="182" fontId="43" fillId="0" borderId="157" xfId="18" applyNumberFormat="1" applyFont="1" applyBorder="1" applyAlignment="1">
      <alignment vertical="center"/>
    </xf>
    <xf numFmtId="38" fontId="43" fillId="0" borderId="157" xfId="2" applyFont="1" applyBorder="1" applyAlignment="1" applyProtection="1">
      <alignment vertical="center"/>
    </xf>
    <xf numFmtId="194" fontId="43" fillId="0" borderId="157" xfId="2" applyNumberFormat="1" applyFont="1" applyBorder="1" applyAlignment="1" applyProtection="1">
      <alignment vertical="center"/>
    </xf>
    <xf numFmtId="2" fontId="36" fillId="15" borderId="70" xfId="0" applyNumberFormat="1" applyFont="1" applyFill="1" applyBorder="1"/>
    <xf numFmtId="2" fontId="36" fillId="15" borderId="158" xfId="0" applyNumberFormat="1" applyFont="1" applyFill="1" applyBorder="1"/>
    <xf numFmtId="2" fontId="36" fillId="15" borderId="159" xfId="0" applyNumberFormat="1" applyFont="1" applyFill="1" applyBorder="1"/>
    <xf numFmtId="2" fontId="36" fillId="15" borderId="243" xfId="0" applyNumberFormat="1" applyFont="1" applyFill="1" applyBorder="1"/>
    <xf numFmtId="2" fontId="36" fillId="15" borderId="73" xfId="0" applyNumberFormat="1" applyFont="1" applyFill="1" applyBorder="1"/>
    <xf numFmtId="2" fontId="36" fillId="15" borderId="1" xfId="0" applyNumberFormat="1" applyFont="1" applyFill="1" applyBorder="1"/>
    <xf numFmtId="2" fontId="36" fillId="0" borderId="72" xfId="0" applyNumberFormat="1" applyFont="1" applyBorder="1"/>
    <xf numFmtId="2" fontId="36" fillId="0" borderId="73" xfId="0" applyNumberFormat="1" applyFont="1" applyBorder="1"/>
    <xf numFmtId="2" fontId="36" fillId="13" borderId="72" xfId="0" applyNumberFormat="1" applyFont="1" applyFill="1" applyBorder="1"/>
    <xf numFmtId="2" fontId="36" fillId="13" borderId="113" xfId="0" applyNumberFormat="1" applyFont="1" applyFill="1" applyBorder="1"/>
    <xf numFmtId="0" fontId="36" fillId="13" borderId="56" xfId="0" applyFont="1" applyFill="1" applyBorder="1" applyAlignment="1">
      <alignment horizontal="center"/>
    </xf>
    <xf numFmtId="0" fontId="36" fillId="13" borderId="73" xfId="0" applyFont="1" applyFill="1" applyBorder="1" applyAlignment="1">
      <alignment horizontal="center"/>
    </xf>
    <xf numFmtId="0" fontId="36" fillId="13" borderId="3" xfId="0" applyFont="1" applyFill="1" applyBorder="1"/>
    <xf numFmtId="2" fontId="36" fillId="13" borderId="73" xfId="0" applyNumberFormat="1" applyFont="1" applyFill="1" applyBorder="1"/>
    <xf numFmtId="2" fontId="36" fillId="13" borderId="1" xfId="0" applyNumberFormat="1" applyFont="1" applyFill="1" applyBorder="1"/>
    <xf numFmtId="0" fontId="36" fillId="13" borderId="55" xfId="0" applyFont="1" applyFill="1" applyBorder="1" applyAlignment="1">
      <alignment horizontal="center"/>
    </xf>
    <xf numFmtId="0" fontId="36" fillId="13" borderId="34" xfId="0" applyFont="1" applyFill="1" applyBorder="1" applyAlignment="1">
      <alignment horizontal="center"/>
    </xf>
    <xf numFmtId="0" fontId="36" fillId="13" borderId="33" xfId="0" applyFont="1" applyFill="1" applyBorder="1"/>
    <xf numFmtId="0" fontId="5" fillId="0" borderId="66" xfId="15" applyBorder="1"/>
    <xf numFmtId="0" fontId="0" fillId="0" borderId="1" xfId="0" applyBorder="1"/>
    <xf numFmtId="190" fontId="36" fillId="0" borderId="34" xfId="0" applyNumberFormat="1" applyFont="1" applyBorder="1"/>
    <xf numFmtId="190" fontId="36" fillId="0" borderId="1" xfId="0" applyNumberFormat="1" applyFont="1" applyBorder="1"/>
    <xf numFmtId="190" fontId="36" fillId="0" borderId="73" xfId="0" applyNumberFormat="1" applyFont="1" applyBorder="1"/>
    <xf numFmtId="2" fontId="36" fillId="0" borderId="34" xfId="0" applyNumberFormat="1" applyFont="1" applyBorder="1"/>
    <xf numFmtId="0" fontId="7" fillId="0" borderId="0" xfId="0" applyFont="1"/>
    <xf numFmtId="2" fontId="36" fillId="15" borderId="72" xfId="0" applyNumberFormat="1" applyFont="1" applyFill="1" applyBorder="1"/>
    <xf numFmtId="2" fontId="36" fillId="15" borderId="34" xfId="0" applyNumberFormat="1" applyFont="1" applyFill="1" applyBorder="1"/>
    <xf numFmtId="2" fontId="36" fillId="15" borderId="71" xfId="0" applyNumberFormat="1" applyFont="1" applyFill="1" applyBorder="1"/>
    <xf numFmtId="2" fontId="36" fillId="15" borderId="3" xfId="0" applyNumberFormat="1" applyFont="1" applyFill="1" applyBorder="1"/>
    <xf numFmtId="2" fontId="36" fillId="15" borderId="0" xfId="0" applyNumberFormat="1" applyFont="1" applyFill="1"/>
    <xf numFmtId="2" fontId="36" fillId="15" borderId="94" xfId="0" applyNumberFormat="1" applyFont="1" applyFill="1" applyBorder="1"/>
    <xf numFmtId="0" fontId="36" fillId="13" borderId="112" xfId="0" applyFont="1" applyFill="1" applyBorder="1" applyAlignment="1">
      <alignment horizontal="center"/>
    </xf>
    <xf numFmtId="0" fontId="36" fillId="13" borderId="17" xfId="0" applyFont="1" applyFill="1" applyBorder="1" applyAlignment="1">
      <alignment horizontal="center"/>
    </xf>
    <xf numFmtId="0" fontId="36" fillId="13" borderId="50" xfId="0" applyFont="1" applyFill="1" applyBorder="1"/>
    <xf numFmtId="0" fontId="36" fillId="13" borderId="112" xfId="0" applyFont="1" applyFill="1" applyBorder="1"/>
    <xf numFmtId="0" fontId="36" fillId="13" borderId="41" xfId="0" applyFont="1" applyFill="1" applyBorder="1" applyAlignment="1">
      <alignment horizontal="center"/>
    </xf>
    <xf numFmtId="0" fontId="36" fillId="13" borderId="17" xfId="0" applyFont="1" applyFill="1" applyBorder="1"/>
    <xf numFmtId="0" fontId="36" fillId="13" borderId="38" xfId="0" applyFont="1" applyFill="1" applyBorder="1" applyAlignment="1">
      <alignment horizontal="center"/>
    </xf>
    <xf numFmtId="0" fontId="36" fillId="13" borderId="31" xfId="0" applyFont="1" applyFill="1" applyBorder="1" applyAlignment="1">
      <alignment horizontal="center"/>
    </xf>
    <xf numFmtId="0" fontId="36" fillId="13" borderId="32" xfId="0" applyFont="1" applyFill="1" applyBorder="1" applyAlignment="1">
      <alignment horizontal="center"/>
    </xf>
    <xf numFmtId="0" fontId="36" fillId="13" borderId="32" xfId="0" applyFont="1" applyFill="1" applyBorder="1"/>
    <xf numFmtId="189" fontId="37" fillId="3" borderId="160" xfId="0" applyNumberFormat="1" applyFont="1" applyFill="1" applyBorder="1" applyAlignment="1">
      <alignment horizontal="right" vertical="center"/>
    </xf>
    <xf numFmtId="0" fontId="144" fillId="0" borderId="13" xfId="14" applyFont="1" applyBorder="1" applyAlignment="1">
      <alignment horizontal="distributed" vertical="center" justifyLastLine="1"/>
    </xf>
    <xf numFmtId="0" fontId="144" fillId="0" borderId="79" xfId="14" applyFont="1" applyBorder="1" applyAlignment="1">
      <alignment horizontal="center" vertical="center" wrapText="1" shrinkToFit="1"/>
    </xf>
    <xf numFmtId="0" fontId="41" fillId="0" borderId="29" xfId="14" applyFont="1" applyBorder="1" applyAlignment="1">
      <alignment horizontal="center" vertical="center"/>
    </xf>
    <xf numFmtId="184" fontId="36" fillId="0" borderId="11" xfId="0" applyNumberFormat="1" applyFont="1" applyBorder="1"/>
    <xf numFmtId="4" fontId="36" fillId="0" borderId="11" xfId="0" applyNumberFormat="1" applyFont="1" applyBorder="1"/>
    <xf numFmtId="184" fontId="36" fillId="0" borderId="112" xfId="0" applyNumberFormat="1" applyFont="1" applyBorder="1"/>
    <xf numFmtId="182" fontId="36" fillId="7" borderId="17" xfId="0" applyNumberFormat="1" applyFont="1" applyFill="1" applyBorder="1"/>
    <xf numFmtId="4" fontId="36" fillId="0" borderId="112" xfId="0" applyNumberFormat="1" applyFont="1" applyBorder="1"/>
    <xf numFmtId="4" fontId="36" fillId="0" borderId="17" xfId="0" applyNumberFormat="1" applyFont="1" applyBorder="1"/>
    <xf numFmtId="196" fontId="36" fillId="13" borderId="1" xfId="0" applyNumberFormat="1" applyFont="1" applyFill="1" applyBorder="1"/>
    <xf numFmtId="196" fontId="36" fillId="13" borderId="73" xfId="0" applyNumberFormat="1" applyFont="1" applyFill="1" applyBorder="1"/>
    <xf numFmtId="196" fontId="36" fillId="13" borderId="1" xfId="0" applyNumberFormat="1" applyFont="1" applyFill="1" applyBorder="1" applyAlignment="1">
      <alignment horizontal="right"/>
    </xf>
    <xf numFmtId="196" fontId="36" fillId="13" borderId="73" xfId="0" applyNumberFormat="1" applyFont="1" applyFill="1" applyBorder="1" applyAlignment="1">
      <alignment horizontal="right"/>
    </xf>
    <xf numFmtId="0" fontId="39" fillId="0" borderId="161" xfId="14" applyFont="1" applyBorder="1" applyAlignment="1">
      <alignment horizontal="distributed" vertical="center" justifyLastLine="1"/>
    </xf>
    <xf numFmtId="0" fontId="37" fillId="0" borderId="162" xfId="14" applyFont="1" applyBorder="1" applyAlignment="1">
      <alignment horizontal="distributed" vertical="center" justifyLastLine="1"/>
    </xf>
    <xf numFmtId="0" fontId="44" fillId="0" borderId="132" xfId="14" applyFont="1" applyBorder="1" applyAlignment="1">
      <alignment horizontal="distributed" vertical="center" justifyLastLine="1"/>
    </xf>
    <xf numFmtId="0" fontId="37" fillId="0" borderId="162" xfId="14" applyFont="1" applyBorder="1" applyAlignment="1">
      <alignment horizontal="center" vertical="center" wrapText="1"/>
    </xf>
    <xf numFmtId="0" fontId="37" fillId="0" borderId="163" xfId="14" applyFont="1" applyBorder="1" applyAlignment="1">
      <alignment horizontal="center" vertical="center" justifyLastLine="1"/>
    </xf>
    <xf numFmtId="0" fontId="37" fillId="0" borderId="132" xfId="14" applyFont="1" applyBorder="1" applyAlignment="1">
      <alignment horizontal="center" vertical="center" justifyLastLine="1"/>
    </xf>
    <xf numFmtId="0" fontId="43" fillId="0" borderId="164" xfId="18" applyFont="1" applyBorder="1" applyAlignment="1">
      <alignment vertical="center"/>
    </xf>
    <xf numFmtId="0" fontId="43" fillId="0" borderId="165" xfId="18" applyFont="1" applyBorder="1" applyAlignment="1">
      <alignment vertical="center"/>
    </xf>
    <xf numFmtId="194" fontId="43" fillId="0" borderId="166" xfId="2" applyNumberFormat="1" applyFont="1" applyBorder="1" applyAlignment="1" applyProtection="1">
      <alignment vertical="center"/>
    </xf>
    <xf numFmtId="197" fontId="0" fillId="0" borderId="0" xfId="0" applyNumberFormat="1"/>
    <xf numFmtId="3" fontId="43" fillId="0" borderId="153" xfId="2" applyNumberFormat="1" applyFont="1" applyFill="1" applyBorder="1" applyAlignment="1" applyProtection="1">
      <alignment vertical="center"/>
    </xf>
    <xf numFmtId="195" fontId="43" fillId="0" borderId="153" xfId="18" applyNumberFormat="1" applyFont="1" applyBorder="1" applyAlignment="1">
      <alignment vertical="center"/>
    </xf>
    <xf numFmtId="182" fontId="43" fillId="0" borderId="153" xfId="18" applyNumberFormat="1" applyFont="1" applyBorder="1" applyAlignment="1">
      <alignment vertical="center"/>
    </xf>
    <xf numFmtId="3" fontId="43" fillId="0" borderId="117" xfId="2" applyNumberFormat="1" applyFont="1" applyFill="1" applyBorder="1" applyAlignment="1" applyProtection="1">
      <alignment vertical="center"/>
    </xf>
    <xf numFmtId="3" fontId="43" fillId="0" borderId="157" xfId="2" applyNumberFormat="1" applyFont="1" applyFill="1" applyBorder="1" applyAlignment="1" applyProtection="1">
      <alignment vertical="center"/>
    </xf>
    <xf numFmtId="195" fontId="43" fillId="0" borderId="157" xfId="18" applyNumberFormat="1" applyFont="1" applyBorder="1" applyAlignment="1">
      <alignment vertical="center"/>
    </xf>
    <xf numFmtId="3" fontId="43" fillId="0" borderId="167" xfId="2" applyNumberFormat="1" applyFont="1" applyFill="1" applyBorder="1" applyAlignment="1" applyProtection="1">
      <alignment vertical="center"/>
    </xf>
    <xf numFmtId="3" fontId="43" fillId="0" borderId="167" xfId="18" applyNumberFormat="1" applyFont="1" applyBorder="1" applyAlignment="1">
      <alignment vertical="center"/>
    </xf>
    <xf numFmtId="195" fontId="43" fillId="0" borderId="167" xfId="18" applyNumberFormat="1" applyFont="1" applyBorder="1" applyAlignment="1">
      <alignment vertical="center"/>
    </xf>
    <xf numFmtId="182" fontId="43" fillId="0" borderId="167" xfId="18" applyNumberFormat="1" applyFont="1" applyBorder="1" applyAlignment="1">
      <alignment vertical="center"/>
    </xf>
    <xf numFmtId="38" fontId="43" fillId="0" borderId="153" xfId="18" applyNumberFormat="1" applyFont="1" applyBorder="1" applyAlignment="1">
      <alignment vertical="center"/>
    </xf>
    <xf numFmtId="38" fontId="43" fillId="0" borderId="117" xfId="18" applyNumberFormat="1" applyFont="1" applyBorder="1" applyAlignment="1">
      <alignment vertical="center"/>
    </xf>
    <xf numFmtId="38" fontId="43" fillId="0" borderId="157" xfId="18" applyNumberFormat="1" applyFont="1" applyBorder="1" applyAlignment="1">
      <alignment vertical="center"/>
    </xf>
    <xf numFmtId="38" fontId="43" fillId="0" borderId="167" xfId="18" applyNumberFormat="1" applyFont="1" applyBorder="1" applyAlignment="1">
      <alignment vertical="center"/>
    </xf>
    <xf numFmtId="194" fontId="43" fillId="0" borderId="167" xfId="2" applyNumberFormat="1" applyFont="1" applyBorder="1" applyAlignment="1" applyProtection="1">
      <alignment vertical="center"/>
    </xf>
    <xf numFmtId="38" fontId="43" fillId="0" borderId="167" xfId="2" applyFont="1" applyBorder="1" applyAlignment="1" applyProtection="1">
      <alignment vertical="center"/>
    </xf>
    <xf numFmtId="38" fontId="43" fillId="0" borderId="166" xfId="2" applyFont="1" applyBorder="1" applyAlignment="1" applyProtection="1">
      <alignment vertical="center"/>
    </xf>
    <xf numFmtId="4" fontId="36" fillId="7" borderId="11" xfId="0" applyNumberFormat="1" applyFont="1" applyFill="1" applyBorder="1"/>
    <xf numFmtId="4" fontId="36" fillId="7" borderId="32" xfId="0" applyNumberFormat="1" applyFont="1" applyFill="1" applyBorder="1"/>
    <xf numFmtId="4" fontId="36" fillId="0" borderId="39" xfId="0" applyNumberFormat="1" applyFont="1" applyBorder="1"/>
    <xf numFmtId="4" fontId="36" fillId="13" borderId="11" xfId="0" applyNumberFormat="1" applyFont="1" applyFill="1" applyBorder="1"/>
    <xf numFmtId="4" fontId="36" fillId="13" borderId="39" xfId="0" applyNumberFormat="1" applyFont="1" applyFill="1" applyBorder="1"/>
    <xf numFmtId="0" fontId="43" fillId="0" borderId="168" xfId="18" applyFont="1" applyBorder="1" applyAlignment="1">
      <alignment vertical="center"/>
    </xf>
    <xf numFmtId="3" fontId="43" fillId="0" borderId="166" xfId="18" applyNumberFormat="1" applyFont="1" applyBorder="1" applyAlignment="1">
      <alignment vertical="center"/>
    </xf>
    <xf numFmtId="182" fontId="43" fillId="0" borderId="166" xfId="18" applyNumberFormat="1" applyFont="1" applyBorder="1" applyAlignment="1">
      <alignment vertical="center"/>
    </xf>
    <xf numFmtId="185" fontId="43" fillId="0" borderId="166" xfId="18" applyNumberFormat="1" applyFont="1" applyBorder="1" applyAlignment="1">
      <alignment vertical="center"/>
    </xf>
    <xf numFmtId="185" fontId="43" fillId="0" borderId="117" xfId="18" applyNumberFormat="1" applyFont="1" applyBorder="1" applyAlignment="1">
      <alignment vertical="center"/>
    </xf>
    <xf numFmtId="185" fontId="43" fillId="0" borderId="167" xfId="18" applyNumberFormat="1" applyFont="1" applyBorder="1" applyAlignment="1">
      <alignment vertical="center"/>
    </xf>
    <xf numFmtId="185" fontId="43" fillId="0" borderId="157" xfId="18" applyNumberFormat="1" applyFont="1" applyBorder="1" applyAlignment="1">
      <alignment vertical="center"/>
    </xf>
    <xf numFmtId="2" fontId="36" fillId="0" borderId="112" xfId="0" applyNumberFormat="1" applyFont="1" applyBorder="1"/>
    <xf numFmtId="182" fontId="36" fillId="0" borderId="112" xfId="0" applyNumberFormat="1" applyFont="1" applyBorder="1"/>
    <xf numFmtId="3" fontId="43" fillId="0" borderId="152" xfId="2" applyNumberFormat="1" applyFont="1" applyFill="1" applyBorder="1" applyAlignment="1" applyProtection="1">
      <alignment vertical="center"/>
    </xf>
    <xf numFmtId="3" fontId="43" fillId="0" borderId="152" xfId="18" applyNumberFormat="1" applyFont="1" applyBorder="1" applyAlignment="1">
      <alignment vertical="center"/>
    </xf>
    <xf numFmtId="195" fontId="43" fillId="0" borderId="152" xfId="18" applyNumberFormat="1" applyFont="1" applyBorder="1" applyAlignment="1">
      <alignment vertical="center"/>
    </xf>
    <xf numFmtId="189" fontId="43" fillId="0" borderId="117" xfId="18" applyNumberFormat="1" applyFont="1" applyBorder="1" applyAlignment="1">
      <alignment vertical="center"/>
    </xf>
    <xf numFmtId="189" fontId="43" fillId="0" borderId="167" xfId="18" applyNumberFormat="1" applyFont="1" applyBorder="1" applyAlignment="1">
      <alignment vertical="center"/>
    </xf>
    <xf numFmtId="38" fontId="43" fillId="0" borderId="166" xfId="18" applyNumberFormat="1" applyFont="1" applyBorder="1" applyAlignment="1">
      <alignment vertical="center"/>
    </xf>
    <xf numFmtId="3" fontId="43" fillId="0" borderId="166" xfId="2" applyNumberFormat="1" applyFont="1" applyFill="1" applyBorder="1" applyAlignment="1" applyProtection="1">
      <alignment vertical="center"/>
    </xf>
    <xf numFmtId="195" fontId="43" fillId="0" borderId="166" xfId="18" applyNumberFormat="1" applyFont="1" applyBorder="1" applyAlignment="1">
      <alignment vertical="center"/>
    </xf>
    <xf numFmtId="185" fontId="43" fillId="0" borderId="153" xfId="18" applyNumberFormat="1" applyFont="1" applyBorder="1" applyAlignment="1">
      <alignment vertical="center"/>
    </xf>
    <xf numFmtId="185" fontId="43" fillId="0" borderId="152" xfId="18" applyNumberFormat="1" applyFont="1" applyBorder="1" applyAlignment="1">
      <alignment vertical="center"/>
    </xf>
    <xf numFmtId="189" fontId="43" fillId="0" borderId="153" xfId="18" applyNumberFormat="1" applyFont="1" applyBorder="1" applyAlignment="1">
      <alignment vertical="center"/>
    </xf>
    <xf numFmtId="189" fontId="43" fillId="0" borderId="157" xfId="18" applyNumberFormat="1" applyFont="1" applyBorder="1" applyAlignment="1">
      <alignment vertical="center"/>
    </xf>
    <xf numFmtId="189" fontId="43" fillId="0" borderId="166" xfId="18" applyNumberFormat="1" applyFont="1" applyBorder="1" applyAlignment="1">
      <alignment vertical="center"/>
    </xf>
    <xf numFmtId="185" fontId="43" fillId="0" borderId="145" xfId="18" applyNumberFormat="1" applyFont="1" applyBorder="1" applyAlignment="1">
      <alignment vertical="center"/>
    </xf>
    <xf numFmtId="0" fontId="39" fillId="0" borderId="0" xfId="0" applyFont="1" applyAlignment="1">
      <alignment vertical="center" wrapText="1"/>
    </xf>
    <xf numFmtId="189" fontId="43" fillId="0" borderId="169" xfId="18" applyNumberFormat="1" applyFont="1" applyBorder="1" applyAlignment="1">
      <alignment vertical="center"/>
    </xf>
    <xf numFmtId="2" fontId="36" fillId="0" borderId="32" xfId="0" applyNumberFormat="1" applyFont="1" applyBorder="1"/>
    <xf numFmtId="4" fontId="36" fillId="0" borderId="32" xfId="0" applyNumberFormat="1" applyFont="1" applyBorder="1"/>
    <xf numFmtId="182" fontId="61" fillId="0" borderId="96" xfId="14" applyNumberFormat="1" applyFont="1" applyBorder="1" applyAlignment="1">
      <alignment horizontal="right" vertical="center" shrinkToFit="1"/>
    </xf>
    <xf numFmtId="49" fontId="151" fillId="0" borderId="170" xfId="14" applyNumberFormat="1" applyFont="1" applyBorder="1" applyAlignment="1">
      <alignment horizontal="right" vertical="center"/>
    </xf>
    <xf numFmtId="0" fontId="144" fillId="0" borderId="106" xfId="14" applyFont="1" applyBorder="1" applyAlignment="1">
      <alignment vertical="distributed" textRotation="255" justifyLastLine="1"/>
    </xf>
    <xf numFmtId="0" fontId="55" fillId="0" borderId="171" xfId="14" applyFont="1" applyBorder="1" applyAlignment="1">
      <alignment horizontal="center" vertical="center"/>
    </xf>
    <xf numFmtId="0" fontId="144" fillId="10" borderId="18" xfId="14" applyFont="1" applyFill="1" applyBorder="1" applyAlignment="1">
      <alignment horizontal="distributed" vertical="center" justifyLastLine="1"/>
    </xf>
    <xf numFmtId="0" fontId="36" fillId="13" borderId="53" xfId="0" applyFont="1" applyFill="1" applyBorder="1"/>
    <xf numFmtId="176" fontId="44" fillId="0" borderId="60" xfId="0" applyNumberFormat="1" applyFont="1" applyBorder="1" applyAlignment="1">
      <alignment vertical="center"/>
    </xf>
    <xf numFmtId="176" fontId="44" fillId="0" borderId="87" xfId="0" applyNumberFormat="1" applyFont="1" applyBorder="1" applyAlignment="1">
      <alignment vertical="center"/>
    </xf>
    <xf numFmtId="176" fontId="44" fillId="0" borderId="172" xfId="0" applyNumberFormat="1" applyFont="1" applyBorder="1" applyAlignment="1">
      <alignment vertical="center"/>
    </xf>
    <xf numFmtId="176" fontId="44" fillId="0" borderId="115" xfId="0" applyNumberFormat="1" applyFont="1" applyBorder="1" applyAlignment="1">
      <alignment vertical="center"/>
    </xf>
    <xf numFmtId="176" fontId="44" fillId="0" borderId="88" xfId="0" applyNumberFormat="1" applyFont="1" applyBorder="1" applyAlignment="1">
      <alignment vertical="center"/>
    </xf>
    <xf numFmtId="182" fontId="144" fillId="0" borderId="60" xfId="14" applyNumberFormat="1" applyFont="1" applyBorder="1" applyAlignment="1">
      <alignment horizontal="right" vertical="center"/>
    </xf>
    <xf numFmtId="182" fontId="144" fillId="0" borderId="11" xfId="14" applyNumberFormat="1" applyFont="1" applyBorder="1" applyAlignment="1">
      <alignment horizontal="right" vertical="center"/>
    </xf>
    <xf numFmtId="182" fontId="144" fillId="0" borderId="49" xfId="14" applyNumberFormat="1" applyFont="1" applyBorder="1" applyAlignment="1">
      <alignment horizontal="right" vertical="center"/>
    </xf>
    <xf numFmtId="182" fontId="144" fillId="0" borderId="43" xfId="14" applyNumberFormat="1" applyFont="1" applyBorder="1" applyAlignment="1">
      <alignment horizontal="right" vertical="center"/>
    </xf>
    <xf numFmtId="182" fontId="144" fillId="0" borderId="32" xfId="14" applyNumberFormat="1" applyFont="1" applyBorder="1" applyAlignment="1">
      <alignment horizontal="right" vertical="center"/>
    </xf>
    <xf numFmtId="182" fontId="144" fillId="0" borderId="52" xfId="14" applyNumberFormat="1" applyFont="1" applyBorder="1" applyAlignment="1">
      <alignment horizontal="right" vertical="center"/>
    </xf>
    <xf numFmtId="182" fontId="144" fillId="0" borderId="17" xfId="14" applyNumberFormat="1" applyFont="1" applyBorder="1" applyAlignment="1">
      <alignment horizontal="right" vertical="center"/>
    </xf>
    <xf numFmtId="182" fontId="144" fillId="0" borderId="172" xfId="14" applyNumberFormat="1" applyFont="1" applyBorder="1" applyAlignment="1">
      <alignment horizontal="right" vertical="center"/>
    </xf>
    <xf numFmtId="0" fontId="55" fillId="0" borderId="138" xfId="14" applyFont="1" applyBorder="1" applyAlignment="1">
      <alignment horizontal="center" vertical="center"/>
    </xf>
    <xf numFmtId="0" fontId="55" fillId="0" borderId="173" xfId="14" applyFont="1" applyBorder="1" applyAlignment="1">
      <alignment horizontal="center" vertical="center"/>
    </xf>
    <xf numFmtId="0" fontId="55" fillId="0" borderId="174" xfId="14" applyFont="1" applyBorder="1" applyAlignment="1">
      <alignment horizontal="center" vertical="center"/>
    </xf>
    <xf numFmtId="182" fontId="55" fillId="0" borderId="173" xfId="14" applyNumberFormat="1" applyFont="1" applyBorder="1" applyAlignment="1">
      <alignment horizontal="center" vertical="center"/>
    </xf>
    <xf numFmtId="182" fontId="61" fillId="0" borderId="175" xfId="0" applyNumberFormat="1" applyFont="1" applyBorder="1" applyAlignment="1">
      <alignment horizontal="right" vertical="center" shrinkToFit="1"/>
    </xf>
    <xf numFmtId="0" fontId="55" fillId="0" borderId="176" xfId="14" applyFont="1" applyBorder="1" applyAlignment="1">
      <alignment horizontal="center" vertical="center"/>
    </xf>
    <xf numFmtId="0" fontId="55" fillId="0" borderId="177" xfId="14" applyFont="1" applyBorder="1" applyAlignment="1">
      <alignment horizontal="center" vertical="center"/>
    </xf>
    <xf numFmtId="0" fontId="55" fillId="0" borderId="178" xfId="14" applyFont="1" applyBorder="1" applyAlignment="1">
      <alignment horizontal="center" vertical="center"/>
    </xf>
    <xf numFmtId="0" fontId="55" fillId="0" borderId="179" xfId="14" applyFont="1" applyBorder="1" applyAlignment="1">
      <alignment horizontal="center" vertical="center"/>
    </xf>
    <xf numFmtId="49" fontId="55" fillId="0" borderId="174" xfId="14" applyNumberFormat="1" applyFont="1" applyBorder="1" applyAlignment="1">
      <alignment horizontal="center" vertical="center"/>
    </xf>
    <xf numFmtId="182" fontId="61" fillId="0" borderId="144" xfId="14" applyNumberFormat="1" applyFont="1" applyBorder="1" applyAlignment="1">
      <alignment horizontal="right" vertical="center" shrinkToFit="1"/>
    </xf>
    <xf numFmtId="38" fontId="43" fillId="0" borderId="166" xfId="2" applyFont="1" applyFill="1" applyBorder="1" applyAlignment="1" applyProtection="1">
      <alignment vertical="center"/>
    </xf>
    <xf numFmtId="184" fontId="43" fillId="0" borderId="166" xfId="18" applyNumberFormat="1" applyFont="1" applyBorder="1" applyAlignment="1">
      <alignment vertical="center"/>
    </xf>
    <xf numFmtId="182" fontId="61" fillId="0" borderId="175" xfId="14" applyNumberFormat="1" applyFont="1" applyBorder="1" applyAlignment="1">
      <alignment horizontal="right" vertical="center" shrinkToFit="1"/>
    </xf>
    <xf numFmtId="182" fontId="61" fillId="0" borderId="175" xfId="0" applyNumberFormat="1" applyFont="1" applyBorder="1" applyAlignment="1">
      <alignment horizontal="right" vertical="center"/>
    </xf>
    <xf numFmtId="185" fontId="43" fillId="0" borderId="169" xfId="18" applyNumberFormat="1" applyFont="1" applyBorder="1" applyAlignment="1">
      <alignment vertical="center"/>
    </xf>
    <xf numFmtId="0" fontId="41" fillId="0" borderId="0" xfId="14" applyFont="1" applyAlignment="1">
      <alignment vertical="center"/>
    </xf>
    <xf numFmtId="0" fontId="50" fillId="0" borderId="0" xfId="14" applyFont="1" applyAlignment="1">
      <alignment vertical="center"/>
    </xf>
    <xf numFmtId="0" fontId="59" fillId="0" borderId="0" xfId="14" applyFont="1" applyAlignment="1">
      <alignment vertical="center"/>
    </xf>
    <xf numFmtId="176" fontId="44" fillId="0" borderId="43" xfId="0" applyNumberFormat="1" applyFont="1" applyBorder="1" applyAlignment="1">
      <alignment vertical="center"/>
    </xf>
    <xf numFmtId="49" fontId="36" fillId="7" borderId="39" xfId="0" applyNumberFormat="1" applyFont="1" applyFill="1" applyBorder="1" applyAlignment="1">
      <alignment horizontal="center"/>
    </xf>
    <xf numFmtId="49" fontId="36" fillId="7" borderId="112" xfId="0" applyNumberFormat="1" applyFont="1" applyFill="1" applyBorder="1" applyAlignment="1">
      <alignment horizontal="center"/>
    </xf>
    <xf numFmtId="49" fontId="19" fillId="0" borderId="0" xfId="19" applyNumberFormat="1" applyFont="1" applyAlignment="1">
      <alignment horizontal="center"/>
    </xf>
    <xf numFmtId="49" fontId="19" fillId="0" borderId="33" xfId="19" applyNumberFormat="1" applyFont="1" applyBorder="1" applyAlignment="1">
      <alignment horizontal="center"/>
    </xf>
    <xf numFmtId="49" fontId="19" fillId="0" borderId="180" xfId="19" applyNumberFormat="1" applyFont="1" applyBorder="1" applyAlignment="1">
      <alignment horizontal="center"/>
    </xf>
    <xf numFmtId="49" fontId="19" fillId="0" borderId="12" xfId="19" applyNumberFormat="1" applyFont="1" applyBorder="1" applyAlignment="1">
      <alignment horizontal="center"/>
    </xf>
    <xf numFmtId="49" fontId="19" fillId="0" borderId="59" xfId="19" applyNumberFormat="1" applyFont="1" applyBorder="1" applyAlignment="1">
      <alignment horizontal="center"/>
    </xf>
    <xf numFmtId="0" fontId="43" fillId="0" borderId="181" xfId="18" applyFont="1" applyBorder="1" applyAlignment="1">
      <alignment vertical="center" shrinkToFit="1"/>
    </xf>
    <xf numFmtId="0" fontId="43" fillId="0" borderId="182" xfId="18" applyFont="1" applyBorder="1" applyAlignment="1">
      <alignment vertical="center" shrinkToFit="1"/>
    </xf>
    <xf numFmtId="0" fontId="43" fillId="0" borderId="164" xfId="18" applyFont="1" applyBorder="1" applyAlignment="1">
      <alignment vertical="center" shrinkToFit="1"/>
    </xf>
    <xf numFmtId="49" fontId="24" fillId="6" borderId="2" xfId="19" quotePrefix="1" applyNumberFormat="1" applyFont="1" applyFill="1" applyBorder="1" applyAlignment="1" applyProtection="1">
      <alignment horizontal="center" vertical="center"/>
      <protection locked="0"/>
    </xf>
    <xf numFmtId="198" fontId="43" fillId="0" borderId="181" xfId="18" applyNumberFormat="1" applyFont="1" applyBorder="1" applyAlignment="1">
      <alignment vertical="center" shrinkToFit="1"/>
    </xf>
    <xf numFmtId="182" fontId="144" fillId="0" borderId="58" xfId="14" applyNumberFormat="1" applyFont="1" applyBorder="1" applyAlignment="1">
      <alignment horizontal="right" vertical="center"/>
    </xf>
    <xf numFmtId="0" fontId="37" fillId="0" borderId="124" xfId="0" applyFont="1" applyBorder="1" applyAlignment="1">
      <alignment vertical="center"/>
    </xf>
    <xf numFmtId="0" fontId="50" fillId="0" borderId="183" xfId="14" applyFont="1" applyBorder="1" applyAlignment="1">
      <alignment horizontal="distributed" vertical="center" justifyLastLine="1"/>
    </xf>
    <xf numFmtId="49" fontId="151" fillId="0" borderId="26" xfId="14" applyNumberFormat="1" applyFont="1" applyBorder="1" applyAlignment="1">
      <alignment horizontal="right" vertical="center"/>
    </xf>
    <xf numFmtId="49" fontId="151" fillId="0" borderId="88" xfId="14" applyNumberFormat="1" applyFont="1" applyBorder="1" applyAlignment="1">
      <alignment horizontal="right" vertical="center"/>
    </xf>
    <xf numFmtId="49" fontId="151" fillId="0" borderId="88" xfId="14" applyNumberFormat="1" applyFont="1" applyBorder="1" applyAlignment="1">
      <alignment horizontal="right" vertical="center" wrapText="1"/>
    </xf>
    <xf numFmtId="49" fontId="151" fillId="0" borderId="90" xfId="14" applyNumberFormat="1" applyFont="1" applyBorder="1" applyAlignment="1">
      <alignment horizontal="right" vertical="center" wrapText="1"/>
    </xf>
    <xf numFmtId="198" fontId="43" fillId="0" borderId="134" xfId="18" applyNumberFormat="1" applyFont="1" applyBorder="1" applyAlignment="1">
      <alignment vertical="center" shrinkToFit="1"/>
    </xf>
    <xf numFmtId="182" fontId="61" fillId="0" borderId="175" xfId="14" applyNumberFormat="1" applyFont="1" applyBorder="1" applyAlignment="1">
      <alignment horizontal="right" vertical="center"/>
    </xf>
    <xf numFmtId="49" fontId="151" fillId="0" borderId="87" xfId="14" applyNumberFormat="1" applyFont="1" applyBorder="1" applyAlignment="1">
      <alignment horizontal="right" vertical="center" wrapText="1"/>
    </xf>
    <xf numFmtId="49" fontId="151" fillId="0" borderId="123" xfId="14" applyNumberFormat="1" applyFont="1" applyBorder="1" applyAlignment="1">
      <alignment horizontal="right" vertical="center" wrapText="1"/>
    </xf>
    <xf numFmtId="3" fontId="41" fillId="0" borderId="184" xfId="0" applyNumberFormat="1" applyFont="1" applyBorder="1" applyAlignment="1">
      <alignment horizontal="center" vertical="center"/>
    </xf>
    <xf numFmtId="0" fontId="55" fillId="0" borderId="184" xfId="14" applyFont="1" applyBorder="1" applyAlignment="1">
      <alignment horizontal="center" vertical="center"/>
    </xf>
    <xf numFmtId="0" fontId="55" fillId="0" borderId="180" xfId="14" applyFont="1" applyBorder="1" applyAlignment="1">
      <alignment horizontal="center" vertical="center"/>
    </xf>
    <xf numFmtId="0" fontId="55" fillId="0" borderId="16" xfId="14" applyFont="1" applyBorder="1" applyAlignment="1">
      <alignment horizontal="center" vertical="center"/>
    </xf>
    <xf numFmtId="182" fontId="55" fillId="0" borderId="180" xfId="14" applyNumberFormat="1" applyFont="1" applyBorder="1" applyAlignment="1">
      <alignment horizontal="center" vertical="center"/>
    </xf>
    <xf numFmtId="182" fontId="61" fillId="0" borderId="185" xfId="0" applyNumberFormat="1" applyFont="1" applyBorder="1" applyAlignment="1">
      <alignment horizontal="right" vertical="center" shrinkToFit="1"/>
    </xf>
    <xf numFmtId="0" fontId="55" fillId="0" borderId="186" xfId="14" applyFont="1" applyBorder="1" applyAlignment="1">
      <alignment horizontal="center" vertical="center"/>
    </xf>
    <xf numFmtId="0" fontId="55" fillId="0" borderId="12" xfId="14" applyFont="1" applyBorder="1" applyAlignment="1">
      <alignment horizontal="center" vertical="center"/>
    </xf>
    <xf numFmtId="0" fontId="55" fillId="0" borderId="65" xfId="14" applyFont="1" applyBorder="1" applyAlignment="1">
      <alignment horizontal="center" vertical="center"/>
    </xf>
    <xf numFmtId="49" fontId="55" fillId="0" borderId="16" xfId="14" applyNumberFormat="1" applyFont="1" applyBorder="1" applyAlignment="1">
      <alignment horizontal="center" vertical="center"/>
    </xf>
    <xf numFmtId="0" fontId="41" fillId="0" borderId="5" xfId="14" applyFont="1" applyBorder="1" applyAlignment="1">
      <alignment horizontal="center" vertical="center"/>
    </xf>
    <xf numFmtId="0" fontId="55" fillId="0" borderId="5" xfId="14" applyFont="1" applyBorder="1" applyAlignment="1">
      <alignment horizontal="center" vertical="center"/>
    </xf>
    <xf numFmtId="0" fontId="55" fillId="0" borderId="127" xfId="14" applyFont="1" applyBorder="1" applyAlignment="1">
      <alignment horizontal="center" vertical="center"/>
    </xf>
    <xf numFmtId="0" fontId="55" fillId="0" borderId="18" xfId="14" applyFont="1" applyBorder="1" applyAlignment="1">
      <alignment horizontal="center" vertical="center"/>
    </xf>
    <xf numFmtId="182" fontId="55" fillId="0" borderId="127" xfId="14" applyNumberFormat="1" applyFont="1" applyBorder="1" applyAlignment="1">
      <alignment horizontal="center" vertical="center"/>
    </xf>
    <xf numFmtId="182" fontId="61" fillId="0" borderId="187" xfId="0" applyNumberFormat="1" applyFont="1" applyBorder="1" applyAlignment="1">
      <alignment horizontal="right" vertical="center" shrinkToFit="1"/>
    </xf>
    <xf numFmtId="0" fontId="55" fillId="0" borderId="188" xfId="14" applyFont="1" applyBorder="1" applyAlignment="1">
      <alignment horizontal="center" vertical="center"/>
    </xf>
    <xf numFmtId="0" fontId="55" fillId="0" borderId="13" xfId="14" applyFont="1" applyBorder="1" applyAlignment="1">
      <alignment horizontal="center" vertical="center"/>
    </xf>
    <xf numFmtId="182" fontId="61" fillId="0" borderId="187" xfId="14" applyNumberFormat="1" applyFont="1" applyBorder="1" applyAlignment="1">
      <alignment horizontal="right" vertical="center"/>
    </xf>
    <xf numFmtId="0" fontId="55" fillId="0" borderId="189" xfId="14" applyFont="1" applyBorder="1" applyAlignment="1">
      <alignment horizontal="center" vertical="center"/>
    </xf>
    <xf numFmtId="49" fontId="55" fillId="0" borderId="18" xfId="14" applyNumberFormat="1" applyFont="1" applyBorder="1" applyAlignment="1">
      <alignment horizontal="center" vertical="center"/>
    </xf>
    <xf numFmtId="0" fontId="41" fillId="0" borderId="138" xfId="14" applyFont="1" applyBorder="1" applyAlignment="1">
      <alignment horizontal="center" vertical="center"/>
    </xf>
    <xf numFmtId="182" fontId="31" fillId="0" borderId="43" xfId="19" applyNumberFormat="1" applyFont="1" applyBorder="1"/>
    <xf numFmtId="182" fontId="31" fillId="0" borderId="32" xfId="19" applyNumberFormat="1" applyFont="1" applyBorder="1"/>
    <xf numFmtId="182" fontId="31" fillId="0" borderId="44" xfId="19" applyNumberFormat="1" applyFont="1" applyBorder="1"/>
    <xf numFmtId="3" fontId="31" fillId="0" borderId="43" xfId="19" applyNumberFormat="1" applyFont="1" applyBorder="1" applyProtection="1">
      <protection locked="0"/>
    </xf>
    <xf numFmtId="182" fontId="31" fillId="0" borderId="127" xfId="19" applyNumberFormat="1" applyFont="1" applyBorder="1"/>
    <xf numFmtId="182" fontId="31" fillId="0" borderId="39" xfId="19" applyNumberFormat="1" applyFont="1" applyBorder="1"/>
    <xf numFmtId="182" fontId="31" fillId="0" borderId="190" xfId="19" applyNumberFormat="1" applyFont="1" applyBorder="1"/>
    <xf numFmtId="1" fontId="31" fillId="0" borderId="127" xfId="19" applyNumberFormat="1" applyFont="1" applyBorder="1"/>
    <xf numFmtId="1" fontId="31" fillId="0" borderId="39" xfId="19" applyNumberFormat="1" applyFont="1" applyBorder="1"/>
    <xf numFmtId="3" fontId="31" fillId="0" borderId="190" xfId="19" applyNumberFormat="1" applyFont="1" applyBorder="1"/>
    <xf numFmtId="182" fontId="61" fillId="0" borderId="185" xfId="14" applyNumberFormat="1" applyFont="1" applyBorder="1" applyAlignment="1">
      <alignment horizontal="right" vertical="center" shrinkToFit="1"/>
    </xf>
    <xf numFmtId="182" fontId="61" fillId="0" borderId="185" xfId="0" applyNumberFormat="1" applyFont="1" applyBorder="1" applyAlignment="1">
      <alignment horizontal="right" vertical="center"/>
    </xf>
    <xf numFmtId="0" fontId="55" fillId="0" borderId="1" xfId="14" applyFont="1" applyBorder="1" applyAlignment="1">
      <alignment horizontal="center" vertical="center"/>
    </xf>
    <xf numFmtId="49" fontId="55" fillId="0" borderId="42" xfId="14" applyNumberFormat="1" applyFont="1" applyBorder="1" applyAlignment="1">
      <alignment horizontal="center" vertical="center"/>
    </xf>
    <xf numFmtId="3" fontId="41" fillId="0" borderId="191" xfId="0" applyNumberFormat="1" applyFont="1" applyBorder="1" applyAlignment="1">
      <alignment horizontal="center" vertical="center"/>
    </xf>
    <xf numFmtId="0" fontId="55" fillId="0" borderId="191" xfId="14" applyFont="1" applyBorder="1" applyAlignment="1">
      <alignment horizontal="center" vertical="center"/>
    </xf>
    <xf numFmtId="3" fontId="41" fillId="0" borderId="192" xfId="14" applyNumberFormat="1" applyFont="1" applyBorder="1" applyAlignment="1">
      <alignment horizontal="center" vertical="center"/>
    </xf>
    <xf numFmtId="0" fontId="37" fillId="0" borderId="76" xfId="14" applyFont="1" applyBorder="1"/>
    <xf numFmtId="182" fontId="61" fillId="0" borderId="96" xfId="0" applyNumberFormat="1" applyFont="1" applyBorder="1" applyAlignment="1">
      <alignment horizontal="right" vertical="center"/>
    </xf>
    <xf numFmtId="182" fontId="144" fillId="0" borderId="13" xfId="14" applyNumberFormat="1" applyFont="1" applyBorder="1" applyAlignment="1">
      <alignment horizontal="right" vertical="center"/>
    </xf>
    <xf numFmtId="0" fontId="43" fillId="0" borderId="135" xfId="18" applyFont="1" applyBorder="1" applyAlignment="1">
      <alignment vertical="center"/>
    </xf>
    <xf numFmtId="38" fontId="43" fillId="0" borderId="99" xfId="18" applyNumberFormat="1" applyFont="1" applyBorder="1" applyAlignment="1">
      <alignment vertical="center"/>
    </xf>
    <xf numFmtId="0" fontId="43" fillId="0" borderId="193" xfId="18" applyFont="1" applyBorder="1" applyAlignment="1">
      <alignment vertical="center"/>
    </xf>
    <xf numFmtId="194" fontId="43" fillId="0" borderId="194" xfId="2" applyNumberFormat="1" applyFont="1" applyBorder="1" applyAlignment="1" applyProtection="1">
      <alignment vertical="center"/>
    </xf>
    <xf numFmtId="38" fontId="43" fillId="0" borderId="194" xfId="2" applyFont="1" applyBorder="1" applyAlignment="1" applyProtection="1">
      <alignment vertical="center"/>
    </xf>
    <xf numFmtId="0" fontId="41" fillId="0" borderId="136" xfId="14" applyFont="1" applyBorder="1" applyAlignment="1">
      <alignment horizontal="center" vertical="center"/>
    </xf>
    <xf numFmtId="182" fontId="61" fillId="0" borderId="144" xfId="14" applyNumberFormat="1" applyFont="1" applyBorder="1" applyAlignment="1">
      <alignment horizontal="right" vertical="center"/>
    </xf>
    <xf numFmtId="182" fontId="144" fillId="0" borderId="18" xfId="14" applyNumberFormat="1" applyFont="1" applyBorder="1" applyAlignment="1">
      <alignment horizontal="right" vertical="center"/>
    </xf>
    <xf numFmtId="0" fontId="55" fillId="0" borderId="57" xfId="14" applyFont="1" applyBorder="1" applyAlignment="1">
      <alignment horizontal="center" vertical="center"/>
    </xf>
    <xf numFmtId="0" fontId="55" fillId="0" borderId="46" xfId="14" applyFont="1" applyBorder="1" applyAlignment="1">
      <alignment horizontal="center" vertical="center"/>
    </xf>
    <xf numFmtId="182" fontId="55" fillId="0" borderId="46" xfId="14" applyNumberFormat="1" applyFont="1" applyBorder="1" applyAlignment="1">
      <alignment horizontal="center" vertical="center"/>
    </xf>
    <xf numFmtId="0" fontId="144" fillId="0" borderId="61" xfId="14" applyFont="1" applyBorder="1" applyAlignment="1">
      <alignment horizontal="distributed" vertical="center" justifyLastLine="1"/>
    </xf>
    <xf numFmtId="0" fontId="144" fillId="10" borderId="59" xfId="14" applyFont="1" applyFill="1" applyBorder="1" applyAlignment="1">
      <alignment horizontal="distributed" vertical="center" justifyLastLine="1" readingOrder="1"/>
    </xf>
    <xf numFmtId="198" fontId="43" fillId="0" borderId="164" xfId="18" applyNumberFormat="1" applyFont="1" applyBorder="1" applyAlignment="1">
      <alignment vertical="center" shrinkToFit="1"/>
    </xf>
    <xf numFmtId="0" fontId="144" fillId="0" borderId="59" xfId="14" applyFont="1" applyBorder="1" applyAlignment="1">
      <alignment horizontal="distributed" vertical="center" justifyLastLine="1"/>
    </xf>
    <xf numFmtId="0" fontId="55" fillId="0" borderId="192" xfId="14" applyFont="1" applyBorder="1" applyAlignment="1">
      <alignment horizontal="center" vertical="center"/>
    </xf>
    <xf numFmtId="0" fontId="144" fillId="0" borderId="195" xfId="14" applyFont="1" applyBorder="1" applyAlignment="1">
      <alignment horizontal="distributed" vertical="center" justifyLastLine="1"/>
    </xf>
    <xf numFmtId="0" fontId="144" fillId="0" borderId="196" xfId="14" applyFont="1" applyBorder="1" applyAlignment="1">
      <alignment horizontal="distributed" vertical="center" justifyLastLine="1"/>
    </xf>
    <xf numFmtId="0" fontId="144" fillId="0" borderId="136" xfId="14" applyFont="1" applyBorder="1" applyAlignment="1">
      <alignment horizontal="distributed" vertical="center" justifyLastLine="1"/>
    </xf>
    <xf numFmtId="49" fontId="43" fillId="0" borderId="0" xfId="0" applyNumberFormat="1" applyFont="1" applyAlignment="1">
      <alignment horizontal="center" vertical="center"/>
    </xf>
    <xf numFmtId="176" fontId="44" fillId="0" borderId="0" xfId="0" applyNumberFormat="1" applyFont="1" applyAlignment="1">
      <alignment vertical="center"/>
    </xf>
    <xf numFmtId="0" fontId="0" fillId="0" borderId="0" xfId="0" quotePrefix="1" applyAlignment="1">
      <alignment horizontal="left"/>
    </xf>
    <xf numFmtId="0" fontId="36" fillId="13" borderId="55" xfId="0" quotePrefix="1" applyFont="1" applyFill="1" applyBorder="1" applyAlignment="1">
      <alignment horizontal="center"/>
    </xf>
    <xf numFmtId="49" fontId="43" fillId="0" borderId="18" xfId="0" applyNumberFormat="1" applyFont="1" applyBorder="1" applyAlignment="1">
      <alignment horizontal="centerContinuous" vertical="center"/>
    </xf>
    <xf numFmtId="49" fontId="43" fillId="0" borderId="19" xfId="0" applyNumberFormat="1" applyFont="1" applyBorder="1" applyAlignment="1">
      <alignment horizontal="centerContinuous" vertical="center"/>
    </xf>
    <xf numFmtId="182" fontId="144" fillId="0" borderId="50" xfId="14" applyNumberFormat="1" applyFont="1" applyBorder="1" applyAlignment="1">
      <alignment horizontal="right" vertical="center"/>
    </xf>
    <xf numFmtId="49" fontId="43" fillId="0" borderId="43" xfId="0" applyNumberFormat="1" applyFont="1" applyBorder="1" applyAlignment="1">
      <alignment horizontal="centerContinuous" vertical="center"/>
    </xf>
    <xf numFmtId="49" fontId="43" fillId="0" borderId="44" xfId="0" applyNumberFormat="1" applyFont="1" applyBorder="1" applyAlignment="1">
      <alignment horizontal="centerContinuous" vertical="center"/>
    </xf>
    <xf numFmtId="0" fontId="43" fillId="0" borderId="33" xfId="18" applyFont="1" applyBorder="1" applyAlignment="1">
      <alignment vertical="center"/>
    </xf>
    <xf numFmtId="183" fontId="43" fillId="0" borderId="33" xfId="18" applyNumberFormat="1" applyFont="1" applyBorder="1" applyAlignment="1">
      <alignment vertical="center"/>
    </xf>
    <xf numFmtId="182" fontId="43" fillId="0" borderId="33" xfId="18" applyNumberFormat="1" applyFont="1" applyBorder="1" applyAlignment="1">
      <alignment vertical="center"/>
    </xf>
    <xf numFmtId="37" fontId="43" fillId="0" borderId="33" xfId="18" applyNumberFormat="1" applyFont="1" applyBorder="1" applyAlignment="1">
      <alignment vertical="center"/>
    </xf>
    <xf numFmtId="176" fontId="37" fillId="0" borderId="0" xfId="14" applyNumberFormat="1" applyFont="1" applyAlignment="1">
      <alignment horizontal="center" vertical="center"/>
    </xf>
    <xf numFmtId="0" fontId="161" fillId="0" borderId="197" xfId="14" applyFont="1" applyBorder="1" applyAlignment="1">
      <alignment horizontal="centerContinuous" vertical="center" shrinkToFit="1"/>
    </xf>
    <xf numFmtId="0" fontId="161" fillId="0" borderId="198" xfId="14" applyFont="1" applyBorder="1" applyAlignment="1">
      <alignment horizontal="centerContinuous" vertical="center" shrinkToFit="1"/>
    </xf>
    <xf numFmtId="199" fontId="161" fillId="0" borderId="199" xfId="14" applyNumberFormat="1" applyFont="1" applyBorder="1" applyAlignment="1">
      <alignment horizontal="centerContinuous" vertical="center" shrinkToFit="1"/>
    </xf>
    <xf numFmtId="3" fontId="41" fillId="0" borderId="147" xfId="0" applyNumberFormat="1" applyFont="1" applyBorder="1" applyAlignment="1">
      <alignment horizontal="center" vertical="center"/>
    </xf>
    <xf numFmtId="182" fontId="61" fillId="0" borderId="148" xfId="14" applyNumberFormat="1" applyFont="1" applyBorder="1" applyAlignment="1">
      <alignment horizontal="right" vertical="center" shrinkToFit="1"/>
    </xf>
    <xf numFmtId="0" fontId="55" fillId="0" borderId="51" xfId="14" applyFont="1" applyBorder="1" applyAlignment="1">
      <alignment horizontal="center" vertical="center"/>
    </xf>
    <xf numFmtId="182" fontId="61" fillId="0" borderId="148" xfId="0" applyNumberFormat="1" applyFont="1" applyBorder="1" applyAlignment="1">
      <alignment horizontal="right" vertical="center"/>
    </xf>
    <xf numFmtId="182" fontId="55" fillId="0" borderId="112" xfId="14" applyNumberFormat="1" applyFont="1" applyBorder="1" applyAlignment="1">
      <alignment horizontal="center" vertical="center"/>
    </xf>
    <xf numFmtId="0" fontId="55" fillId="0" borderId="73" xfId="14" applyFont="1" applyBorder="1" applyAlignment="1">
      <alignment horizontal="center" vertical="center"/>
    </xf>
    <xf numFmtId="0" fontId="49" fillId="0" borderId="0" xfId="14" quotePrefix="1" applyFont="1" applyAlignment="1">
      <alignment horizontal="left" vertical="center"/>
    </xf>
    <xf numFmtId="182" fontId="46" fillId="7" borderId="86" xfId="0" applyNumberFormat="1" applyFont="1" applyFill="1" applyBorder="1"/>
    <xf numFmtId="0" fontId="18" fillId="0" borderId="0" xfId="14" applyFont="1" applyAlignment="1">
      <alignment vertical="center"/>
    </xf>
    <xf numFmtId="0" fontId="10" fillId="0" borderId="0" xfId="14" applyFont="1" applyAlignment="1">
      <alignment vertical="center"/>
    </xf>
    <xf numFmtId="0" fontId="10" fillId="0" borderId="0" xfId="14" applyFont="1"/>
    <xf numFmtId="0" fontId="9" fillId="0" borderId="0" xfId="14" applyFont="1"/>
    <xf numFmtId="0" fontId="4" fillId="0" borderId="0" xfId="14" applyFont="1" applyAlignment="1">
      <alignment horizontal="centerContinuous" vertical="center"/>
    </xf>
    <xf numFmtId="0" fontId="10" fillId="0" borderId="0" xfId="14" quotePrefix="1" applyFont="1" applyAlignment="1">
      <alignment horizontal="left" vertical="center"/>
    </xf>
    <xf numFmtId="191" fontId="43" fillId="0" borderId="185" xfId="0" applyNumberFormat="1" applyFont="1" applyBorder="1" applyAlignment="1">
      <alignment horizontal="distributed" vertical="center" justifyLastLine="1"/>
    </xf>
    <xf numFmtId="189" fontId="45" fillId="0" borderId="33" xfId="0" applyNumberFormat="1" applyFont="1" applyBorder="1" applyAlignment="1">
      <alignment horizontal="right" vertical="center" shrinkToFit="1"/>
    </xf>
    <xf numFmtId="0" fontId="46" fillId="13" borderId="11" xfId="0" applyFont="1" applyFill="1" applyBorder="1" applyAlignment="1">
      <alignment horizontal="center"/>
    </xf>
    <xf numFmtId="0" fontId="43" fillId="0" borderId="0" xfId="18" quotePrefix="1" applyFont="1" applyAlignment="1">
      <alignment horizontal="left" vertical="center"/>
    </xf>
    <xf numFmtId="183" fontId="43" fillId="0" borderId="0" xfId="18" quotePrefix="1" applyNumberFormat="1" applyFont="1" applyAlignment="1">
      <alignment horizontal="left" vertical="center"/>
    </xf>
    <xf numFmtId="182" fontId="54" fillId="7" borderId="87" xfId="0" applyNumberFormat="1" applyFont="1" applyFill="1" applyBorder="1"/>
    <xf numFmtId="182" fontId="36" fillId="7" borderId="200" xfId="0" applyNumberFormat="1" applyFont="1" applyFill="1" applyBorder="1"/>
    <xf numFmtId="182" fontId="31" fillId="0" borderId="154" xfId="19" applyNumberFormat="1" applyFont="1" applyBorder="1"/>
    <xf numFmtId="182" fontId="31" fillId="0" borderId="112" xfId="19" applyNumberFormat="1" applyFont="1" applyBorder="1"/>
    <xf numFmtId="182" fontId="31" fillId="0" borderId="201" xfId="19" applyNumberFormat="1" applyFont="1" applyBorder="1"/>
    <xf numFmtId="1" fontId="31" fillId="0" borderId="154" xfId="19" applyNumberFormat="1" applyFont="1" applyBorder="1"/>
    <xf numFmtId="1" fontId="31" fillId="0" borderId="112" xfId="19" applyNumberFormat="1" applyFont="1" applyBorder="1"/>
    <xf numFmtId="3" fontId="31" fillId="0" borderId="201" xfId="19" applyNumberFormat="1" applyFont="1" applyBorder="1"/>
    <xf numFmtId="3" fontId="31" fillId="0" borderId="154" xfId="19" applyNumberFormat="1" applyFont="1" applyBorder="1" applyProtection="1">
      <protection locked="0"/>
    </xf>
    <xf numFmtId="0" fontId="19" fillId="0" borderId="202" xfId="19" applyFont="1" applyBorder="1" applyAlignment="1">
      <alignment horizontal="center"/>
    </xf>
    <xf numFmtId="0" fontId="19" fillId="0" borderId="203" xfId="19" applyFont="1" applyBorder="1"/>
    <xf numFmtId="0" fontId="5" fillId="0" borderId="0" xfId="19" quotePrefix="1" applyAlignment="1">
      <alignment horizontal="left"/>
    </xf>
    <xf numFmtId="0" fontId="47" fillId="3" borderId="147" xfId="0" quotePrefix="1" applyFont="1" applyFill="1" applyBorder="1" applyAlignment="1">
      <alignment horizontal="left" vertical="center" wrapText="1"/>
    </xf>
    <xf numFmtId="0" fontId="47" fillId="0" borderId="147" xfId="0" quotePrefix="1" applyFont="1" applyBorder="1" applyAlignment="1">
      <alignment horizontal="left" vertical="center" wrapText="1"/>
    </xf>
    <xf numFmtId="0" fontId="47" fillId="0" borderId="138" xfId="0" quotePrefix="1" applyFont="1" applyBorder="1" applyAlignment="1">
      <alignment horizontal="left" vertical="center" wrapText="1"/>
    </xf>
    <xf numFmtId="0" fontId="44" fillId="3" borderId="204" xfId="0" applyFont="1" applyFill="1" applyBorder="1" applyAlignment="1">
      <alignment vertical="center" wrapText="1"/>
    </xf>
    <xf numFmtId="0" fontId="44" fillId="3" borderId="147" xfId="0" applyFont="1" applyFill="1" applyBorder="1" applyAlignment="1">
      <alignment vertical="center" wrapText="1"/>
    </xf>
    <xf numFmtId="0" fontId="44" fillId="3" borderId="148" xfId="0" applyFont="1" applyFill="1" applyBorder="1" applyAlignment="1">
      <alignment vertical="center" wrapText="1"/>
    </xf>
    <xf numFmtId="0" fontId="44" fillId="0" borderId="205" xfId="0" applyFont="1" applyBorder="1" applyAlignment="1">
      <alignment vertical="center" wrapText="1"/>
    </xf>
    <xf numFmtId="0" fontId="44" fillId="0" borderId="138" xfId="0" applyFont="1" applyBorder="1" applyAlignment="1">
      <alignment vertical="center" wrapText="1"/>
    </xf>
    <xf numFmtId="0" fontId="44" fillId="0" borderId="175" xfId="0" applyFont="1" applyBorder="1" applyAlignment="1">
      <alignment vertical="center" wrapText="1"/>
    </xf>
    <xf numFmtId="0" fontId="37" fillId="0" borderId="133" xfId="0" applyFont="1" applyBorder="1" applyAlignment="1">
      <alignment horizontal="centerContinuous" vertical="center"/>
    </xf>
    <xf numFmtId="4" fontId="36" fillId="0" borderId="206" xfId="0" applyNumberFormat="1" applyFont="1" applyBorder="1"/>
    <xf numFmtId="196" fontId="36" fillId="13" borderId="207" xfId="0" applyNumberFormat="1" applyFont="1" applyFill="1" applyBorder="1"/>
    <xf numFmtId="183" fontId="44" fillId="0" borderId="0" xfId="18" quotePrefix="1" applyNumberFormat="1" applyFont="1" applyAlignment="1">
      <alignment horizontal="left" vertical="center"/>
    </xf>
    <xf numFmtId="182" fontId="44" fillId="0" borderId="33" xfId="18" quotePrefix="1" applyNumberFormat="1" applyFont="1" applyBorder="1" applyAlignment="1">
      <alignment horizontal="center" vertical="center" shrinkToFit="1"/>
    </xf>
    <xf numFmtId="177" fontId="39" fillId="3" borderId="1" xfId="0" quotePrefix="1" applyNumberFormat="1" applyFont="1" applyFill="1" applyBorder="1" applyAlignment="1">
      <alignment horizontal="center"/>
    </xf>
    <xf numFmtId="189" fontId="43" fillId="0" borderId="152" xfId="18" applyNumberFormat="1" applyFont="1" applyBorder="1" applyAlignment="1">
      <alignment vertical="center"/>
    </xf>
    <xf numFmtId="200" fontId="36" fillId="0" borderId="11" xfId="0" applyNumberFormat="1" applyFont="1" applyBorder="1"/>
    <xf numFmtId="0" fontId="43" fillId="0" borderId="0" xfId="14" quotePrefix="1" applyFont="1" applyAlignment="1">
      <alignment horizontal="left" vertical="center"/>
    </xf>
    <xf numFmtId="0" fontId="37" fillId="0" borderId="0" xfId="6" applyFont="1" applyAlignment="1">
      <alignment vertical="center"/>
    </xf>
    <xf numFmtId="0" fontId="37" fillId="0" borderId="208" xfId="6" applyFont="1" applyBorder="1" applyAlignment="1">
      <alignment vertical="center"/>
    </xf>
    <xf numFmtId="0" fontId="37" fillId="0" borderId="0" xfId="6" applyFont="1"/>
    <xf numFmtId="0" fontId="169" fillId="0" borderId="0" xfId="6"/>
    <xf numFmtId="0" fontId="45" fillId="0" borderId="0" xfId="6" applyFont="1" applyAlignment="1">
      <alignment vertical="center"/>
    </xf>
    <xf numFmtId="0" fontId="45" fillId="0" borderId="0" xfId="6" applyFont="1" applyAlignment="1">
      <alignment vertical="center" wrapText="1"/>
    </xf>
    <xf numFmtId="196" fontId="36" fillId="7" borderId="1" xfId="15" applyNumberFormat="1" applyFont="1" applyFill="1" applyBorder="1"/>
    <xf numFmtId="196" fontId="36" fillId="7" borderId="34" xfId="15" applyNumberFormat="1" applyFont="1" applyFill="1" applyBorder="1"/>
    <xf numFmtId="196" fontId="36" fillId="7" borderId="73" xfId="15" applyNumberFormat="1" applyFont="1" applyFill="1" applyBorder="1"/>
    <xf numFmtId="196" fontId="36" fillId="7" borderId="34" xfId="0" applyNumberFormat="1" applyFont="1" applyFill="1" applyBorder="1"/>
    <xf numFmtId="196" fontId="36" fillId="7" borderId="72" xfId="0" applyNumberFormat="1" applyFont="1" applyFill="1" applyBorder="1"/>
    <xf numFmtId="196" fontId="36" fillId="13" borderId="72" xfId="0" applyNumberFormat="1" applyFont="1" applyFill="1" applyBorder="1"/>
    <xf numFmtId="0" fontId="172" fillId="0" borderId="0" xfId="19" quotePrefix="1" applyFont="1" applyAlignment="1">
      <alignment horizontal="left"/>
    </xf>
    <xf numFmtId="0" fontId="173" fillId="0" borderId="61" xfId="14" quotePrefix="1" applyFont="1" applyBorder="1" applyAlignment="1">
      <alignment horizontal="center" vertical="center" justifyLastLine="1"/>
    </xf>
    <xf numFmtId="177" fontId="155" fillId="3" borderId="11" xfId="0" quotePrefix="1" applyNumberFormat="1" applyFont="1" applyFill="1" applyBorder="1" applyAlignment="1">
      <alignment horizontal="center"/>
    </xf>
    <xf numFmtId="0" fontId="44" fillId="0" borderId="0" xfId="0" quotePrefix="1" applyFont="1" applyAlignment="1">
      <alignment horizontal="left" vertical="center"/>
    </xf>
    <xf numFmtId="0" fontId="43" fillId="0" borderId="0" xfId="0" quotePrefix="1" applyFont="1" applyAlignment="1">
      <alignment horizontal="left" vertical="center"/>
    </xf>
    <xf numFmtId="0" fontId="4" fillId="0" borderId="0" xfId="0" applyFont="1" applyAlignment="1">
      <alignment horizontal="centerContinuous" vertical="center"/>
    </xf>
    <xf numFmtId="0" fontId="174" fillId="0" borderId="0" xfId="14" applyFont="1" applyAlignment="1">
      <alignment horizontal="right" shrinkToFit="1"/>
    </xf>
    <xf numFmtId="0" fontId="175" fillId="0" borderId="0" xfId="0" applyFont="1"/>
    <xf numFmtId="0" fontId="159" fillId="0" borderId="0" xfId="0" applyFont="1" applyAlignment="1">
      <alignment horizontal="centerContinuous" vertical="center" shrinkToFit="1"/>
    </xf>
    <xf numFmtId="0" fontId="159" fillId="0" borderId="0" xfId="0" applyFont="1" applyAlignment="1">
      <alignment horizontal="centerContinuous" vertical="center"/>
    </xf>
    <xf numFmtId="182" fontId="39" fillId="0" borderId="152" xfId="18" quotePrefix="1" applyNumberFormat="1" applyFont="1" applyBorder="1" applyAlignment="1">
      <alignment horizontal="center" vertical="center" wrapText="1" justifyLastLine="1"/>
    </xf>
    <xf numFmtId="0" fontId="176" fillId="0" borderId="0" xfId="0" applyFont="1"/>
    <xf numFmtId="182" fontId="39" fillId="0" borderId="105" xfId="18" quotePrefix="1" applyNumberFormat="1" applyFont="1" applyBorder="1" applyAlignment="1">
      <alignment horizontal="center" vertical="center" justifyLastLine="1"/>
    </xf>
    <xf numFmtId="182" fontId="43" fillId="0" borderId="0" xfId="18" quotePrefix="1" applyNumberFormat="1" applyFont="1" applyAlignment="1">
      <alignment horizontal="left" vertical="center"/>
    </xf>
    <xf numFmtId="182" fontId="44" fillId="0" borderId="78" xfId="18" quotePrefix="1" applyNumberFormat="1" applyFont="1" applyBorder="1" applyAlignment="1">
      <alignment horizontal="center" vertical="center" wrapText="1" justifyLastLine="1"/>
    </xf>
    <xf numFmtId="0" fontId="37" fillId="0" borderId="0" xfId="14" quotePrefix="1" applyFont="1" applyAlignment="1">
      <alignment horizontal="left" vertical="center"/>
    </xf>
    <xf numFmtId="0" fontId="37" fillId="0" borderId="200" xfId="14" quotePrefix="1" applyFont="1" applyBorder="1" applyAlignment="1">
      <alignment horizontal="center" wrapText="1" justifyLastLine="1"/>
    </xf>
    <xf numFmtId="0" fontId="37" fillId="0" borderId="200" xfId="14" quotePrefix="1" applyFont="1" applyBorder="1" applyAlignment="1">
      <alignment horizontal="center" vertical="top" wrapText="1" justifyLastLine="1"/>
    </xf>
    <xf numFmtId="49" fontId="43" fillId="0" borderId="0" xfId="18" quotePrefix="1" applyNumberFormat="1" applyFont="1" applyAlignment="1">
      <alignment horizontal="left" vertical="center"/>
    </xf>
    <xf numFmtId="183" fontId="177" fillId="0" borderId="0" xfId="18" quotePrefix="1" applyNumberFormat="1" applyFont="1" applyAlignment="1">
      <alignment horizontal="left" vertical="center"/>
    </xf>
    <xf numFmtId="49" fontId="177" fillId="0" borderId="0" xfId="18" quotePrefix="1" applyNumberFormat="1" applyFont="1" applyAlignment="1">
      <alignment horizontal="left" vertical="center"/>
    </xf>
    <xf numFmtId="0" fontId="43" fillId="0" borderId="33" xfId="0" quotePrefix="1" applyFont="1" applyBorder="1" applyAlignment="1">
      <alignment horizontal="left" vertical="center"/>
    </xf>
    <xf numFmtId="183" fontId="43" fillId="0" borderId="33" xfId="18" quotePrefix="1" applyNumberFormat="1" applyFont="1" applyBorder="1" applyAlignment="1">
      <alignment horizontal="left" vertical="center"/>
    </xf>
    <xf numFmtId="0" fontId="178" fillId="0" borderId="0" xfId="6" quotePrefix="1" applyFont="1" applyAlignment="1">
      <alignment horizontal="left" vertical="center"/>
    </xf>
    <xf numFmtId="2" fontId="37" fillId="0" borderId="79" xfId="6" applyNumberFormat="1" applyFont="1" applyBorder="1" applyAlignment="1">
      <alignment horizontal="center" vertical="center"/>
    </xf>
    <xf numFmtId="0" fontId="159" fillId="0" borderId="79" xfId="6" applyFont="1" applyBorder="1" applyAlignment="1">
      <alignment vertical="center" wrapText="1"/>
    </xf>
    <xf numFmtId="49" fontId="151" fillId="0" borderId="209" xfId="14" quotePrefix="1" applyNumberFormat="1" applyFont="1" applyBorder="1" applyAlignment="1">
      <alignment horizontal="right" vertical="center" wrapText="1"/>
    </xf>
    <xf numFmtId="49" fontId="151" fillId="0" borderId="123" xfId="14" quotePrefix="1" applyNumberFormat="1" applyFont="1" applyBorder="1" applyAlignment="1">
      <alignment horizontal="right" vertical="center" wrapText="1"/>
    </xf>
    <xf numFmtId="201" fontId="36" fillId="0" borderId="0" xfId="0" applyNumberFormat="1" applyFont="1"/>
    <xf numFmtId="183" fontId="42" fillId="0" borderId="0" xfId="0" applyNumberFormat="1" applyFont="1"/>
    <xf numFmtId="182" fontId="44" fillId="0" borderId="33" xfId="18" quotePrefix="1" applyNumberFormat="1" applyFont="1" applyBorder="1" applyAlignment="1">
      <alignment horizontal="center" vertical="center"/>
    </xf>
    <xf numFmtId="49" fontId="43" fillId="0" borderId="0" xfId="18" quotePrefix="1" applyNumberFormat="1" applyFont="1" applyAlignment="1">
      <alignment horizontal="right" vertical="center"/>
    </xf>
    <xf numFmtId="182" fontId="61" fillId="16" borderId="68" xfId="0" applyNumberFormat="1" applyFont="1" applyFill="1" applyBorder="1"/>
    <xf numFmtId="2" fontId="61" fillId="16" borderId="68" xfId="0" applyNumberFormat="1" applyFont="1" applyFill="1" applyBorder="1"/>
    <xf numFmtId="0" fontId="36" fillId="13" borderId="210" xfId="0" applyFont="1" applyFill="1" applyBorder="1"/>
    <xf numFmtId="0" fontId="37" fillId="0" borderId="0" xfId="6" applyFont="1" applyAlignment="1">
      <alignment vertical="center" wrapText="1"/>
    </xf>
    <xf numFmtId="0" fontId="37" fillId="0" borderId="65" xfId="6" applyFont="1" applyBorder="1" applyAlignment="1">
      <alignment vertical="center"/>
    </xf>
    <xf numFmtId="0" fontId="37" fillId="0" borderId="0" xfId="6" quotePrefix="1" applyFont="1" applyAlignment="1">
      <alignment horizontal="left" vertical="top" wrapText="1"/>
    </xf>
    <xf numFmtId="0" fontId="37" fillId="0" borderId="0" xfId="6" quotePrefix="1" applyFont="1" applyAlignment="1">
      <alignment horizontal="left" vertical="center"/>
    </xf>
    <xf numFmtId="0" fontId="58" fillId="0" borderId="91" xfId="16" applyFont="1" applyBorder="1" applyAlignment="1">
      <alignment horizontal="centerContinuous" vertical="center"/>
    </xf>
    <xf numFmtId="0" fontId="42" fillId="0" borderId="91" xfId="16" applyFont="1" applyBorder="1" applyAlignment="1">
      <alignment horizontal="centerContinuous" vertical="center"/>
    </xf>
    <xf numFmtId="182" fontId="179" fillId="7" borderId="114" xfId="0" applyNumberFormat="1" applyFont="1" applyFill="1" applyBorder="1"/>
    <xf numFmtId="182" fontId="179" fillId="7" borderId="87" xfId="0" applyNumberFormat="1" applyFont="1" applyFill="1" applyBorder="1"/>
    <xf numFmtId="0" fontId="179" fillId="7" borderId="87" xfId="0" applyFont="1" applyFill="1" applyBorder="1"/>
    <xf numFmtId="0" fontId="179" fillId="7" borderId="115" xfId="0" applyFont="1" applyFill="1" applyBorder="1"/>
    <xf numFmtId="0" fontId="179" fillId="13" borderId="87" xfId="0" applyFont="1" applyFill="1" applyBorder="1"/>
    <xf numFmtId="182" fontId="179" fillId="7" borderId="115" xfId="0" applyNumberFormat="1" applyFont="1" applyFill="1" applyBorder="1"/>
    <xf numFmtId="0" fontId="179" fillId="7" borderId="86" xfId="0" applyFont="1" applyFill="1" applyBorder="1"/>
    <xf numFmtId="182" fontId="179" fillId="7" borderId="86" xfId="0" applyNumberFormat="1" applyFont="1" applyFill="1" applyBorder="1"/>
    <xf numFmtId="182" fontId="179" fillId="7" borderId="211" xfId="0" applyNumberFormat="1" applyFont="1" applyFill="1" applyBorder="1"/>
    <xf numFmtId="2" fontId="179" fillId="7" borderId="87" xfId="0" applyNumberFormat="1" applyFont="1" applyFill="1" applyBorder="1"/>
    <xf numFmtId="2" fontId="179" fillId="7" borderId="39" xfId="0" applyNumberFormat="1" applyFont="1" applyFill="1" applyBorder="1"/>
    <xf numFmtId="2" fontId="179" fillId="7" borderId="11" xfId="0" applyNumberFormat="1" applyFont="1" applyFill="1" applyBorder="1"/>
    <xf numFmtId="2" fontId="179" fillId="7" borderId="17" xfId="0" applyNumberFormat="1" applyFont="1" applyFill="1" applyBorder="1"/>
    <xf numFmtId="4" fontId="179" fillId="0" borderId="112" xfId="0" applyNumberFormat="1" applyFont="1" applyBorder="1"/>
    <xf numFmtId="4" fontId="179" fillId="0" borderId="11" xfId="0" applyNumberFormat="1" applyFont="1" applyBorder="1"/>
    <xf numFmtId="4" fontId="179" fillId="7" borderId="11" xfId="0" applyNumberFormat="1" applyFont="1" applyFill="1" applyBorder="1"/>
    <xf numFmtId="4" fontId="179" fillId="7" borderId="32" xfId="0" applyNumberFormat="1" applyFont="1" applyFill="1" applyBorder="1"/>
    <xf numFmtId="4" fontId="179" fillId="0" borderId="39" xfId="0" applyNumberFormat="1" applyFont="1" applyBorder="1"/>
    <xf numFmtId="4" fontId="179" fillId="13" borderId="11" xfId="0" applyNumberFormat="1" applyFont="1" applyFill="1" applyBorder="1"/>
    <xf numFmtId="4" fontId="179" fillId="0" borderId="17" xfId="0" applyNumberFormat="1" applyFont="1" applyBorder="1"/>
    <xf numFmtId="4" fontId="179" fillId="0" borderId="32" xfId="0" applyNumberFormat="1" applyFont="1" applyBorder="1"/>
    <xf numFmtId="202" fontId="36" fillId="0" borderId="11" xfId="0" applyNumberFormat="1" applyFont="1" applyBorder="1"/>
    <xf numFmtId="2" fontId="43" fillId="0" borderId="166" xfId="18" applyNumberFormat="1" applyFont="1" applyBorder="1" applyAlignment="1">
      <alignment vertical="center"/>
    </xf>
    <xf numFmtId="2" fontId="42" fillId="0" borderId="0" xfId="0" applyNumberFormat="1" applyFont="1"/>
    <xf numFmtId="199" fontId="161" fillId="0" borderId="212" xfId="14" applyNumberFormat="1" applyFont="1" applyBorder="1" applyAlignment="1">
      <alignment horizontal="centerContinuous" vertical="center"/>
    </xf>
    <xf numFmtId="2" fontId="36" fillId="7" borderId="114" xfId="0" applyNumberFormat="1" applyFont="1" applyFill="1" applyBorder="1"/>
    <xf numFmtId="2" fontId="36" fillId="7" borderId="87" xfId="0" applyNumberFormat="1" applyFont="1" applyFill="1" applyBorder="1"/>
    <xf numFmtId="2" fontId="36" fillId="7" borderId="115" xfId="0" applyNumberFormat="1" applyFont="1" applyFill="1" applyBorder="1"/>
    <xf numFmtId="2" fontId="36" fillId="7" borderId="86" xfId="0" applyNumberFormat="1" applyFont="1" applyFill="1" applyBorder="1"/>
    <xf numFmtId="2" fontId="36" fillId="7" borderId="88" xfId="0" applyNumberFormat="1" applyFont="1" applyFill="1" applyBorder="1"/>
    <xf numFmtId="2" fontId="54" fillId="7" borderId="87" xfId="0" applyNumberFormat="1" applyFont="1" applyFill="1" applyBorder="1"/>
    <xf numFmtId="38" fontId="51" fillId="0" borderId="0" xfId="2" applyFont="1" applyAlignment="1" applyProtection="1">
      <alignment vertical="center"/>
    </xf>
    <xf numFmtId="38" fontId="43" fillId="0" borderId="0" xfId="2" applyFont="1" applyAlignment="1" applyProtection="1">
      <alignment vertical="center"/>
    </xf>
    <xf numFmtId="38" fontId="50" fillId="0" borderId="0" xfId="2" applyFont="1" applyBorder="1" applyAlignment="1" applyProtection="1">
      <alignment horizontal="left" vertical="center"/>
    </xf>
    <xf numFmtId="38" fontId="43" fillId="0" borderId="106" xfId="2" applyFont="1" applyBorder="1" applyAlignment="1" applyProtection="1">
      <alignment vertical="center"/>
    </xf>
    <xf numFmtId="38" fontId="43" fillId="0" borderId="78" xfId="2" applyFont="1" applyBorder="1" applyAlignment="1" applyProtection="1">
      <alignment horizontal="distributed" vertical="center" wrapText="1" justifyLastLine="1"/>
    </xf>
    <xf numFmtId="38" fontId="44" fillId="0" borderId="33" xfId="2" quotePrefix="1" applyFont="1" applyBorder="1" applyAlignment="1" applyProtection="1">
      <alignment horizontal="center" vertical="center" shrinkToFit="1"/>
    </xf>
    <xf numFmtId="38" fontId="44" fillId="0" borderId="33" xfId="2" quotePrefix="1" applyFont="1" applyBorder="1" applyAlignment="1" applyProtection="1">
      <alignment horizontal="center" vertical="center"/>
    </xf>
    <xf numFmtId="38" fontId="43" fillId="0" borderId="0" xfId="2" applyFont="1" applyBorder="1" applyAlignment="1" applyProtection="1">
      <alignment horizontal="right" vertical="center"/>
    </xf>
    <xf numFmtId="38" fontId="44" fillId="0" borderId="0" xfId="2" applyFont="1" applyAlignment="1" applyProtection="1">
      <alignment vertical="center"/>
    </xf>
    <xf numFmtId="182" fontId="37" fillId="0" borderId="0" xfId="14" applyNumberFormat="1" applyFont="1" applyAlignment="1">
      <alignment horizontal="distributed" vertical="center"/>
    </xf>
    <xf numFmtId="182" fontId="43" fillId="0" borderId="99" xfId="18" applyNumberFormat="1" applyFont="1" applyBorder="1" applyAlignment="1">
      <alignment vertical="center"/>
    </xf>
    <xf numFmtId="182" fontId="43" fillId="0" borderId="152" xfId="18" applyNumberFormat="1" applyFont="1" applyBorder="1" applyAlignment="1">
      <alignment vertical="center"/>
    </xf>
    <xf numFmtId="182" fontId="43" fillId="0" borderId="166" xfId="2" applyNumberFormat="1" applyFont="1" applyFill="1" applyBorder="1" applyAlignment="1" applyProtection="1">
      <alignment vertical="center"/>
    </xf>
    <xf numFmtId="38" fontId="43" fillId="0" borderId="100" xfId="18" applyNumberFormat="1" applyFont="1" applyBorder="1" applyAlignment="1">
      <alignment vertical="center"/>
    </xf>
    <xf numFmtId="3" fontId="43" fillId="0" borderId="100" xfId="18" applyNumberFormat="1" applyFont="1" applyBorder="1" applyAlignment="1">
      <alignment vertical="center"/>
    </xf>
    <xf numFmtId="182" fontId="44" fillId="0" borderId="0" xfId="18" quotePrefix="1" applyNumberFormat="1" applyFont="1" applyAlignment="1">
      <alignment horizontal="center" vertical="center"/>
    </xf>
    <xf numFmtId="182" fontId="43" fillId="0" borderId="0" xfId="18" applyNumberFormat="1" applyFont="1" applyAlignment="1">
      <alignment vertical="center" wrapText="1"/>
    </xf>
    <xf numFmtId="0" fontId="38" fillId="0" borderId="0" xfId="14" applyFont="1" applyAlignment="1">
      <alignment vertical="top"/>
    </xf>
    <xf numFmtId="0" fontId="43" fillId="0" borderId="0" xfId="14" quotePrefix="1" applyFont="1" applyAlignment="1">
      <alignment horizontal="center" vertical="top"/>
    </xf>
    <xf numFmtId="0" fontId="43" fillId="0" borderId="0" xfId="0" applyFont="1" applyAlignment="1">
      <alignment vertical="top"/>
    </xf>
    <xf numFmtId="0" fontId="37" fillId="0" borderId="0" xfId="14" applyFont="1" applyAlignment="1">
      <alignment horizontal="center" vertical="top"/>
    </xf>
    <xf numFmtId="0" fontId="37" fillId="0" borderId="0" xfId="14" applyFont="1" applyAlignment="1">
      <alignment vertical="top"/>
    </xf>
    <xf numFmtId="0" fontId="36" fillId="13" borderId="38" xfId="0" quotePrefix="1" applyFont="1" applyFill="1" applyBorder="1" applyAlignment="1">
      <alignment horizontal="center"/>
    </xf>
    <xf numFmtId="0" fontId="19" fillId="0" borderId="172" xfId="19" applyFont="1" applyBorder="1" applyAlignment="1">
      <alignment horizontal="center"/>
    </xf>
    <xf numFmtId="182" fontId="32" fillId="10" borderId="242" xfId="19" quotePrefix="1" applyNumberFormat="1" applyFont="1" applyFill="1" applyBorder="1"/>
    <xf numFmtId="176" fontId="31" fillId="0" borderId="14" xfId="19" applyNumberFormat="1" applyFont="1" applyBorder="1" applyProtection="1">
      <protection locked="0"/>
    </xf>
    <xf numFmtId="0" fontId="180" fillId="13" borderId="3" xfId="0" applyFont="1" applyFill="1" applyBorder="1"/>
    <xf numFmtId="0" fontId="5" fillId="0" borderId="27" xfId="19" applyBorder="1"/>
    <xf numFmtId="0" fontId="43" fillId="0" borderId="13" xfId="0" applyFont="1" applyBorder="1" applyAlignment="1">
      <alignment horizontal="centerContinuous" vertical="center"/>
    </xf>
    <xf numFmtId="0" fontId="43" fillId="0" borderId="14" xfId="0" applyFont="1" applyBorder="1" applyAlignment="1">
      <alignment horizontal="centerContinuous" vertical="center"/>
    </xf>
    <xf numFmtId="0" fontId="44" fillId="0" borderId="13" xfId="0" applyFont="1" applyBorder="1" applyAlignment="1">
      <alignment horizontal="centerContinuous" vertical="center"/>
    </xf>
    <xf numFmtId="0" fontId="44" fillId="0" borderId="14" xfId="0" applyFont="1" applyBorder="1" applyAlignment="1">
      <alignment horizontal="centerContinuous" vertical="center"/>
    </xf>
    <xf numFmtId="0" fontId="181" fillId="0" borderId="199" xfId="0" applyFont="1" applyBorder="1" applyAlignment="1">
      <alignment horizontal="centerContinuous" vertical="center"/>
    </xf>
    <xf numFmtId="2" fontId="43" fillId="0" borderId="153" xfId="18" applyNumberFormat="1" applyFont="1" applyBorder="1" applyAlignment="1">
      <alignment vertical="center"/>
    </xf>
    <xf numFmtId="2" fontId="43" fillId="0" borderId="117" xfId="18" applyNumberFormat="1" applyFont="1" applyBorder="1" applyAlignment="1">
      <alignment vertical="center"/>
    </xf>
    <xf numFmtId="2" fontId="43" fillId="0" borderId="167" xfId="18" applyNumberFormat="1" applyFont="1" applyBorder="1" applyAlignment="1">
      <alignment vertical="center"/>
    </xf>
    <xf numFmtId="2" fontId="43" fillId="0" borderId="157" xfId="18" applyNumberFormat="1" applyFont="1" applyBorder="1" applyAlignment="1">
      <alignment vertical="center"/>
    </xf>
    <xf numFmtId="2" fontId="43" fillId="0" borderId="152" xfId="18" applyNumberFormat="1" applyFont="1" applyBorder="1" applyAlignment="1">
      <alignment vertical="center"/>
    </xf>
    <xf numFmtId="203" fontId="43" fillId="0" borderId="117" xfId="18" applyNumberFormat="1" applyFont="1" applyBorder="1" applyAlignment="1">
      <alignment vertical="center"/>
    </xf>
    <xf numFmtId="204" fontId="43" fillId="0" borderId="166" xfId="18" applyNumberFormat="1" applyFont="1" applyBorder="1" applyAlignment="1">
      <alignment vertical="center"/>
    </xf>
    <xf numFmtId="0" fontId="46" fillId="13" borderId="32" xfId="0" applyFont="1" applyFill="1" applyBorder="1" applyAlignment="1">
      <alignment horizontal="center"/>
    </xf>
    <xf numFmtId="0" fontId="46" fillId="13" borderId="11" xfId="0" applyFont="1" applyFill="1" applyBorder="1"/>
    <xf numFmtId="182" fontId="46" fillId="7" borderId="88" xfId="0" applyNumberFormat="1" applyFont="1" applyFill="1" applyBorder="1"/>
    <xf numFmtId="182" fontId="54" fillId="7" borderId="88" xfId="0" applyNumberFormat="1" applyFont="1" applyFill="1" applyBorder="1"/>
    <xf numFmtId="2" fontId="54" fillId="7" borderId="88" xfId="0" applyNumberFormat="1" applyFont="1" applyFill="1" applyBorder="1"/>
    <xf numFmtId="2" fontId="54" fillId="7" borderId="90" xfId="0" applyNumberFormat="1" applyFont="1" applyFill="1" applyBorder="1"/>
    <xf numFmtId="0" fontId="182" fillId="0" borderId="0" xfId="0" quotePrefix="1" applyFont="1" applyAlignment="1">
      <alignment horizontal="left" vertical="center"/>
    </xf>
    <xf numFmtId="181" fontId="39" fillId="0" borderId="0" xfId="0" applyNumberFormat="1" applyFont="1" applyAlignment="1">
      <alignment vertical="center"/>
    </xf>
    <xf numFmtId="184" fontId="43" fillId="0" borderId="153" xfId="18" applyNumberFormat="1" applyFont="1" applyBorder="1" applyAlignment="1">
      <alignment vertical="center"/>
    </xf>
    <xf numFmtId="184" fontId="43" fillId="0" borderId="117" xfId="18" applyNumberFormat="1" applyFont="1" applyBorder="1" applyAlignment="1">
      <alignment vertical="center"/>
    </xf>
    <xf numFmtId="184" fontId="43" fillId="0" borderId="167" xfId="18" applyNumberFormat="1" applyFont="1" applyBorder="1" applyAlignment="1">
      <alignment vertical="center"/>
    </xf>
    <xf numFmtId="184" fontId="43" fillId="0" borderId="157" xfId="18" applyNumberFormat="1" applyFont="1" applyBorder="1" applyAlignment="1">
      <alignment vertical="center"/>
    </xf>
    <xf numFmtId="184" fontId="43" fillId="0" borderId="152" xfId="18" applyNumberFormat="1" applyFont="1" applyBorder="1" applyAlignment="1">
      <alignment vertical="center"/>
    </xf>
    <xf numFmtId="38" fontId="43" fillId="0" borderId="153" xfId="2" applyFont="1" applyFill="1" applyBorder="1" applyAlignment="1" applyProtection="1">
      <alignment vertical="center"/>
    </xf>
    <xf numFmtId="38" fontId="43" fillId="0" borderId="117" xfId="2" applyFont="1" applyFill="1" applyBorder="1" applyAlignment="1" applyProtection="1">
      <alignment vertical="center"/>
    </xf>
    <xf numFmtId="38" fontId="43" fillId="0" borderId="167" xfId="2" applyFont="1" applyFill="1" applyBorder="1" applyAlignment="1" applyProtection="1">
      <alignment vertical="center"/>
    </xf>
    <xf numFmtId="38" fontId="43" fillId="0" borderId="157" xfId="2" applyFont="1" applyFill="1" applyBorder="1" applyAlignment="1" applyProtection="1">
      <alignment vertical="center"/>
    </xf>
    <xf numFmtId="194" fontId="43" fillId="0" borderId="166" xfId="2" applyNumberFormat="1" applyFont="1" applyFill="1" applyBorder="1" applyAlignment="1" applyProtection="1">
      <alignment vertical="center"/>
    </xf>
    <xf numFmtId="194" fontId="43" fillId="0" borderId="153" xfId="18" applyNumberFormat="1" applyFont="1" applyBorder="1" applyAlignment="1">
      <alignment vertical="center"/>
    </xf>
    <xf numFmtId="194" fontId="43" fillId="0" borderId="117" xfId="18" applyNumberFormat="1" applyFont="1" applyBorder="1" applyAlignment="1">
      <alignment vertical="center"/>
    </xf>
    <xf numFmtId="194" fontId="43" fillId="0" borderId="167" xfId="18" applyNumberFormat="1" applyFont="1" applyBorder="1" applyAlignment="1">
      <alignment vertical="center"/>
    </xf>
    <xf numFmtId="194" fontId="43" fillId="0" borderId="157" xfId="18" applyNumberFormat="1" applyFont="1" applyBorder="1" applyAlignment="1">
      <alignment vertical="center"/>
    </xf>
    <xf numFmtId="194" fontId="43" fillId="0" borderId="166" xfId="18" applyNumberFormat="1" applyFont="1" applyBorder="1" applyAlignment="1">
      <alignment vertical="center"/>
    </xf>
    <xf numFmtId="194" fontId="43" fillId="0" borderId="99" xfId="18" applyNumberFormat="1" applyFont="1" applyBorder="1" applyAlignment="1">
      <alignment vertical="center"/>
    </xf>
    <xf numFmtId="194" fontId="43" fillId="0" borderId="145" xfId="18" applyNumberFormat="1" applyFont="1" applyBorder="1" applyAlignment="1">
      <alignment vertical="center"/>
    </xf>
    <xf numFmtId="182" fontId="43" fillId="0" borderId="100" xfId="18" applyNumberFormat="1" applyFont="1" applyBorder="1" applyAlignment="1">
      <alignment vertical="center"/>
    </xf>
    <xf numFmtId="185" fontId="43" fillId="0" borderId="100" xfId="18" applyNumberFormat="1" applyFont="1" applyBorder="1" applyAlignment="1">
      <alignment vertical="center"/>
    </xf>
    <xf numFmtId="0" fontId="37" fillId="0" borderId="184" xfId="0" applyFont="1" applyBorder="1" applyAlignment="1">
      <alignment horizontal="distributed" vertical="center" wrapText="1" justifyLastLine="1"/>
    </xf>
    <xf numFmtId="0" fontId="37" fillId="0" borderId="3" xfId="0" applyFont="1" applyBorder="1" applyAlignment="1">
      <alignment horizontal="centerContinuous" vertical="center"/>
    </xf>
    <xf numFmtId="0" fontId="181" fillId="0" borderId="198" xfId="0" applyFont="1" applyBorder="1" applyAlignment="1">
      <alignment horizontal="centerContinuous" vertical="center"/>
    </xf>
    <xf numFmtId="0" fontId="181" fillId="0" borderId="239" xfId="0" applyFont="1" applyBorder="1" applyAlignment="1">
      <alignment horizontal="centerContinuous" vertical="center" shrinkToFit="1"/>
    </xf>
    <xf numFmtId="191" fontId="43" fillId="0" borderId="240" xfId="0" applyNumberFormat="1" applyFont="1" applyBorder="1" applyAlignment="1">
      <alignment horizontal="distributed" vertical="center" justifyLastLine="1"/>
    </xf>
    <xf numFmtId="189" fontId="45" fillId="0" borderId="67" xfId="0" applyNumberFormat="1" applyFont="1" applyBorder="1" applyAlignment="1">
      <alignment horizontal="right" vertical="center" shrinkToFit="1"/>
    </xf>
    <xf numFmtId="182" fontId="45" fillId="0" borderId="233" xfId="0" applyNumberFormat="1" applyFont="1" applyBorder="1" applyAlignment="1">
      <alignment horizontal="right" vertical="center" shrinkToFit="1"/>
    </xf>
    <xf numFmtId="2" fontId="45" fillId="0" borderId="67" xfId="0" applyNumberFormat="1" applyFont="1" applyBorder="1" applyAlignment="1">
      <alignment horizontal="right" vertical="center" shrinkToFit="1"/>
    </xf>
    <xf numFmtId="2" fontId="45" fillId="0" borderId="56" xfId="0" applyNumberFormat="1" applyFont="1" applyBorder="1" applyAlignment="1">
      <alignment horizontal="right" vertical="center" shrinkToFit="1"/>
    </xf>
    <xf numFmtId="2" fontId="45" fillId="0" borderId="27" xfId="0" applyNumberFormat="1" applyFont="1" applyBorder="1" applyAlignment="1">
      <alignment horizontal="right" vertical="center" shrinkToFit="1"/>
    </xf>
    <xf numFmtId="2" fontId="45" fillId="0" borderId="55" xfId="0" applyNumberFormat="1" applyFont="1" applyBorder="1" applyAlignment="1">
      <alignment horizontal="right" vertical="center" shrinkToFit="1"/>
    </xf>
    <xf numFmtId="2" fontId="45" fillId="0" borderId="233" xfId="0" applyNumberFormat="1" applyFont="1" applyBorder="1" applyAlignment="1">
      <alignment horizontal="right" vertical="center" shrinkToFit="1"/>
    </xf>
    <xf numFmtId="189" fontId="45" fillId="0" borderId="55" xfId="0" applyNumberFormat="1" applyFont="1" applyBorder="1" applyAlignment="1">
      <alignment horizontal="right" vertical="center" shrinkToFit="1"/>
    </xf>
    <xf numFmtId="0" fontId="37" fillId="0" borderId="246" xfId="0" applyFont="1" applyBorder="1" applyAlignment="1">
      <alignment vertical="center"/>
    </xf>
    <xf numFmtId="2" fontId="37" fillId="0" borderId="3" xfId="0" applyNumberFormat="1" applyFont="1" applyBorder="1" applyAlignment="1">
      <alignment horizontal="centerContinuous" vertical="center"/>
    </xf>
    <xf numFmtId="3" fontId="41" fillId="0" borderId="10" xfId="0" applyNumberFormat="1" applyFont="1" applyBorder="1" applyAlignment="1">
      <alignment horizontal="center" vertical="center"/>
    </xf>
    <xf numFmtId="0" fontId="55" fillId="0" borderId="10" xfId="14" applyFont="1" applyBorder="1" applyAlignment="1">
      <alignment horizontal="center" vertical="center"/>
    </xf>
    <xf numFmtId="182" fontId="55" fillId="0" borderId="10" xfId="14" applyNumberFormat="1" applyFont="1" applyBorder="1" applyAlignment="1">
      <alignment horizontal="center" vertical="center"/>
    </xf>
    <xf numFmtId="182" fontId="61" fillId="0" borderId="10" xfId="0" applyNumberFormat="1" applyFont="1" applyBorder="1" applyAlignment="1">
      <alignment horizontal="right" vertical="center" shrinkToFit="1"/>
    </xf>
    <xf numFmtId="182" fontId="61" fillId="0" borderId="10" xfId="14" applyNumberFormat="1" applyFont="1" applyBorder="1" applyAlignment="1">
      <alignment horizontal="right" vertical="center" shrinkToFit="1"/>
    </xf>
    <xf numFmtId="49" fontId="55" fillId="0" borderId="10" xfId="14" applyNumberFormat="1" applyFont="1" applyBorder="1" applyAlignment="1">
      <alignment horizontal="center" vertical="center"/>
    </xf>
    <xf numFmtId="182" fontId="61" fillId="0" borderId="10" xfId="0" applyNumberFormat="1" applyFont="1" applyBorder="1" applyAlignment="1">
      <alignment horizontal="right" vertical="center"/>
    </xf>
    <xf numFmtId="0" fontId="0" fillId="0" borderId="27" xfId="0" applyBorder="1"/>
    <xf numFmtId="2" fontId="37" fillId="0" borderId="9" xfId="0" applyNumberFormat="1" applyFont="1" applyBorder="1" applyAlignment="1">
      <alignment horizontal="centerContinuous" vertical="center"/>
    </xf>
    <xf numFmtId="2" fontId="37" fillId="0" borderId="246" xfId="0" applyNumberFormat="1" applyFont="1" applyBorder="1" applyAlignment="1">
      <alignment horizontal="centerContinuous" vertical="center"/>
    </xf>
    <xf numFmtId="0" fontId="36" fillId="13" borderId="0" xfId="0" applyFont="1" applyFill="1" applyAlignment="1">
      <alignment horizontal="center"/>
    </xf>
    <xf numFmtId="4" fontId="36" fillId="0" borderId="0" xfId="0" applyNumberFormat="1" applyFont="1"/>
    <xf numFmtId="182" fontId="55" fillId="7" borderId="200" xfId="0" applyNumberFormat="1" applyFont="1" applyFill="1" applyBorder="1"/>
    <xf numFmtId="2" fontId="55" fillId="7" borderId="200" xfId="0" applyNumberFormat="1" applyFont="1" applyFill="1" applyBorder="1"/>
    <xf numFmtId="2" fontId="55" fillId="7" borderId="108" xfId="0" applyNumberFormat="1" applyFont="1" applyFill="1" applyBorder="1"/>
    <xf numFmtId="196" fontId="36" fillId="13" borderId="0" xfId="0" applyNumberFormat="1" applyFont="1" applyFill="1" applyAlignment="1">
      <alignment horizontal="right"/>
    </xf>
    <xf numFmtId="196" fontId="36" fillId="13" borderId="0" xfId="0" applyNumberFormat="1" applyFont="1" applyFill="1"/>
    <xf numFmtId="197" fontId="43" fillId="0" borderId="166" xfId="18" applyNumberFormat="1" applyFont="1" applyBorder="1" applyAlignment="1">
      <alignment vertical="center"/>
    </xf>
    <xf numFmtId="194" fontId="43" fillId="0" borderId="166" xfId="2" applyNumberFormat="1" applyFont="1" applyBorder="1" applyAlignment="1">
      <alignment vertical="center"/>
    </xf>
    <xf numFmtId="205" fontId="43" fillId="0" borderId="166" xfId="18" applyNumberFormat="1" applyFont="1" applyBorder="1" applyAlignment="1">
      <alignment vertical="center"/>
    </xf>
    <xf numFmtId="0" fontId="181" fillId="0" borderId="199" xfId="0" applyFont="1" applyBorder="1" applyAlignment="1">
      <alignment horizontal="centerContinuous" vertical="center" shrinkToFit="1"/>
    </xf>
    <xf numFmtId="191" fontId="43" fillId="0" borderId="187" xfId="0" applyNumberFormat="1" applyFont="1" applyBorder="1" applyAlignment="1">
      <alignment horizontal="distributed" vertical="center" justifyLastLine="1"/>
    </xf>
    <xf numFmtId="189" fontId="45" fillId="0" borderId="189" xfId="0" applyNumberFormat="1" applyFont="1" applyBorder="1" applyAlignment="1">
      <alignment horizontal="right" vertical="center" shrinkToFit="1"/>
    </xf>
    <xf numFmtId="182" fontId="45" fillId="0" borderId="247" xfId="0" applyNumberFormat="1" applyFont="1" applyBorder="1" applyAlignment="1">
      <alignment horizontal="right" vertical="center" shrinkToFit="1"/>
    </xf>
    <xf numFmtId="2" fontId="45" fillId="0" borderId="189" xfId="0" applyNumberFormat="1" applyFont="1" applyBorder="1" applyAlignment="1">
      <alignment horizontal="right" vertical="center" shrinkToFit="1"/>
    </xf>
    <xf numFmtId="2" fontId="45" fillId="0" borderId="124" xfId="0" applyNumberFormat="1" applyFont="1" applyBorder="1" applyAlignment="1">
      <alignment horizontal="right" vertical="center" shrinkToFit="1"/>
    </xf>
    <xf numFmtId="2" fontId="45" fillId="0" borderId="9" xfId="0" applyNumberFormat="1" applyFont="1" applyBorder="1" applyAlignment="1">
      <alignment horizontal="right" vertical="center" shrinkToFit="1"/>
    </xf>
    <xf numFmtId="2" fontId="45" fillId="0" borderId="35" xfId="0" applyNumberFormat="1" applyFont="1" applyBorder="1" applyAlignment="1">
      <alignment horizontal="right" vertical="center" shrinkToFit="1"/>
    </xf>
    <xf numFmtId="2" fontId="45" fillId="0" borderId="247" xfId="0" applyNumberFormat="1" applyFont="1" applyBorder="1" applyAlignment="1">
      <alignment horizontal="right" vertical="center" shrinkToFit="1"/>
    </xf>
    <xf numFmtId="189" fontId="45" fillId="0" borderId="35" xfId="0" applyNumberFormat="1" applyFont="1" applyBorder="1" applyAlignment="1">
      <alignment horizontal="right" vertical="center" shrinkToFit="1"/>
    </xf>
    <xf numFmtId="0" fontId="37" fillId="0" borderId="0" xfId="14" quotePrefix="1" applyFont="1" applyAlignment="1">
      <alignment horizontal="left"/>
    </xf>
    <xf numFmtId="0" fontId="45" fillId="0" borderId="0" xfId="6" quotePrefix="1" applyFont="1" applyAlignment="1">
      <alignment horizontal="left" vertical="center"/>
    </xf>
    <xf numFmtId="0" fontId="43" fillId="0" borderId="101" xfId="18" quotePrefix="1" applyFont="1" applyBorder="1" applyAlignment="1">
      <alignment horizontal="left" vertical="center"/>
    </xf>
    <xf numFmtId="0" fontId="36" fillId="0" borderId="0" xfId="0" quotePrefix="1" applyFont="1" applyAlignment="1">
      <alignment horizontal="left"/>
    </xf>
    <xf numFmtId="0" fontId="39" fillId="0" borderId="0" xfId="0" quotePrefix="1" applyFont="1" applyAlignment="1">
      <alignment horizontal="left" vertical="center"/>
    </xf>
    <xf numFmtId="2" fontId="37" fillId="0" borderId="0" xfId="0" applyNumberFormat="1" applyFont="1" applyAlignment="1">
      <alignment horizontal="centerContinuous" vertical="center"/>
    </xf>
    <xf numFmtId="0" fontId="181" fillId="0" borderId="248" xfId="0" applyFont="1" applyBorder="1" applyAlignment="1">
      <alignment horizontal="centerContinuous" vertical="center"/>
    </xf>
    <xf numFmtId="0" fontId="181" fillId="0" borderId="198" xfId="0" applyFont="1" applyBorder="1" applyAlignment="1">
      <alignment horizontal="centerContinuous" vertical="center" shrinkToFit="1"/>
    </xf>
    <xf numFmtId="191" fontId="43" fillId="0" borderId="249" xfId="0" applyNumberFormat="1" applyFont="1" applyBorder="1" applyAlignment="1">
      <alignment horizontal="distributed" vertical="center" justifyLastLine="1"/>
    </xf>
    <xf numFmtId="189" fontId="45" fillId="0" borderId="215" xfId="0" applyNumberFormat="1" applyFont="1" applyBorder="1" applyAlignment="1">
      <alignment horizontal="right" vertical="center" shrinkToFit="1"/>
    </xf>
    <xf numFmtId="182" fontId="45" fillId="0" borderId="216" xfId="0" applyNumberFormat="1" applyFont="1" applyBorder="1" applyAlignment="1">
      <alignment horizontal="right" vertical="center" shrinkToFit="1"/>
    </xf>
    <xf numFmtId="2" fontId="45" fillId="0" borderId="215" xfId="0" applyNumberFormat="1" applyFont="1" applyBorder="1" applyAlignment="1">
      <alignment horizontal="right" vertical="center" shrinkToFit="1"/>
    </xf>
    <xf numFmtId="2" fontId="45" fillId="0" borderId="133" xfId="0" applyNumberFormat="1" applyFont="1" applyBorder="1" applyAlignment="1">
      <alignment horizontal="right" vertical="center" shrinkToFit="1"/>
    </xf>
    <xf numFmtId="2" fontId="45" fillId="0" borderId="246" xfId="0" applyNumberFormat="1" applyFont="1" applyBorder="1" applyAlignment="1">
      <alignment horizontal="right" vertical="center" shrinkToFit="1"/>
    </xf>
    <xf numFmtId="2" fontId="45" fillId="0" borderId="36" xfId="0" applyNumberFormat="1" applyFont="1" applyBorder="1" applyAlignment="1">
      <alignment horizontal="right" vertical="center" shrinkToFit="1"/>
    </xf>
    <xf numFmtId="2" fontId="45" fillId="0" borderId="216" xfId="0" applyNumberFormat="1" applyFont="1" applyBorder="1" applyAlignment="1">
      <alignment horizontal="right" vertical="center" shrinkToFit="1"/>
    </xf>
    <xf numFmtId="189" fontId="45" fillId="0" borderId="36" xfId="0" applyNumberFormat="1" applyFont="1" applyBorder="1" applyAlignment="1">
      <alignment horizontal="right" vertical="center" shrinkToFit="1"/>
    </xf>
    <xf numFmtId="0" fontId="59" fillId="0" borderId="0" xfId="0" applyFont="1" applyAlignment="1">
      <alignment horizontal="left" vertical="top" shrinkToFit="1"/>
    </xf>
    <xf numFmtId="0" fontId="37" fillId="0" borderId="0" xfId="0" applyFont="1" applyAlignment="1">
      <alignment horizontal="left" vertical="top" shrinkToFit="1"/>
    </xf>
    <xf numFmtId="0" fontId="37" fillId="0" borderId="196" xfId="0" applyFont="1" applyBorder="1" applyAlignment="1">
      <alignment horizontal="center" vertical="center" wrapText="1"/>
    </xf>
    <xf numFmtId="0" fontId="37" fillId="0" borderId="217" xfId="0" applyFont="1" applyBorder="1" applyAlignment="1">
      <alignment horizontal="center" vertical="center" wrapText="1"/>
    </xf>
    <xf numFmtId="0" fontId="37" fillId="0" borderId="210" xfId="0" applyFont="1" applyBorder="1" applyAlignment="1">
      <alignment horizontal="distributed" vertical="center" wrapText="1" justifyLastLine="1"/>
    </xf>
    <xf numFmtId="0" fontId="37" fillId="0" borderId="218" xfId="0" applyFont="1" applyBorder="1" applyAlignment="1">
      <alignment horizontal="distributed" vertical="center" wrapText="1" justifyLastLine="1"/>
    </xf>
    <xf numFmtId="0" fontId="37" fillId="0" borderId="189" xfId="0" applyFont="1" applyBorder="1" applyAlignment="1">
      <alignment horizontal="distributed" vertical="center" wrapText="1" justifyLastLine="1"/>
    </xf>
    <xf numFmtId="0" fontId="37" fillId="0" borderId="65" xfId="0" applyFont="1" applyBorder="1" applyAlignment="1">
      <alignment horizontal="distributed" vertical="center" wrapText="1" justifyLastLine="1"/>
    </xf>
    <xf numFmtId="0" fontId="37" fillId="0" borderId="215" xfId="0" applyFont="1" applyBorder="1" applyAlignment="1">
      <alignment horizontal="distributed" vertical="center" wrapText="1" justifyLastLine="1"/>
    </xf>
    <xf numFmtId="0" fontId="37" fillId="0" borderId="52" xfId="0" applyFont="1" applyBorder="1" applyAlignment="1">
      <alignment horizontal="distributed" vertical="center" wrapText="1" justifyLastLine="1"/>
    </xf>
    <xf numFmtId="0" fontId="37" fillId="0" borderId="219" xfId="0" applyFont="1" applyBorder="1" applyAlignment="1">
      <alignment horizontal="distributed" vertical="center" wrapText="1" justifyLastLine="1"/>
    </xf>
    <xf numFmtId="0" fontId="37" fillId="0" borderId="0" xfId="0" applyFont="1" applyAlignment="1">
      <alignment horizontal="left" vertical="center"/>
    </xf>
    <xf numFmtId="0" fontId="37" fillId="0" borderId="79" xfId="0" applyFont="1" applyBorder="1" applyAlignment="1">
      <alignment horizontal="distributed" vertical="center" wrapText="1" justifyLastLine="1"/>
    </xf>
    <xf numFmtId="0" fontId="57" fillId="0" borderId="79" xfId="0" applyFont="1" applyBorder="1"/>
    <xf numFmtId="0" fontId="37" fillId="0" borderId="214" xfId="0" applyFont="1" applyBorder="1" applyAlignment="1">
      <alignment horizontal="distributed" vertical="center" wrapText="1" justifyLastLine="1"/>
    </xf>
    <xf numFmtId="0" fontId="37" fillId="0" borderId="148" xfId="0" applyFont="1" applyBorder="1" applyAlignment="1">
      <alignment horizontal="distributed" vertical="center" wrapText="1" justifyLastLine="1"/>
    </xf>
    <xf numFmtId="0" fontId="37" fillId="0" borderId="192" xfId="0" applyFont="1" applyBorder="1" applyAlignment="1">
      <alignment horizontal="distributed" vertical="center" wrapText="1" justifyLastLine="1"/>
    </xf>
    <xf numFmtId="0" fontId="37" fillId="0" borderId="147" xfId="0" applyFont="1" applyBorder="1" applyAlignment="1">
      <alignment horizontal="distributed" vertical="center" wrapText="1" justifyLastLine="1"/>
    </xf>
    <xf numFmtId="0" fontId="37" fillId="0" borderId="65" xfId="0" applyFont="1" applyBorder="1" applyAlignment="1">
      <alignment vertical="center" wrapText="1"/>
    </xf>
    <xf numFmtId="0" fontId="37" fillId="0" borderId="215" xfId="0" applyFont="1" applyBorder="1" applyAlignment="1">
      <alignment vertical="center" wrapText="1"/>
    </xf>
    <xf numFmtId="0" fontId="37" fillId="0" borderId="0" xfId="0" applyFont="1" applyAlignment="1">
      <alignment vertical="center" wrapText="1"/>
    </xf>
    <xf numFmtId="0" fontId="37" fillId="0" borderId="8" xfId="0" applyFont="1" applyBorder="1" applyAlignment="1">
      <alignment vertical="center" wrapText="1"/>
    </xf>
    <xf numFmtId="0" fontId="37" fillId="0" borderId="76" xfId="0" applyFont="1" applyBorder="1" applyAlignment="1">
      <alignment vertical="center" wrapText="1"/>
    </xf>
    <xf numFmtId="0" fontId="37" fillId="0" borderId="216" xfId="0" applyFont="1" applyBorder="1" applyAlignment="1">
      <alignment vertical="center" wrapText="1"/>
    </xf>
    <xf numFmtId="0" fontId="37" fillId="0" borderId="6" xfId="0" applyFont="1" applyBorder="1" applyAlignment="1">
      <alignment horizontal="distributed" vertical="center" wrapText="1" justifyLastLine="1"/>
    </xf>
    <xf numFmtId="0" fontId="0" fillId="0" borderId="79" xfId="0" applyBorder="1"/>
    <xf numFmtId="0" fontId="10" fillId="0" borderId="0" xfId="19" applyFont="1" applyAlignment="1">
      <alignment horizontal="center" vertical="center"/>
    </xf>
    <xf numFmtId="0" fontId="27" fillId="7" borderId="0" xfId="19" applyFont="1" applyFill="1" applyAlignment="1">
      <alignment horizontal="center" vertical="center"/>
    </xf>
    <xf numFmtId="0" fontId="23" fillId="5" borderId="0" xfId="19" applyFont="1" applyFill="1" applyAlignment="1">
      <alignment horizontal="center" vertical="center"/>
    </xf>
    <xf numFmtId="0" fontId="22" fillId="4" borderId="0" xfId="19" applyFont="1" applyFill="1" applyAlignment="1">
      <alignment horizontal="center" vertical="center"/>
    </xf>
    <xf numFmtId="0" fontId="39" fillId="0" borderId="192" xfId="0" applyFont="1" applyBorder="1" applyAlignment="1">
      <alignment horizontal="distributed" vertical="center" wrapText="1" justifyLastLine="1"/>
    </xf>
    <xf numFmtId="0" fontId="39" fillId="0" borderId="147" xfId="0" applyFont="1" applyBorder="1" applyAlignment="1">
      <alignment horizontal="distributed" vertical="center" wrapText="1" justifyLastLine="1"/>
    </xf>
    <xf numFmtId="0" fontId="35" fillId="0" borderId="65" xfId="14" applyFont="1" applyBorder="1" applyAlignment="1">
      <alignment horizontal="center" vertical="center"/>
    </xf>
    <xf numFmtId="0" fontId="35" fillId="0" borderId="0" xfId="14" applyFont="1" applyAlignment="1">
      <alignment horizontal="center" vertical="center"/>
    </xf>
    <xf numFmtId="0" fontId="41" fillId="0" borderId="76" xfId="14" applyFont="1" applyBorder="1" applyAlignment="1">
      <alignment horizontal="center" vertical="center"/>
    </xf>
    <xf numFmtId="0" fontId="39" fillId="0" borderId="35" xfId="0" applyFont="1" applyBorder="1" applyAlignment="1">
      <alignment horizontal="distributed" vertical="center" wrapText="1" justifyLastLine="1"/>
    </xf>
    <xf numFmtId="0" fontId="39" fillId="0" borderId="33" xfId="0" applyFont="1" applyBorder="1" applyAlignment="1">
      <alignment horizontal="distributed" vertical="center" wrapText="1" justifyLastLine="1"/>
    </xf>
    <xf numFmtId="0" fontId="39" fillId="0" borderId="195" xfId="0" applyFont="1" applyBorder="1" applyAlignment="1">
      <alignment horizontal="distributed" vertical="center" wrapText="1" justifyLastLine="1"/>
    </xf>
    <xf numFmtId="0" fontId="39" fillId="0" borderId="39" xfId="0" applyFont="1" applyBorder="1" applyAlignment="1">
      <alignment horizontal="distributed" vertical="center" wrapText="1" justifyLastLine="1"/>
    </xf>
    <xf numFmtId="0" fontId="39" fillId="0" borderId="53" xfId="0" applyFont="1" applyBorder="1" applyAlignment="1">
      <alignment horizontal="distributed" vertical="center" wrapText="1" justifyLastLine="1"/>
    </xf>
    <xf numFmtId="0" fontId="39" fillId="0" borderId="33" xfId="0" applyFont="1" applyBorder="1" applyAlignment="1">
      <alignment vertical="center" wrapText="1"/>
    </xf>
    <xf numFmtId="0" fontId="39" fillId="0" borderId="36" xfId="0" applyFont="1" applyBorder="1" applyAlignment="1">
      <alignment vertical="center" wrapText="1"/>
    </xf>
    <xf numFmtId="0" fontId="39" fillId="0" borderId="0" xfId="0" applyFont="1" applyAlignment="1">
      <alignment vertical="center" wrapText="1"/>
    </xf>
    <xf numFmtId="0" fontId="39" fillId="0" borderId="8" xfId="0" applyFont="1" applyBorder="1" applyAlignment="1">
      <alignment vertical="center" wrapText="1"/>
    </xf>
    <xf numFmtId="0" fontId="39" fillId="0" borderId="3" xfId="0" applyFont="1" applyBorder="1" applyAlignment="1">
      <alignment vertical="center" wrapText="1"/>
    </xf>
    <xf numFmtId="0" fontId="39" fillId="0" borderId="133" xfId="0" applyFont="1" applyBorder="1" applyAlignment="1">
      <alignment vertical="center" wrapText="1"/>
    </xf>
    <xf numFmtId="0" fontId="39" fillId="0" borderId="210" xfId="0" applyFont="1" applyBorder="1" applyAlignment="1">
      <alignment horizontal="distributed" vertical="center" justifyLastLine="1"/>
    </xf>
    <xf numFmtId="0" fontId="39" fillId="0" borderId="54" xfId="0" applyFont="1" applyBorder="1" applyAlignment="1">
      <alignment horizontal="distributed" vertical="center" justifyLastLine="1"/>
    </xf>
    <xf numFmtId="0" fontId="39" fillId="0" borderId="202" xfId="0" applyFont="1" applyBorder="1" applyAlignment="1">
      <alignment horizontal="center" vertical="center" wrapText="1"/>
    </xf>
    <xf numFmtId="0" fontId="39" fillId="0" borderId="61" xfId="0" applyFont="1" applyBorder="1" applyAlignment="1">
      <alignment horizontal="center" vertical="center" wrapText="1"/>
    </xf>
    <xf numFmtId="0" fontId="39" fillId="0" borderId="196" xfId="0" applyFont="1" applyBorder="1" applyAlignment="1">
      <alignment horizontal="center" vertical="center" wrapText="1"/>
    </xf>
    <xf numFmtId="0" fontId="39" fillId="0" borderId="160" xfId="0" applyFont="1" applyBorder="1" applyAlignment="1">
      <alignment horizontal="center" vertical="center" wrapText="1"/>
    </xf>
    <xf numFmtId="0" fontId="39" fillId="0" borderId="213" xfId="0" applyFont="1" applyBorder="1" applyAlignment="1">
      <alignment horizontal="distributed" vertical="center" justifyLastLine="1"/>
    </xf>
    <xf numFmtId="0" fontId="39" fillId="0" borderId="204" xfId="0" applyFont="1" applyBorder="1" applyAlignment="1">
      <alignment horizontal="distributed" vertical="center" justifyLastLine="1"/>
    </xf>
    <xf numFmtId="0" fontId="39" fillId="0" borderId="52" xfId="0" applyFont="1" applyBorder="1" applyAlignment="1">
      <alignment horizontal="distributed" vertical="center" justifyLastLine="1"/>
    </xf>
    <xf numFmtId="0" fontId="39" fillId="0" borderId="49" xfId="0" applyFont="1" applyBorder="1" applyAlignment="1">
      <alignment horizontal="distributed" vertical="center" justifyLastLine="1"/>
    </xf>
    <xf numFmtId="0" fontId="39" fillId="0" borderId="50" xfId="0" applyFont="1" applyBorder="1" applyAlignment="1">
      <alignment horizontal="distributed" vertical="center" justifyLastLine="1"/>
    </xf>
    <xf numFmtId="58" fontId="50" fillId="0" borderId="0" xfId="14" quotePrefix="1" applyNumberFormat="1" applyFont="1" applyAlignment="1">
      <alignment horizontal="center"/>
    </xf>
    <xf numFmtId="0" fontId="8" fillId="0" borderId="0" xfId="0" applyFont="1" applyAlignment="1">
      <alignment horizontal="center"/>
    </xf>
    <xf numFmtId="0" fontId="42" fillId="0" borderId="0" xfId="14" applyFont="1" applyAlignment="1">
      <alignment horizontal="center"/>
    </xf>
    <xf numFmtId="0" fontId="65" fillId="0" borderId="0" xfId="0" applyFont="1"/>
    <xf numFmtId="0" fontId="39" fillId="0" borderId="0" xfId="14" quotePrefix="1" applyFont="1" applyAlignment="1">
      <alignment horizontal="left" vertical="center"/>
    </xf>
    <xf numFmtId="0" fontId="0" fillId="0" borderId="0" xfId="0" applyAlignment="1">
      <alignment horizontal="left" vertical="center"/>
    </xf>
    <xf numFmtId="0" fontId="60" fillId="0" borderId="9" xfId="0" quotePrefix="1" applyFont="1" applyBorder="1" applyAlignment="1">
      <alignment horizontal="center" vertical="center"/>
    </xf>
    <xf numFmtId="0" fontId="124" fillId="0" borderId="0" xfId="0" applyFont="1" applyAlignment="1">
      <alignment horizontal="center" vertical="center"/>
    </xf>
    <xf numFmtId="0" fontId="125" fillId="0" borderId="0" xfId="0" applyFont="1" applyAlignment="1">
      <alignment horizontal="center" vertical="center"/>
    </xf>
    <xf numFmtId="0" fontId="126" fillId="0" borderId="0" xfId="0" applyFont="1" applyAlignment="1">
      <alignment horizontal="center" vertical="center"/>
    </xf>
    <xf numFmtId="0" fontId="127" fillId="0" borderId="0" xfId="0" applyFont="1" applyAlignment="1">
      <alignment horizontal="center" vertical="center"/>
    </xf>
    <xf numFmtId="0" fontId="128" fillId="0" borderId="0" xfId="0" applyFont="1" applyAlignment="1">
      <alignment horizontal="center" vertical="center"/>
    </xf>
    <xf numFmtId="0" fontId="129" fillId="0" borderId="0" xfId="0" applyFont="1" applyAlignment="1">
      <alignment horizontal="center" vertical="center"/>
    </xf>
    <xf numFmtId="0" fontId="130" fillId="0" borderId="0" xfId="0" applyFont="1" applyAlignment="1">
      <alignment horizontal="center" vertical="center"/>
    </xf>
    <xf numFmtId="0" fontId="131" fillId="0" borderId="0" xfId="0" applyFont="1" applyAlignment="1">
      <alignment horizontal="center" vertical="center"/>
    </xf>
    <xf numFmtId="0" fontId="132" fillId="0" borderId="0" xfId="0" applyFont="1" applyAlignment="1">
      <alignment horizontal="center" vertical="center"/>
    </xf>
    <xf numFmtId="0" fontId="133" fillId="0" borderId="8" xfId="0" applyFont="1" applyBorder="1" applyAlignment="1">
      <alignment horizontal="center" vertical="center"/>
    </xf>
    <xf numFmtId="0" fontId="134" fillId="0" borderId="0" xfId="0" applyFont="1" applyAlignment="1">
      <alignment horizontal="center" vertical="center"/>
    </xf>
    <xf numFmtId="0" fontId="135" fillId="0" borderId="0" xfId="0" applyFont="1" applyAlignment="1">
      <alignment horizontal="center" vertical="center"/>
    </xf>
    <xf numFmtId="0" fontId="136" fillId="0" borderId="0" xfId="0" applyFont="1" applyAlignment="1">
      <alignment horizontal="center" vertical="center"/>
    </xf>
    <xf numFmtId="0" fontId="137" fillId="0" borderId="0" xfId="0" applyFont="1" applyAlignment="1">
      <alignment horizontal="center" vertical="center"/>
    </xf>
    <xf numFmtId="0" fontId="138" fillId="0" borderId="0" xfId="0" applyFont="1" applyAlignment="1">
      <alignment horizontal="center" vertical="center"/>
    </xf>
    <xf numFmtId="0" fontId="139" fillId="0" borderId="0" xfId="0" applyFont="1" applyAlignment="1">
      <alignment horizontal="center" vertical="center"/>
    </xf>
    <xf numFmtId="0" fontId="140" fillId="0" borderId="0" xfId="0" applyFont="1" applyAlignment="1">
      <alignment horizontal="center" vertical="center"/>
    </xf>
    <xf numFmtId="0" fontId="141" fillId="0" borderId="0" xfId="0" applyFont="1" applyAlignment="1">
      <alignment horizontal="center" vertical="center"/>
    </xf>
    <xf numFmtId="0" fontId="142" fillId="0" borderId="0" xfId="0" applyFont="1" applyAlignment="1">
      <alignment horizontal="center" vertical="center"/>
    </xf>
    <xf numFmtId="0" fontId="143" fillId="0" borderId="8" xfId="0" applyFont="1" applyBorder="1" applyAlignment="1">
      <alignment horizontal="center" vertical="center"/>
    </xf>
    <xf numFmtId="0" fontId="60" fillId="0" borderId="35" xfId="14" applyFont="1" applyBorder="1" applyAlignment="1">
      <alignment horizontal="center" vertical="center" wrapText="1"/>
    </xf>
    <xf numFmtId="0" fontId="72" fillId="0" borderId="33" xfId="0" applyFont="1" applyBorder="1" applyAlignment="1">
      <alignment horizontal="center" vertical="center"/>
    </xf>
    <xf numFmtId="0" fontId="73" fillId="0" borderId="33" xfId="0" applyFont="1" applyBorder="1" applyAlignment="1">
      <alignment horizontal="center" vertical="center"/>
    </xf>
    <xf numFmtId="0" fontId="74" fillId="0" borderId="33" xfId="0" applyFont="1" applyBorder="1" applyAlignment="1">
      <alignment horizontal="center" vertical="center"/>
    </xf>
    <xf numFmtId="0" fontId="75" fillId="0" borderId="33" xfId="0" applyFont="1" applyBorder="1" applyAlignment="1">
      <alignment horizontal="center" vertical="center"/>
    </xf>
    <xf numFmtId="0" fontId="76" fillId="0" borderId="33" xfId="0" applyFont="1" applyBorder="1" applyAlignment="1">
      <alignment horizontal="center" vertical="center"/>
    </xf>
    <xf numFmtId="0" fontId="77" fillId="0" borderId="33" xfId="0" applyFont="1" applyBorder="1" applyAlignment="1">
      <alignment horizontal="center" vertical="center"/>
    </xf>
    <xf numFmtId="0" fontId="78" fillId="0" borderId="33" xfId="0" applyFont="1" applyBorder="1" applyAlignment="1">
      <alignment horizontal="center" vertical="center"/>
    </xf>
    <xf numFmtId="0" fontId="79" fillId="0" borderId="33" xfId="0" applyFont="1" applyBorder="1" applyAlignment="1">
      <alignment horizontal="center" vertical="center"/>
    </xf>
    <xf numFmtId="0" fontId="80" fillId="0" borderId="33" xfId="0" applyFont="1" applyBorder="1" applyAlignment="1">
      <alignment horizontal="center" vertical="center"/>
    </xf>
    <xf numFmtId="0" fontId="81" fillId="0" borderId="36" xfId="0" applyFont="1" applyBorder="1" applyAlignment="1">
      <alignment horizontal="center" vertical="center"/>
    </xf>
    <xf numFmtId="0" fontId="82" fillId="0" borderId="9" xfId="0" applyFont="1" applyBorder="1" applyAlignment="1">
      <alignment horizontal="center" vertical="center"/>
    </xf>
    <xf numFmtId="0" fontId="83" fillId="0" borderId="0" xfId="0" applyFont="1" applyAlignment="1">
      <alignment horizontal="center" vertical="center"/>
    </xf>
    <xf numFmtId="0" fontId="84" fillId="0" borderId="0" xfId="0" applyFont="1" applyAlignment="1">
      <alignment horizontal="center" vertical="center"/>
    </xf>
    <xf numFmtId="0" fontId="85" fillId="0" borderId="0" xfId="0" applyFont="1" applyAlignment="1">
      <alignment horizontal="center" vertical="center"/>
    </xf>
    <xf numFmtId="0" fontId="86" fillId="0" borderId="0" xfId="0" applyFont="1" applyAlignment="1">
      <alignment horizontal="center" vertical="center"/>
    </xf>
    <xf numFmtId="0" fontId="87" fillId="0" borderId="0" xfId="0" applyFont="1" applyAlignment="1">
      <alignment horizontal="center" vertical="center"/>
    </xf>
    <xf numFmtId="0" fontId="88" fillId="0" borderId="0" xfId="0" applyFont="1" applyAlignment="1">
      <alignment horizontal="center" vertical="center"/>
    </xf>
    <xf numFmtId="0" fontId="89" fillId="0" borderId="0" xfId="0" applyFont="1" applyAlignment="1">
      <alignment horizontal="center" vertical="center"/>
    </xf>
    <xf numFmtId="0" fontId="90" fillId="0" borderId="0" xfId="0" applyFont="1" applyAlignment="1">
      <alignment horizontal="center" vertical="center"/>
    </xf>
    <xf numFmtId="0" fontId="91" fillId="0" borderId="0" xfId="0" applyFont="1" applyAlignment="1">
      <alignment horizontal="center" vertical="center"/>
    </xf>
    <xf numFmtId="0" fontId="92" fillId="0" borderId="8" xfId="0" applyFont="1" applyBorder="1" applyAlignment="1">
      <alignment horizontal="center" vertical="center"/>
    </xf>
    <xf numFmtId="0" fontId="60" fillId="0" borderId="9" xfId="14" applyFont="1" applyBorder="1" applyAlignment="1">
      <alignment horizontal="center" vertical="center"/>
    </xf>
    <xf numFmtId="0" fontId="93" fillId="0" borderId="0" xfId="0" applyFont="1" applyAlignment="1">
      <alignment horizontal="center" vertical="center"/>
    </xf>
    <xf numFmtId="0" fontId="94" fillId="0" borderId="0" xfId="0" applyFont="1" applyAlignment="1">
      <alignment horizontal="center" vertical="center"/>
    </xf>
    <xf numFmtId="0" fontId="95" fillId="0" borderId="0" xfId="0" applyFont="1" applyAlignment="1">
      <alignment horizontal="center" vertical="center"/>
    </xf>
    <xf numFmtId="0" fontId="96" fillId="0" borderId="0" xfId="0" applyFont="1" applyAlignment="1">
      <alignment horizontal="center" vertical="center"/>
    </xf>
    <xf numFmtId="0" fontId="97" fillId="0" borderId="0" xfId="0" applyFont="1" applyAlignment="1">
      <alignment horizontal="center" vertical="center"/>
    </xf>
    <xf numFmtId="0" fontId="98" fillId="0" borderId="0" xfId="0" applyFont="1" applyAlignment="1">
      <alignment horizontal="center" vertical="center"/>
    </xf>
    <xf numFmtId="0" fontId="99" fillId="0" borderId="0" xfId="0" applyFont="1" applyAlignment="1">
      <alignment horizontal="center" vertical="center"/>
    </xf>
    <xf numFmtId="0" fontId="100" fillId="0" borderId="0" xfId="0" applyFont="1" applyAlignment="1">
      <alignment horizontal="center" vertical="center"/>
    </xf>
    <xf numFmtId="0" fontId="101" fillId="0" borderId="0" xfId="0" applyFont="1" applyAlignment="1">
      <alignment horizontal="center" vertical="center"/>
    </xf>
    <xf numFmtId="0" fontId="102" fillId="0" borderId="8" xfId="0" applyFont="1" applyBorder="1" applyAlignment="1">
      <alignment horizontal="center" vertical="center"/>
    </xf>
    <xf numFmtId="0" fontId="12" fillId="0" borderId="9" xfId="1" applyBorder="1" applyAlignment="1" applyProtection="1">
      <alignment horizontal="center" vertical="center"/>
    </xf>
    <xf numFmtId="0" fontId="104" fillId="0" borderId="0" xfId="0" applyFont="1" applyAlignment="1">
      <alignment horizontal="center" vertical="center"/>
    </xf>
    <xf numFmtId="0" fontId="105" fillId="0" borderId="0" xfId="0" applyFont="1" applyAlignment="1">
      <alignment horizontal="center" vertical="center"/>
    </xf>
    <xf numFmtId="0" fontId="106" fillId="0" borderId="0" xfId="0" applyFont="1" applyAlignment="1">
      <alignment horizontal="center" vertical="center"/>
    </xf>
    <xf numFmtId="0" fontId="107" fillId="0" borderId="0" xfId="0" applyFont="1" applyAlignment="1">
      <alignment horizontal="center" vertical="center"/>
    </xf>
    <xf numFmtId="0" fontId="108" fillId="0" borderId="0" xfId="0" applyFont="1" applyAlignment="1">
      <alignment horizontal="center" vertical="center"/>
    </xf>
    <xf numFmtId="0" fontId="109" fillId="0" borderId="0" xfId="0" applyFont="1" applyAlignment="1">
      <alignment horizontal="center" vertical="center"/>
    </xf>
    <xf numFmtId="0" fontId="110" fillId="0" borderId="0" xfId="0" applyFont="1" applyAlignment="1">
      <alignment horizontal="center" vertical="center"/>
    </xf>
    <xf numFmtId="0" fontId="111" fillId="0" borderId="0" xfId="0" applyFont="1" applyAlignment="1">
      <alignment horizontal="center" vertical="center"/>
    </xf>
    <xf numFmtId="0" fontId="112" fillId="0" borderId="0" xfId="0" applyFont="1" applyAlignment="1">
      <alignment horizontal="center" vertical="center"/>
    </xf>
    <xf numFmtId="0" fontId="113" fillId="0" borderId="8" xfId="0" applyFont="1" applyBorder="1" applyAlignment="1">
      <alignment horizontal="center" vertical="center"/>
    </xf>
    <xf numFmtId="0" fontId="60" fillId="0" borderId="9" xfId="0" applyFont="1" applyBorder="1" applyAlignment="1">
      <alignment horizontal="center" vertical="center"/>
    </xf>
    <xf numFmtId="0" fontId="114" fillId="0" borderId="0" xfId="0" applyFont="1" applyAlignment="1">
      <alignment horizontal="center" vertical="center"/>
    </xf>
    <xf numFmtId="0" fontId="115" fillId="0" borderId="0" xfId="0" applyFont="1" applyAlignment="1">
      <alignment horizontal="center" vertical="center"/>
    </xf>
    <xf numFmtId="0" fontId="116" fillId="0" borderId="0" xfId="0" applyFont="1" applyAlignment="1">
      <alignment horizontal="center" vertical="center"/>
    </xf>
    <xf numFmtId="0" fontId="117" fillId="0" borderId="0" xfId="0" applyFont="1" applyAlignment="1">
      <alignment horizontal="center" vertical="center"/>
    </xf>
    <xf numFmtId="0" fontId="118" fillId="0" borderId="0" xfId="0" applyFont="1" applyAlignment="1">
      <alignment horizontal="center" vertical="center"/>
    </xf>
    <xf numFmtId="0" fontId="119" fillId="0" borderId="0" xfId="0" applyFont="1" applyAlignment="1">
      <alignment horizontal="center" vertical="center"/>
    </xf>
    <xf numFmtId="0" fontId="120" fillId="0" borderId="0" xfId="0" applyFont="1" applyAlignment="1">
      <alignment horizontal="center" vertical="center"/>
    </xf>
    <xf numFmtId="0" fontId="121" fillId="0" borderId="0" xfId="0" applyFont="1" applyAlignment="1">
      <alignment horizontal="center" vertical="center"/>
    </xf>
    <xf numFmtId="0" fontId="122" fillId="0" borderId="0" xfId="0" applyFont="1" applyAlignment="1">
      <alignment horizontal="center" vertical="center"/>
    </xf>
    <xf numFmtId="0" fontId="123" fillId="0" borderId="8" xfId="0" applyFont="1" applyBorder="1" applyAlignment="1">
      <alignment horizontal="center" vertical="center"/>
    </xf>
    <xf numFmtId="0" fontId="37" fillId="0" borderId="0" xfId="14" applyFont="1" applyAlignment="1">
      <alignment vertical="center" wrapText="1"/>
    </xf>
    <xf numFmtId="0" fontId="37" fillId="0" borderId="0" xfId="0" applyFont="1" applyAlignment="1">
      <alignment vertical="center"/>
    </xf>
    <xf numFmtId="0" fontId="45" fillId="0" borderId="0" xfId="0" applyFont="1"/>
    <xf numFmtId="0" fontId="0" fillId="0" borderId="0" xfId="0"/>
    <xf numFmtId="0" fontId="42" fillId="0" borderId="0" xfId="0" applyFont="1" applyAlignment="1">
      <alignment horizontal="left"/>
    </xf>
    <xf numFmtId="0" fontId="46" fillId="0" borderId="0" xfId="0" applyFont="1" applyAlignment="1">
      <alignment horizontal="left"/>
    </xf>
    <xf numFmtId="0" fontId="43" fillId="0" borderId="106" xfId="0" applyFont="1" applyBorder="1" applyAlignment="1">
      <alignment horizontal="center" vertical="center"/>
    </xf>
    <xf numFmtId="0" fontId="43" fillId="0" borderId="78" xfId="0" applyFont="1" applyBorder="1" applyAlignment="1">
      <alignment horizontal="center" vertical="center"/>
    </xf>
    <xf numFmtId="182" fontId="43" fillId="0" borderId="0" xfId="18" quotePrefix="1" applyNumberFormat="1" applyFont="1" applyAlignment="1">
      <alignment horizontal="left" vertical="center" wrapText="1"/>
    </xf>
    <xf numFmtId="183" fontId="43" fillId="0" borderId="152" xfId="18" applyNumberFormat="1" applyFont="1" applyBorder="1" applyAlignment="1">
      <alignment horizontal="center" vertical="center" wrapText="1"/>
    </xf>
    <xf numFmtId="0" fontId="0" fillId="0" borderId="152" xfId="0" applyBorder="1" applyAlignment="1">
      <alignment horizontal="center" vertical="center"/>
    </xf>
    <xf numFmtId="0" fontId="59" fillId="0" borderId="102" xfId="18" applyFont="1" applyBorder="1" applyAlignment="1">
      <alignment horizontal="left" vertical="center"/>
    </xf>
    <xf numFmtId="182" fontId="43" fillId="0" borderId="152" xfId="18" quotePrefix="1" applyNumberFormat="1" applyFont="1" applyBorder="1" applyAlignment="1">
      <alignment horizontal="center" vertical="center" wrapText="1"/>
    </xf>
    <xf numFmtId="0" fontId="43" fillId="0" borderId="152" xfId="14" applyFont="1" applyBorder="1" applyAlignment="1">
      <alignment horizontal="center" vertical="center" wrapText="1"/>
    </xf>
    <xf numFmtId="182" fontId="43" fillId="0" borderId="152" xfId="18" applyNumberFormat="1" applyFont="1" applyBorder="1" applyAlignment="1">
      <alignment horizontal="center" vertical="center" wrapText="1"/>
    </xf>
    <xf numFmtId="0" fontId="43" fillId="0" borderId="152" xfId="14" applyFont="1" applyBorder="1" applyAlignment="1">
      <alignment horizontal="center" vertical="center"/>
    </xf>
    <xf numFmtId="37" fontId="43" fillId="0" borderId="152" xfId="18" applyNumberFormat="1" applyFont="1" applyBorder="1" applyAlignment="1">
      <alignment horizontal="center" vertical="center" wrapText="1"/>
    </xf>
    <xf numFmtId="182" fontId="43" fillId="0" borderId="152" xfId="14" applyNumberFormat="1" applyFont="1" applyBorder="1" applyAlignment="1">
      <alignment horizontal="center" vertical="center" wrapText="1"/>
    </xf>
    <xf numFmtId="182" fontId="43" fillId="0" borderId="152" xfId="14" applyNumberFormat="1" applyFont="1" applyBorder="1" applyAlignment="1">
      <alignment horizontal="center" vertical="center"/>
    </xf>
    <xf numFmtId="0" fontId="0" fillId="0" borderId="152" xfId="0" applyBorder="1" applyAlignment="1">
      <alignment horizontal="center" vertical="center" wrapText="1"/>
    </xf>
    <xf numFmtId="183" fontId="43" fillId="0" borderId="152" xfId="18" quotePrefix="1" applyNumberFormat="1" applyFont="1" applyBorder="1" applyAlignment="1">
      <alignment horizontal="center" vertical="center" wrapText="1"/>
    </xf>
    <xf numFmtId="38" fontId="44" fillId="0" borderId="200" xfId="2" applyFont="1" applyBorder="1" applyAlignment="1" applyProtection="1">
      <alignment horizontal="center" vertical="center" wrapText="1"/>
    </xf>
    <xf numFmtId="38" fontId="44" fillId="0" borderId="200" xfId="2" applyFont="1" applyBorder="1" applyAlignment="1">
      <alignment horizontal="center" vertical="center" wrapText="1"/>
    </xf>
    <xf numFmtId="0" fontId="59" fillId="0" borderId="3" xfId="18" applyFont="1" applyBorder="1" applyAlignment="1">
      <alignment horizontal="left" vertical="center"/>
    </xf>
    <xf numFmtId="182" fontId="44" fillId="0" borderId="200" xfId="18" quotePrefix="1" applyNumberFormat="1" applyFont="1" applyBorder="1" applyAlignment="1">
      <alignment horizontal="center" vertical="center" wrapText="1"/>
    </xf>
    <xf numFmtId="0" fontId="44" fillId="0" borderId="200" xfId="14" applyFont="1" applyBorder="1" applyAlignment="1">
      <alignment horizontal="center" vertical="center" wrapText="1"/>
    </xf>
    <xf numFmtId="182" fontId="43" fillId="0" borderId="200" xfId="18" applyNumberFormat="1" applyFont="1" applyBorder="1" applyAlignment="1">
      <alignment horizontal="center" vertical="center" wrapText="1"/>
    </xf>
    <xf numFmtId="0" fontId="43" fillId="0" borderId="200" xfId="14" applyFont="1" applyBorder="1" applyAlignment="1">
      <alignment horizontal="center" vertical="center" wrapText="1"/>
    </xf>
    <xf numFmtId="182" fontId="183" fillId="0" borderId="200" xfId="18" quotePrefix="1" applyNumberFormat="1" applyFont="1" applyBorder="1" applyAlignment="1">
      <alignment horizontal="center" vertical="center" wrapText="1"/>
    </xf>
    <xf numFmtId="0" fontId="183" fillId="0" borderId="200" xfId="14" applyFont="1" applyBorder="1" applyAlignment="1">
      <alignment horizontal="center" vertical="center" wrapText="1"/>
    </xf>
    <xf numFmtId="182" fontId="39" fillId="0" borderId="200" xfId="18" quotePrefix="1" applyNumberFormat="1" applyFont="1" applyBorder="1" applyAlignment="1">
      <alignment horizontal="center" vertical="center" wrapText="1"/>
    </xf>
    <xf numFmtId="182" fontId="39" fillId="0" borderId="200" xfId="18" applyNumberFormat="1" applyFont="1" applyBorder="1" applyAlignment="1">
      <alignment horizontal="center" vertical="center" wrapText="1"/>
    </xf>
    <xf numFmtId="182" fontId="44" fillId="0" borderId="200" xfId="18" applyNumberFormat="1" applyFont="1" applyBorder="1" applyAlignment="1">
      <alignment horizontal="center" vertical="center" wrapText="1"/>
    </xf>
    <xf numFmtId="0" fontId="144" fillId="0" borderId="12" xfId="14" applyFont="1" applyBorder="1" applyAlignment="1">
      <alignment vertical="center" wrapText="1"/>
    </xf>
    <xf numFmtId="0" fontId="144" fillId="0" borderId="12" xfId="14" applyFont="1" applyBorder="1" applyAlignment="1">
      <alignment vertical="center"/>
    </xf>
    <xf numFmtId="0" fontId="144" fillId="0" borderId="14" xfId="14" applyFont="1" applyBorder="1" applyAlignment="1">
      <alignment vertical="center"/>
    </xf>
    <xf numFmtId="0" fontId="41" fillId="0" borderId="149" xfId="14" applyFont="1" applyBorder="1" applyAlignment="1">
      <alignment horizontal="distributed" vertical="center" justifyLastLine="1"/>
    </xf>
    <xf numFmtId="0" fontId="41" fillId="0" borderId="160" xfId="0" applyFont="1" applyBorder="1"/>
    <xf numFmtId="0" fontId="41" fillId="0" borderId="189" xfId="14" applyFont="1" applyBorder="1" applyAlignment="1">
      <alignment horizontal="distributed" vertical="center" justifyLastLine="1"/>
    </xf>
    <xf numFmtId="0" fontId="147" fillId="0" borderId="65" xfId="14" applyFont="1" applyBorder="1" applyAlignment="1">
      <alignment horizontal="distributed" vertical="center" justifyLastLine="1"/>
    </xf>
    <xf numFmtId="0" fontId="147" fillId="0" borderId="215" xfId="14" applyFont="1" applyBorder="1" applyAlignment="1">
      <alignment horizontal="distributed" vertical="center" justifyLastLine="1"/>
    </xf>
    <xf numFmtId="0" fontId="147" fillId="0" borderId="124" xfId="14" applyFont="1" applyBorder="1" applyAlignment="1">
      <alignment horizontal="distributed" vertical="center" justifyLastLine="1"/>
    </xf>
    <xf numFmtId="0" fontId="147" fillId="0" borderId="3" xfId="14" applyFont="1" applyBorder="1" applyAlignment="1">
      <alignment horizontal="distributed" vertical="center" justifyLastLine="1"/>
    </xf>
    <xf numFmtId="0" fontId="147" fillId="0" borderId="133" xfId="14" applyFont="1" applyBorder="1" applyAlignment="1">
      <alignment horizontal="distributed" vertical="center" justifyLastLine="1"/>
    </xf>
    <xf numFmtId="0" fontId="144" fillId="0" borderId="18" xfId="14" applyFont="1" applyBorder="1" applyAlignment="1">
      <alignment horizontal="distributed" vertical="center" justifyLastLine="1"/>
    </xf>
    <xf numFmtId="0" fontId="144" fillId="0" borderId="16" xfId="14" applyFont="1" applyBorder="1" applyAlignment="1">
      <alignment horizontal="distributed" vertical="center" justifyLastLine="1"/>
    </xf>
    <xf numFmtId="0" fontId="144" fillId="0" borderId="127" xfId="14" applyFont="1" applyBorder="1" applyAlignment="1">
      <alignment horizontal="distributed" vertical="center" justifyLastLine="1"/>
    </xf>
    <xf numFmtId="0" fontId="144" fillId="0" borderId="180" xfId="14" applyFont="1" applyBorder="1" applyAlignment="1">
      <alignment horizontal="distributed" vertical="center" justifyLastLine="1"/>
    </xf>
    <xf numFmtId="0" fontId="144" fillId="0" borderId="33" xfId="14" applyFont="1" applyBorder="1" applyAlignment="1">
      <alignment vertical="center" wrapText="1"/>
    </xf>
    <xf numFmtId="0" fontId="144" fillId="0" borderId="36" xfId="14" applyFont="1" applyBorder="1" applyAlignment="1">
      <alignment vertical="center" wrapText="1"/>
    </xf>
    <xf numFmtId="0" fontId="144" fillId="0" borderId="180" xfId="14" applyFont="1" applyBorder="1" applyAlignment="1">
      <alignment vertical="center"/>
    </xf>
    <xf numFmtId="0" fontId="153" fillId="0" borderId="180" xfId="0" applyFont="1" applyBorder="1" applyAlignment="1">
      <alignment vertical="center"/>
    </xf>
    <xf numFmtId="0" fontId="153" fillId="0" borderId="190" xfId="0" applyFont="1" applyBorder="1" applyAlignment="1">
      <alignment vertical="center"/>
    </xf>
    <xf numFmtId="0" fontId="41" fillId="0" borderId="30" xfId="14" applyFont="1" applyBorder="1" applyAlignment="1">
      <alignment horizontal="center" vertical="distributed" textRotation="255" justifyLastLine="1"/>
    </xf>
    <xf numFmtId="0" fontId="41" fillId="0" borderId="29" xfId="14" applyFont="1" applyBorder="1" applyAlignment="1">
      <alignment horizontal="center" vertical="distributed" textRotation="255" justifyLastLine="1"/>
    </xf>
    <xf numFmtId="0" fontId="41" fillId="0" borderId="220" xfId="14" applyFont="1" applyBorder="1" applyAlignment="1">
      <alignment horizontal="center" vertical="distributed" textRotation="255" justifyLastLine="1"/>
    </xf>
    <xf numFmtId="0" fontId="41" fillId="0" borderId="91" xfId="14" applyFont="1" applyBorder="1" applyAlignment="1">
      <alignment horizontal="center" vertical="distributed" textRotation="255" justifyLastLine="1"/>
    </xf>
    <xf numFmtId="0" fontId="41" fillId="0" borderId="78" xfId="14" applyFont="1" applyBorder="1" applyAlignment="1">
      <alignment horizontal="center" vertical="distributed" textRotation="255" justifyLastLine="1"/>
    </xf>
    <xf numFmtId="0" fontId="144" fillId="0" borderId="16" xfId="14" applyFont="1" applyBorder="1" applyAlignment="1">
      <alignment vertical="center"/>
    </xf>
    <xf numFmtId="0" fontId="153" fillId="0" borderId="16" xfId="0" applyFont="1" applyBorder="1" applyAlignment="1">
      <alignment vertical="center"/>
    </xf>
    <xf numFmtId="0" fontId="153" fillId="0" borderId="19" xfId="0" applyFont="1" applyBorder="1" applyAlignment="1">
      <alignment vertical="center"/>
    </xf>
    <xf numFmtId="0" fontId="144" fillId="0" borderId="106" xfId="14" applyFont="1" applyBorder="1" applyAlignment="1">
      <alignment horizontal="center" vertical="distributed" textRotation="255" wrapText="1"/>
    </xf>
    <xf numFmtId="0" fontId="153" fillId="0" borderId="78" xfId="0" applyFont="1" applyBorder="1"/>
    <xf numFmtId="0" fontId="144" fillId="0" borderId="0" xfId="14" applyFont="1" applyAlignment="1">
      <alignment vertical="center" wrapText="1"/>
    </xf>
    <xf numFmtId="0" fontId="144" fillId="0" borderId="8" xfId="14" applyFont="1" applyBorder="1" applyAlignment="1">
      <alignment vertical="center" wrapText="1"/>
    </xf>
    <xf numFmtId="0" fontId="41" fillId="0" borderId="187" xfId="14" applyFont="1" applyBorder="1" applyAlignment="1">
      <alignment horizontal="distributed" vertical="center" justifyLastLine="1"/>
    </xf>
    <xf numFmtId="0" fontId="41" fillId="0" borderId="185" xfId="14" applyFont="1" applyBorder="1" applyAlignment="1">
      <alignment horizontal="distributed" vertical="center" justifyLastLine="1"/>
    </xf>
    <xf numFmtId="0" fontId="144" fillId="0" borderId="184" xfId="14" applyFont="1" applyBorder="1" applyAlignment="1">
      <alignment vertical="center" wrapText="1"/>
    </xf>
    <xf numFmtId="0" fontId="144" fillId="0" borderId="184" xfId="14" applyFont="1" applyBorder="1" applyAlignment="1">
      <alignment vertical="center"/>
    </xf>
    <xf numFmtId="0" fontId="144" fillId="0" borderId="6" xfId="14" applyFont="1" applyBorder="1" applyAlignment="1">
      <alignment vertical="center"/>
    </xf>
    <xf numFmtId="0" fontId="144" fillId="0" borderId="190" xfId="14" applyFont="1" applyBorder="1" applyAlignment="1">
      <alignment vertical="center"/>
    </xf>
    <xf numFmtId="0" fontId="153" fillId="0" borderId="114" xfId="0" applyFont="1" applyBorder="1" applyAlignment="1">
      <alignment vertical="center"/>
    </xf>
    <xf numFmtId="0" fontId="153" fillId="0" borderId="106" xfId="0" applyFont="1" applyBorder="1" applyAlignment="1">
      <alignment horizontal="center" vertical="distributed" textRotation="255" justifyLastLine="1"/>
    </xf>
    <xf numFmtId="0" fontId="153" fillId="0" borderId="78" xfId="0" applyFont="1" applyBorder="1" applyAlignment="1">
      <alignment horizontal="center" vertical="distributed" textRotation="255" justifyLastLine="1"/>
    </xf>
    <xf numFmtId="0" fontId="144" fillId="0" borderId="91" xfId="14" applyFont="1" applyBorder="1" applyAlignment="1">
      <alignment horizontal="center" vertical="distributed" textRotation="255" justifyLastLine="1"/>
    </xf>
    <xf numFmtId="0" fontId="144" fillId="0" borderId="78" xfId="14" applyFont="1" applyBorder="1" applyAlignment="1">
      <alignment horizontal="center" vertical="distributed" textRotation="255" justifyLastLine="1"/>
    </xf>
    <xf numFmtId="0" fontId="153" fillId="0" borderId="12" xfId="0" applyFont="1" applyBorder="1" applyAlignment="1">
      <alignment vertical="center"/>
    </xf>
    <xf numFmtId="0" fontId="153" fillId="0" borderId="14" xfId="0" applyFont="1" applyBorder="1" applyAlignment="1">
      <alignment vertical="center"/>
    </xf>
    <xf numFmtId="0" fontId="144" fillId="0" borderId="79" xfId="14" applyFont="1" applyBorder="1" applyAlignment="1">
      <alignment horizontal="center" vertical="distributed" textRotation="255" justifyLastLine="1"/>
    </xf>
    <xf numFmtId="0" fontId="153" fillId="0" borderId="79" xfId="0" applyFont="1" applyBorder="1" applyAlignment="1">
      <alignment horizontal="center" vertical="distributed" textRotation="255" justifyLastLine="1"/>
    </xf>
    <xf numFmtId="0" fontId="144" fillId="0" borderId="16" xfId="14" applyFont="1" applyBorder="1" applyAlignment="1">
      <alignment vertical="center" wrapText="1"/>
    </xf>
    <xf numFmtId="0" fontId="144" fillId="0" borderId="19" xfId="14" applyFont="1" applyBorder="1" applyAlignment="1">
      <alignment vertical="center"/>
    </xf>
    <xf numFmtId="0" fontId="158" fillId="0" borderId="0" xfId="14" applyFont="1" applyAlignment="1">
      <alignment horizontal="left" vertical="center"/>
    </xf>
    <xf numFmtId="0" fontId="158" fillId="0" borderId="0" xfId="14" applyFont="1" applyAlignment="1">
      <alignment vertical="center"/>
    </xf>
    <xf numFmtId="0" fontId="41" fillId="0" borderId="28" xfId="14" applyFont="1" applyBorder="1" applyAlignment="1">
      <alignment horizontal="center" vertical="distributed" textRotation="255" justifyLastLine="1"/>
    </xf>
    <xf numFmtId="0" fontId="144" fillId="0" borderId="59" xfId="14" applyFont="1" applyBorder="1" applyAlignment="1">
      <alignment horizontal="distributed" vertical="center" justifyLastLine="1"/>
    </xf>
    <xf numFmtId="0" fontId="144" fillId="0" borderId="39" xfId="14" applyFont="1" applyBorder="1" applyAlignment="1">
      <alignment horizontal="distributed" vertical="center" justifyLastLine="1"/>
    </xf>
    <xf numFmtId="0" fontId="144" fillId="0" borderId="61" xfId="14" applyFont="1" applyBorder="1" applyAlignment="1">
      <alignment horizontal="distributed" vertical="center" justifyLastLine="1"/>
    </xf>
    <xf numFmtId="0" fontId="144" fillId="0" borderId="17" xfId="14" applyFont="1" applyBorder="1" applyAlignment="1">
      <alignment horizontal="distributed" vertical="center" justifyLastLine="1"/>
    </xf>
    <xf numFmtId="0" fontId="144" fillId="0" borderId="65" xfId="14" applyFont="1" applyBorder="1" applyAlignment="1">
      <alignment vertical="center" wrapText="1"/>
    </xf>
    <xf numFmtId="0" fontId="144" fillId="0" borderId="65" xfId="14" applyFont="1" applyBorder="1" applyAlignment="1">
      <alignment vertical="center"/>
    </xf>
    <xf numFmtId="0" fontId="144" fillId="0" borderId="215" xfId="14" applyFont="1" applyBorder="1" applyAlignment="1">
      <alignment vertical="center"/>
    </xf>
    <xf numFmtId="0" fontId="147" fillId="0" borderId="29" xfId="14" applyFont="1" applyBorder="1" applyAlignment="1">
      <alignment horizontal="center" vertical="distributed" textRotation="255" justifyLastLine="1"/>
    </xf>
    <xf numFmtId="0" fontId="147" fillId="0" borderId="220" xfId="14" applyFont="1" applyBorder="1" applyAlignment="1">
      <alignment horizontal="center" vertical="distributed" textRotation="255" justifyLastLine="1"/>
    </xf>
    <xf numFmtId="0" fontId="144" fillId="0" borderId="200" xfId="14" applyFont="1" applyBorder="1" applyAlignment="1">
      <alignment horizontal="center" vertical="distributed" textRotation="255" justifyLastLine="1"/>
    </xf>
    <xf numFmtId="0" fontId="144" fillId="0" borderId="125" xfId="14" applyFont="1" applyBorder="1" applyAlignment="1">
      <alignment vertical="center" wrapText="1"/>
    </xf>
    <xf numFmtId="0" fontId="144" fillId="0" borderId="201" xfId="14" applyFont="1" applyBorder="1" applyAlignment="1">
      <alignment vertical="center" wrapText="1"/>
    </xf>
    <xf numFmtId="0" fontId="153" fillId="0" borderId="184" xfId="0" applyFont="1" applyBorder="1" applyAlignment="1">
      <alignment vertical="center"/>
    </xf>
    <xf numFmtId="0" fontId="153" fillId="0" borderId="6" xfId="0" applyFont="1" applyBorder="1" applyAlignment="1">
      <alignment vertical="center"/>
    </xf>
    <xf numFmtId="0" fontId="144" fillId="0" borderId="106" xfId="14" applyFont="1" applyBorder="1" applyAlignment="1">
      <alignment horizontal="center" vertical="distributed" textRotation="255" justifyLastLine="1"/>
    </xf>
    <xf numFmtId="0" fontId="153" fillId="0" borderId="200" xfId="0" applyFont="1" applyBorder="1" applyAlignment="1">
      <alignment horizontal="center" vertical="distributed" textRotation="255" justifyLastLine="1"/>
    </xf>
    <xf numFmtId="0" fontId="153" fillId="0" borderId="184" xfId="0" applyFont="1" applyBorder="1" applyAlignment="1">
      <alignment vertical="center" wrapText="1"/>
    </xf>
    <xf numFmtId="0" fontId="153" fillId="0" borderId="6" xfId="0" applyFont="1" applyBorder="1" applyAlignment="1">
      <alignment vertical="center" wrapText="1"/>
    </xf>
    <xf numFmtId="0" fontId="144" fillId="0" borderId="195" xfId="14" applyFont="1" applyBorder="1" applyAlignment="1">
      <alignment horizontal="distributed" vertical="center" justifyLastLine="1"/>
    </xf>
    <xf numFmtId="0" fontId="144" fillId="0" borderId="160" xfId="14" quotePrefix="1" applyFont="1" applyBorder="1" applyAlignment="1">
      <alignment horizontal="distributed" vertical="center" justifyLastLine="1"/>
    </xf>
    <xf numFmtId="0" fontId="144" fillId="0" borderId="4" xfId="14" applyFont="1" applyBorder="1" applyAlignment="1">
      <alignment horizontal="distributed" vertical="center" justifyLastLine="1"/>
    </xf>
    <xf numFmtId="0" fontId="144" fillId="0" borderId="4" xfId="14" quotePrefix="1" applyFont="1" applyBorder="1" applyAlignment="1">
      <alignment horizontal="distributed" vertical="center" justifyLastLine="1"/>
    </xf>
    <xf numFmtId="0" fontId="147" fillId="0" borderId="3" xfId="14" applyFont="1" applyBorder="1" applyAlignment="1">
      <alignment horizontal="left" vertical="center" justifyLastLine="1"/>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144" fillId="0" borderId="34" xfId="14" applyFont="1" applyBorder="1" applyAlignment="1">
      <alignment horizontal="distributed" vertical="center" justifyLastLine="1"/>
    </xf>
    <xf numFmtId="0" fontId="144" fillId="0" borderId="73" xfId="14" quotePrefix="1" applyFont="1" applyBorder="1" applyAlignment="1">
      <alignment horizontal="distributed" vertical="center" justifyLastLine="1"/>
    </xf>
    <xf numFmtId="49" fontId="43" fillId="0" borderId="43" xfId="0" applyNumberFormat="1" applyFont="1" applyBorder="1" applyAlignment="1">
      <alignment horizontal="center" vertical="center"/>
    </xf>
    <xf numFmtId="49" fontId="43" fillId="0" borderId="44" xfId="0" applyNumberFormat="1" applyFont="1" applyBorder="1" applyAlignment="1">
      <alignment horizontal="center" vertical="center"/>
    </xf>
    <xf numFmtId="0" fontId="144" fillId="0" borderId="192" xfId="14" applyFont="1" applyBorder="1" applyAlignment="1">
      <alignment horizontal="distributed" vertical="center" justifyLastLine="1"/>
    </xf>
    <xf numFmtId="0" fontId="144" fillId="0" borderId="192" xfId="14" quotePrefix="1" applyFont="1" applyBorder="1" applyAlignment="1">
      <alignment horizontal="distributed" vertical="center" justifyLastLine="1"/>
    </xf>
    <xf numFmtId="0" fontId="147" fillId="0" borderId="0" xfId="14" applyFont="1" applyAlignment="1">
      <alignment horizontal="left" vertical="center" justifyLastLine="1"/>
    </xf>
    <xf numFmtId="0" fontId="144" fillId="0" borderId="221" xfId="14" applyFont="1" applyBorder="1" applyAlignment="1">
      <alignment horizontal="distributed" vertical="center" justifyLastLine="1"/>
    </xf>
    <xf numFmtId="0" fontId="144" fillId="0" borderId="213" xfId="14" quotePrefix="1" applyFont="1" applyBorder="1" applyAlignment="1">
      <alignment horizontal="distributed" vertical="center" justifyLastLine="1"/>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144" fillId="0" borderId="48" xfId="14" applyFont="1" applyBorder="1" applyAlignment="1">
      <alignment horizontal="distributed" vertical="center" justifyLastLine="1"/>
    </xf>
    <xf numFmtId="0" fontId="144" fillId="0" borderId="204" xfId="14" quotePrefix="1" applyFont="1" applyBorder="1" applyAlignment="1">
      <alignment horizontal="distributed" vertical="center" justifyLastLine="1"/>
    </xf>
    <xf numFmtId="0" fontId="144" fillId="0" borderId="147" xfId="14" applyFont="1" applyBorder="1" applyAlignment="1">
      <alignment horizontal="distributed" vertical="center" justifyLastLine="1"/>
    </xf>
    <xf numFmtId="0" fontId="144" fillId="0" borderId="147" xfId="14" quotePrefix="1" applyFont="1" applyBorder="1" applyAlignment="1">
      <alignment horizontal="distributed" vertical="center" justifyLastLine="1"/>
    </xf>
    <xf numFmtId="0" fontId="43" fillId="0" borderId="0" xfId="14" applyFont="1" applyAlignment="1">
      <alignment horizontal="left" vertical="center" wrapText="1"/>
    </xf>
    <xf numFmtId="0" fontId="43" fillId="0" borderId="0" xfId="14" applyFont="1" applyAlignment="1">
      <alignment horizontal="left" vertical="top" wrapText="1"/>
    </xf>
    <xf numFmtId="0" fontId="50" fillId="0" borderId="199" xfId="14" applyFont="1" applyBorder="1" applyAlignment="1">
      <alignment horizontal="distributed" vertical="center" justifyLastLine="1"/>
    </xf>
    <xf numFmtId="0" fontId="50" fillId="0" borderId="198" xfId="14" applyFont="1" applyBorder="1" applyAlignment="1">
      <alignment horizontal="distributed" vertical="center" justifyLastLine="1"/>
    </xf>
    <xf numFmtId="0" fontId="50" fillId="0" borderId="197" xfId="14" applyFont="1" applyBorder="1" applyAlignment="1">
      <alignment horizontal="distributed" vertical="center" justifyLastLine="1"/>
    </xf>
    <xf numFmtId="0" fontId="50" fillId="0" borderId="212" xfId="14" applyFont="1" applyBorder="1" applyAlignment="1">
      <alignment horizontal="distributed" vertical="center" justifyLastLine="1"/>
    </xf>
    <xf numFmtId="0" fontId="50" fillId="0" borderId="76" xfId="14" applyFont="1" applyBorder="1" applyAlignment="1">
      <alignment horizontal="center" vertical="center"/>
    </xf>
    <xf numFmtId="0" fontId="37" fillId="0" borderId="0" xfId="14" applyFont="1" applyAlignment="1">
      <alignment horizontal="center"/>
    </xf>
    <xf numFmtId="0" fontId="37" fillId="0" borderId="0" xfId="14" applyFont="1" applyAlignment="1">
      <alignment vertical="center" justifyLastLine="1"/>
    </xf>
    <xf numFmtId="0" fontId="37" fillId="0" borderId="0" xfId="14" applyFont="1" applyAlignment="1">
      <alignment horizontal="left"/>
    </xf>
    <xf numFmtId="0" fontId="37" fillId="0" borderId="3" xfId="6" applyFont="1" applyBorder="1" applyAlignment="1">
      <alignment horizontal="center" vertical="center" shrinkToFit="1"/>
    </xf>
    <xf numFmtId="0" fontId="37" fillId="0" borderId="5" xfId="6" applyFont="1" applyBorder="1" applyAlignment="1">
      <alignment horizontal="distributed" vertical="center" justifyLastLine="1"/>
    </xf>
    <xf numFmtId="0" fontId="37" fillId="0" borderId="6" xfId="6" applyFont="1" applyBorder="1" applyAlignment="1">
      <alignment horizontal="distributed" vertical="center" justifyLastLine="1"/>
    </xf>
    <xf numFmtId="0" fontId="37" fillId="0" borderId="33" xfId="6" quotePrefix="1" applyFont="1" applyBorder="1" applyAlignment="1">
      <alignment horizontal="center" vertical="center"/>
    </xf>
    <xf numFmtId="0" fontId="37" fillId="0" borderId="33" xfId="6" applyFont="1" applyBorder="1" applyAlignment="1">
      <alignment horizontal="center" vertical="center"/>
    </xf>
    <xf numFmtId="0" fontId="159" fillId="0" borderId="6" xfId="6" applyFont="1" applyBorder="1" applyAlignment="1">
      <alignment vertical="center"/>
    </xf>
    <xf numFmtId="0" fontId="159" fillId="0" borderId="79" xfId="6" applyFont="1" applyBorder="1" applyAlignment="1">
      <alignment vertical="center"/>
    </xf>
    <xf numFmtId="0" fontId="159" fillId="0" borderId="79" xfId="6" applyFont="1" applyBorder="1" applyAlignment="1">
      <alignment vertical="center" wrapText="1"/>
    </xf>
    <xf numFmtId="0" fontId="43" fillId="0" borderId="79" xfId="6" applyFont="1" applyBorder="1" applyAlignment="1">
      <alignment vertical="center" wrapText="1"/>
    </xf>
    <xf numFmtId="0" fontId="43" fillId="0" borderId="5" xfId="6" applyFont="1" applyBorder="1" applyAlignment="1">
      <alignment vertical="center" wrapText="1"/>
    </xf>
    <xf numFmtId="0" fontId="159" fillId="0" borderId="36" xfId="6" quotePrefix="1" applyFont="1" applyBorder="1" applyAlignment="1">
      <alignment horizontal="left" vertical="center" wrapText="1"/>
    </xf>
    <xf numFmtId="0" fontId="159" fillId="0" borderId="106" xfId="6" applyFont="1" applyBorder="1" applyAlignment="1">
      <alignment vertical="center" wrapText="1"/>
    </xf>
    <xf numFmtId="0" fontId="43" fillId="0" borderId="106" xfId="6" applyFont="1" applyBorder="1" applyAlignment="1">
      <alignment vertical="center" wrapText="1"/>
    </xf>
    <xf numFmtId="0" fontId="43" fillId="0" borderId="35" xfId="6" applyFont="1" applyBorder="1" applyAlignment="1">
      <alignment vertical="center" wrapText="1"/>
    </xf>
    <xf numFmtId="0" fontId="37" fillId="0" borderId="0" xfId="6" quotePrefix="1" applyFont="1" applyAlignment="1">
      <alignment horizontal="left" vertical="top" wrapText="1"/>
    </xf>
    <xf numFmtId="0" fontId="37" fillId="0" borderId="0" xfId="6" applyFont="1" applyAlignment="1">
      <alignment vertical="top" wrapText="1"/>
    </xf>
    <xf numFmtId="0" fontId="159" fillId="0" borderId="6" xfId="6" applyFont="1" applyBorder="1" applyAlignment="1">
      <alignment vertical="center" wrapText="1"/>
    </xf>
    <xf numFmtId="0" fontId="159" fillId="0" borderId="6" xfId="6" applyFont="1" applyBorder="1" applyAlignment="1">
      <alignment horizontal="center" vertical="center" wrapText="1" shrinkToFit="1"/>
    </xf>
    <xf numFmtId="0" fontId="159" fillId="0" borderId="79" xfId="6" applyFont="1" applyBorder="1" applyAlignment="1">
      <alignment horizontal="center" vertical="center" shrinkToFit="1"/>
    </xf>
    <xf numFmtId="0" fontId="159" fillId="0" borderId="6" xfId="6" applyFont="1" applyBorder="1" applyAlignment="1">
      <alignment horizontal="center" vertical="center" shrinkToFit="1"/>
    </xf>
    <xf numFmtId="0" fontId="159" fillId="0" borderId="133" xfId="6" applyFont="1" applyBorder="1" applyAlignment="1">
      <alignment vertical="center"/>
    </xf>
    <xf numFmtId="0" fontId="159" fillId="0" borderId="78" xfId="6" applyFont="1" applyBorder="1" applyAlignment="1">
      <alignment vertical="center"/>
    </xf>
    <xf numFmtId="0" fontId="159" fillId="0" borderId="78" xfId="6" applyFont="1" applyBorder="1" applyAlignment="1">
      <alignment vertical="center" wrapText="1"/>
    </xf>
    <xf numFmtId="0" fontId="43" fillId="0" borderId="78" xfId="6" applyFont="1" applyBorder="1" applyAlignment="1">
      <alignment vertical="center" wrapText="1"/>
    </xf>
    <xf numFmtId="0" fontId="43" fillId="0" borderId="124" xfId="6" applyFont="1" applyBorder="1" applyAlignment="1">
      <alignment vertical="center" wrapText="1"/>
    </xf>
    <xf numFmtId="0" fontId="41" fillId="0" borderId="0" xfId="6" applyFont="1" applyAlignment="1">
      <alignment horizontal="left" vertical="center"/>
    </xf>
    <xf numFmtId="0" fontId="37" fillId="0" borderId="222" xfId="6" applyFont="1" applyBorder="1" applyAlignment="1">
      <alignment horizontal="center" vertical="center"/>
    </xf>
    <xf numFmtId="0" fontId="37" fillId="0" borderId="223" xfId="6" applyFont="1" applyBorder="1" applyAlignment="1">
      <alignment horizontal="center" vertical="center"/>
    </xf>
    <xf numFmtId="0" fontId="37" fillId="0" borderId="224" xfId="6" applyFont="1" applyBorder="1" applyAlignment="1">
      <alignment horizontal="center" vertical="center"/>
    </xf>
    <xf numFmtId="0" fontId="37" fillId="0" borderId="0" xfId="14" applyFont="1" applyAlignment="1">
      <alignment vertical="center"/>
    </xf>
    <xf numFmtId="0" fontId="37" fillId="0" borderId="0" xfId="14" applyFont="1" applyAlignment="1">
      <alignment horizontal="left" vertical="center"/>
    </xf>
    <xf numFmtId="0" fontId="37" fillId="0" borderId="110" xfId="14" applyFont="1" applyBorder="1" applyAlignment="1">
      <alignment horizontal="center" vertical="center" wrapText="1"/>
    </xf>
    <xf numFmtId="0" fontId="37" fillId="0" borderId="109" xfId="14" applyFont="1" applyBorder="1" applyAlignment="1">
      <alignment horizontal="center" vertical="center" wrapText="1"/>
    </xf>
    <xf numFmtId="49" fontId="37" fillId="0" borderId="55" xfId="14" applyNumberFormat="1" applyFont="1" applyBorder="1" applyAlignment="1">
      <alignment horizontal="distributed" vertical="center" justifyLastLine="1"/>
    </xf>
    <xf numFmtId="49" fontId="37" fillId="0" borderId="233" xfId="14" applyNumberFormat="1" applyFont="1" applyBorder="1" applyAlignment="1">
      <alignment horizontal="distributed" vertical="center" justifyLastLine="1"/>
    </xf>
    <xf numFmtId="0" fontId="37" fillId="0" borderId="36" xfId="14" applyFont="1" applyBorder="1" applyAlignment="1">
      <alignment horizontal="left" vertical="center" wrapText="1"/>
    </xf>
    <xf numFmtId="0" fontId="37" fillId="0" borderId="216" xfId="14" applyFont="1" applyBorder="1" applyAlignment="1">
      <alignment horizontal="left" vertical="center" wrapText="1"/>
    </xf>
    <xf numFmtId="0" fontId="37" fillId="0" borderId="106" xfId="14" applyFont="1" applyBorder="1" applyAlignment="1">
      <alignment horizontal="distributed" vertical="center" justifyLastLine="1"/>
    </xf>
    <xf numFmtId="0" fontId="37" fillId="0" borderId="234" xfId="14" applyFont="1" applyBorder="1" applyAlignment="1">
      <alignment horizontal="distributed" vertical="center" justifyLastLine="1"/>
    </xf>
    <xf numFmtId="0" fontId="171" fillId="0" borderId="234" xfId="13" applyBorder="1" applyAlignment="1">
      <alignment horizontal="distributed" vertical="center" justifyLastLine="1"/>
    </xf>
    <xf numFmtId="49" fontId="37" fillId="0" borderId="27" xfId="14" applyNumberFormat="1" applyFont="1" applyBorder="1" applyAlignment="1">
      <alignment horizontal="distributed" vertical="center" justifyLastLine="1"/>
    </xf>
    <xf numFmtId="0" fontId="37" fillId="0" borderId="0" xfId="14" applyFont="1" applyAlignment="1">
      <alignment horizontal="left" vertical="center" wrapText="1"/>
    </xf>
    <xf numFmtId="0" fontId="37" fillId="0" borderId="200" xfId="14" applyFont="1" applyBorder="1" applyAlignment="1">
      <alignment horizontal="distributed" vertical="center" justifyLastLine="1"/>
    </xf>
    <xf numFmtId="0" fontId="37" fillId="0" borderId="78" xfId="14" applyFont="1" applyBorder="1" applyAlignment="1">
      <alignment horizontal="distributed" vertical="center" justifyLastLine="1"/>
    </xf>
    <xf numFmtId="0" fontId="37" fillId="0" borderId="200" xfId="14" quotePrefix="1" applyFont="1" applyBorder="1" applyAlignment="1">
      <alignment horizontal="left" vertical="center" wrapText="1" justifyLastLine="1"/>
    </xf>
    <xf numFmtId="0" fontId="37" fillId="0" borderId="200" xfId="14" applyFont="1" applyBorder="1" applyAlignment="1">
      <alignment horizontal="left" vertical="center" wrapText="1" justifyLastLine="1"/>
    </xf>
    <xf numFmtId="0" fontId="37" fillId="0" borderId="110" xfId="14" applyFont="1" applyBorder="1" applyAlignment="1">
      <alignment vertical="center" wrapText="1"/>
    </xf>
    <xf numFmtId="0" fontId="37" fillId="0" borderId="107" xfId="14" applyFont="1" applyBorder="1" applyAlignment="1">
      <alignment vertical="center"/>
    </xf>
    <xf numFmtId="49" fontId="37" fillId="0" borderId="56" xfId="14" applyNumberFormat="1" applyFont="1" applyBorder="1" applyAlignment="1">
      <alignment horizontal="distributed" vertical="center" justifyLastLine="1"/>
    </xf>
    <xf numFmtId="0" fontId="37" fillId="0" borderId="133" xfId="14" applyFont="1" applyBorder="1" applyAlignment="1">
      <alignment horizontal="left" vertical="center"/>
    </xf>
    <xf numFmtId="0" fontId="171" fillId="0" borderId="78" xfId="13" applyBorder="1" applyAlignment="1">
      <alignment horizontal="distributed" vertical="center" justifyLastLine="1"/>
    </xf>
    <xf numFmtId="0" fontId="37" fillId="0" borderId="106" xfId="14" quotePrefix="1" applyFont="1" applyBorder="1" applyAlignment="1">
      <alignment horizontal="center" vertical="center" wrapText="1" justifyLastLine="1"/>
    </xf>
    <xf numFmtId="0" fontId="37" fillId="0" borderId="78" xfId="14" applyFont="1" applyBorder="1" applyAlignment="1">
      <alignment horizontal="center" vertical="center" wrapText="1" justifyLastLine="1"/>
    </xf>
    <xf numFmtId="0" fontId="5" fillId="0" borderId="78" xfId="13" applyFont="1" applyBorder="1" applyAlignment="1">
      <alignment horizontal="distributed" vertical="center" justifyLastLine="1"/>
    </xf>
    <xf numFmtId="0" fontId="37" fillId="0" borderId="106" xfId="14" quotePrefix="1" applyFont="1" applyBorder="1" applyAlignment="1">
      <alignment horizontal="center" vertical="center" wrapText="1"/>
    </xf>
    <xf numFmtId="0" fontId="37" fillId="0" borderId="78" xfId="14" applyFont="1" applyBorder="1" applyAlignment="1">
      <alignment horizontal="center" vertical="center"/>
    </xf>
    <xf numFmtId="0" fontId="43" fillId="0" borderId="110" xfId="14" quotePrefix="1" applyFont="1" applyBorder="1" applyAlignment="1">
      <alignment horizontal="center" vertical="center" wrapText="1" justifyLastLine="1"/>
    </xf>
    <xf numFmtId="0" fontId="43" fillId="0" borderId="109" xfId="14" applyFont="1" applyBorder="1" applyAlignment="1">
      <alignment horizontal="center" vertical="center" justifyLastLine="1"/>
    </xf>
    <xf numFmtId="0" fontId="37" fillId="0" borderId="33" xfId="14" applyFont="1" applyBorder="1" applyAlignment="1">
      <alignment horizontal="left" vertical="center"/>
    </xf>
    <xf numFmtId="0" fontId="37" fillId="0" borderId="3" xfId="14" applyFont="1" applyBorder="1" applyAlignment="1">
      <alignment horizontal="left" vertical="center"/>
    </xf>
    <xf numFmtId="0" fontId="37" fillId="0" borderId="106" xfId="14" quotePrefix="1" applyFont="1" applyBorder="1" applyAlignment="1">
      <alignment horizontal="left" vertical="center" wrapText="1" justifyLastLine="1"/>
    </xf>
    <xf numFmtId="0" fontId="37" fillId="0" borderId="78" xfId="14" applyFont="1" applyBorder="1" applyAlignment="1">
      <alignment horizontal="left" vertical="center" justifyLastLine="1"/>
    </xf>
    <xf numFmtId="0" fontId="37" fillId="0" borderId="106" xfId="14" applyFont="1" applyBorder="1" applyAlignment="1">
      <alignment horizontal="center" vertical="center" wrapText="1"/>
    </xf>
    <xf numFmtId="0" fontId="37" fillId="0" borderId="109" xfId="14" applyFont="1" applyBorder="1" applyAlignment="1">
      <alignment horizontal="center" vertical="center"/>
    </xf>
    <xf numFmtId="0" fontId="37" fillId="0" borderId="162" xfId="14" applyFont="1" applyBorder="1" applyAlignment="1">
      <alignment horizontal="center" vertical="center" wrapText="1"/>
    </xf>
    <xf numFmtId="0" fontId="37" fillId="0" borderId="163" xfId="14" applyFont="1" applyBorder="1" applyAlignment="1">
      <alignment horizontal="center" vertical="center" wrapText="1"/>
    </xf>
    <xf numFmtId="0" fontId="37" fillId="0" borderId="233" xfId="14" applyFont="1" applyBorder="1" applyAlignment="1">
      <alignment horizontal="distributed" vertical="center" justifyLastLine="1"/>
    </xf>
    <xf numFmtId="0" fontId="37" fillId="0" borderId="36" xfId="14" applyFont="1" applyBorder="1" applyAlignment="1">
      <alignment horizontal="left" vertical="center"/>
    </xf>
    <xf numFmtId="0" fontId="171" fillId="0" borderId="216" xfId="13" applyBorder="1" applyAlignment="1">
      <alignment horizontal="left" vertical="center"/>
    </xf>
    <xf numFmtId="0" fontId="5" fillId="0" borderId="234" xfId="13" applyFont="1" applyBorder="1" applyAlignment="1">
      <alignment horizontal="distributed" vertical="center" justifyLastLine="1"/>
    </xf>
    <xf numFmtId="0" fontId="43" fillId="0" borderId="106" xfId="14" quotePrefix="1" applyFont="1" applyBorder="1" applyAlignment="1">
      <alignment horizontal="center" vertical="center" wrapText="1" justifyLastLine="1"/>
    </xf>
    <xf numFmtId="0" fontId="43" fillId="0" borderId="234" xfId="14" applyFont="1" applyBorder="1" applyAlignment="1">
      <alignment horizontal="center" vertical="center" wrapText="1" justifyLastLine="1"/>
    </xf>
    <xf numFmtId="0" fontId="37" fillId="0" borderId="234" xfId="14" applyFont="1" applyBorder="1" applyAlignment="1">
      <alignment horizontal="center" vertical="center"/>
    </xf>
    <xf numFmtId="0" fontId="37" fillId="0" borderId="110" xfId="14" quotePrefix="1" applyFont="1" applyBorder="1" applyAlignment="1">
      <alignment horizontal="center" vertical="center" wrapText="1" justifyLastLine="1"/>
    </xf>
    <xf numFmtId="0" fontId="37" fillId="0" borderId="107" xfId="14" applyFont="1" applyBorder="1" applyAlignment="1">
      <alignment horizontal="center" vertical="center" justifyLastLine="1"/>
    </xf>
    <xf numFmtId="0" fontId="58" fillId="0" borderId="235" xfId="14" applyFont="1" applyBorder="1" applyAlignment="1">
      <alignment vertical="distributed" textRotation="255" justifyLastLine="1"/>
    </xf>
    <xf numFmtId="0" fontId="171" fillId="0" borderId="63" xfId="13" applyBorder="1"/>
    <xf numFmtId="0" fontId="171" fillId="0" borderId="227" xfId="13" applyBorder="1"/>
    <xf numFmtId="49" fontId="43" fillId="0" borderId="67" xfId="14" applyNumberFormat="1" applyFont="1" applyBorder="1" applyAlignment="1">
      <alignment horizontal="distributed" vertical="center" justifyLastLine="1"/>
    </xf>
    <xf numFmtId="0" fontId="37" fillId="0" borderId="215" xfId="14" quotePrefix="1" applyFont="1" applyBorder="1" applyAlignment="1">
      <alignment vertical="center"/>
    </xf>
    <xf numFmtId="0" fontId="37" fillId="0" borderId="133" xfId="14" quotePrefix="1" applyFont="1" applyBorder="1" applyAlignment="1">
      <alignment vertical="center"/>
    </xf>
    <xf numFmtId="0" fontId="37" fillId="0" borderId="91" xfId="14" applyFont="1" applyBorder="1" applyAlignment="1">
      <alignment horizontal="distributed" vertical="center" justifyLastLine="1"/>
    </xf>
    <xf numFmtId="0" fontId="37" fillId="0" borderId="91" xfId="14" quotePrefix="1" applyFont="1" applyBorder="1" applyAlignment="1">
      <alignment horizontal="left" vertical="center" wrapText="1" justifyLastLine="1"/>
    </xf>
    <xf numFmtId="0" fontId="37" fillId="0" borderId="78" xfId="14" applyFont="1" applyBorder="1" applyAlignment="1">
      <alignment horizontal="left" vertical="center" wrapText="1" justifyLastLine="1"/>
    </xf>
    <xf numFmtId="0" fontId="37" fillId="0" borderId="92" xfId="14" applyFont="1" applyBorder="1" applyAlignment="1">
      <alignment horizontal="center" vertical="center" wrapText="1"/>
    </xf>
    <xf numFmtId="0" fontId="37" fillId="0" borderId="236" xfId="14" applyFont="1" applyBorder="1" applyAlignment="1">
      <alignment horizontal="center" vertical="center"/>
    </xf>
    <xf numFmtId="49" fontId="43" fillId="0" borderId="55" xfId="14" applyNumberFormat="1" applyFont="1" applyBorder="1" applyAlignment="1">
      <alignment horizontal="distributed" vertical="center" justifyLastLine="1"/>
    </xf>
    <xf numFmtId="0" fontId="37" fillId="0" borderId="110" xfId="14" applyFont="1" applyBorder="1" applyAlignment="1">
      <alignment horizontal="distributed" vertical="center" justifyLastLine="1"/>
    </xf>
    <xf numFmtId="0" fontId="37" fillId="0" borderId="109" xfId="14" applyFont="1" applyBorder="1" applyAlignment="1">
      <alignment horizontal="distributed" vertical="center" justifyLastLine="1"/>
    </xf>
    <xf numFmtId="0" fontId="37" fillId="0" borderId="106" xfId="14" applyFont="1" applyBorder="1" applyAlignment="1">
      <alignment horizontal="left" vertical="center" wrapText="1" justifyLastLine="1"/>
    </xf>
    <xf numFmtId="0" fontId="37" fillId="0" borderId="92" xfId="14" quotePrefix="1" applyFont="1" applyBorder="1" applyAlignment="1">
      <alignment horizontal="distributed" vertical="center" indent="1"/>
    </xf>
    <xf numFmtId="0" fontId="37" fillId="0" borderId="109" xfId="14" applyFont="1" applyBorder="1" applyAlignment="1">
      <alignment horizontal="distributed" vertical="center" indent="1"/>
    </xf>
    <xf numFmtId="0" fontId="37" fillId="0" borderId="106" xfId="14" applyFont="1" applyBorder="1" applyAlignment="1">
      <alignment horizontal="distributed" vertical="center" wrapText="1" justifyLastLine="1"/>
    </xf>
    <xf numFmtId="0" fontId="37" fillId="0" borderId="91" xfId="14" quotePrefix="1" applyFont="1" applyBorder="1" applyAlignment="1">
      <alignment horizontal="center" vertical="center" justifyLastLine="1"/>
    </xf>
    <xf numFmtId="0" fontId="37" fillId="0" borderId="78" xfId="14" applyFont="1" applyBorder="1" applyAlignment="1">
      <alignment horizontal="center" vertical="center" justifyLastLine="1"/>
    </xf>
    <xf numFmtId="0" fontId="37" fillId="0" borderId="91" xfId="14" quotePrefix="1" applyFont="1" applyBorder="1" applyAlignment="1">
      <alignment horizontal="center" vertical="center" wrapText="1"/>
    </xf>
    <xf numFmtId="0" fontId="37" fillId="0" borderId="91" xfId="14" applyFont="1" applyBorder="1" applyAlignment="1">
      <alignment horizontal="distributed" vertical="center" wrapText="1" justifyLastLine="1"/>
    </xf>
    <xf numFmtId="0" fontId="37" fillId="0" borderId="33" xfId="14" applyFont="1" applyBorder="1" applyAlignment="1">
      <alignment horizontal="left" vertical="center" wrapText="1"/>
    </xf>
    <xf numFmtId="0" fontId="37" fillId="0" borderId="27" xfId="14" applyFont="1" applyBorder="1" applyAlignment="1">
      <alignment horizontal="distributed" vertical="center" justifyLastLine="1"/>
    </xf>
    <xf numFmtId="0" fontId="37" fillId="0" borderId="56" xfId="14" applyFont="1" applyBorder="1" applyAlignment="1">
      <alignment horizontal="distributed" vertical="center" justifyLastLine="1"/>
    </xf>
    <xf numFmtId="0" fontId="37" fillId="0" borderId="106" xfId="14" quotePrefix="1" applyFont="1" applyBorder="1" applyAlignment="1">
      <alignment horizontal="center" vertical="center" justifyLastLine="1"/>
    </xf>
    <xf numFmtId="0" fontId="5" fillId="0" borderId="200" xfId="13" applyFont="1" applyBorder="1" applyAlignment="1">
      <alignment horizontal="center" vertical="center" justifyLastLine="1"/>
    </xf>
    <xf numFmtId="0" fontId="5" fillId="0" borderId="78" xfId="13" applyFont="1" applyBorder="1" applyAlignment="1">
      <alignment horizontal="center" vertical="center" justifyLastLine="1"/>
    </xf>
    <xf numFmtId="0" fontId="37" fillId="0" borderId="161" xfId="14" applyFont="1" applyBorder="1" applyAlignment="1">
      <alignment horizontal="distributed" vertical="center" wrapText="1" justifyLastLine="1"/>
    </xf>
    <xf numFmtId="0" fontId="5" fillId="0" borderId="237" xfId="13" applyFont="1" applyBorder="1" applyAlignment="1">
      <alignment horizontal="distributed" vertical="center" justifyLastLine="1"/>
    </xf>
    <xf numFmtId="0" fontId="37" fillId="0" borderId="36" xfId="14" applyFont="1" applyBorder="1" applyAlignment="1">
      <alignment horizontal="distributed" vertical="center" indent="2"/>
    </xf>
    <xf numFmtId="0" fontId="37" fillId="0" borderId="133" xfId="14" applyFont="1" applyBorder="1" applyAlignment="1">
      <alignment horizontal="distributed" vertical="center" indent="2"/>
    </xf>
    <xf numFmtId="0" fontId="37" fillId="0" borderId="106" xfId="14" quotePrefix="1" applyFont="1" applyBorder="1" applyAlignment="1">
      <alignment horizontal="distributed" vertical="center" wrapText="1" indent="1"/>
    </xf>
    <xf numFmtId="0" fontId="37" fillId="0" borderId="78" xfId="14" applyFont="1" applyBorder="1" applyAlignment="1">
      <alignment horizontal="distributed" vertical="center" indent="1"/>
    </xf>
    <xf numFmtId="0" fontId="37" fillId="0" borderId="76" xfId="14" applyFont="1" applyBorder="1" applyAlignment="1">
      <alignment horizontal="left" vertical="center"/>
    </xf>
    <xf numFmtId="0" fontId="184" fillId="0" borderId="106" xfId="14" quotePrefix="1" applyFont="1" applyBorder="1" applyAlignment="1">
      <alignment horizontal="center" vertical="center" wrapText="1" justifyLastLine="1"/>
    </xf>
    <xf numFmtId="0" fontId="184" fillId="0" borderId="234" xfId="14" applyFont="1" applyBorder="1" applyAlignment="1">
      <alignment horizontal="center" vertical="center" justifyLastLine="1"/>
    </xf>
    <xf numFmtId="0" fontId="37" fillId="0" borderId="234" xfId="14" applyFont="1" applyBorder="1" applyAlignment="1">
      <alignment horizontal="left" vertical="center" justifyLastLine="1"/>
    </xf>
    <xf numFmtId="0" fontId="37" fillId="0" borderId="106" xfId="14" quotePrefix="1" applyFont="1" applyBorder="1" applyAlignment="1">
      <alignment horizontal="center" vertical="center"/>
    </xf>
    <xf numFmtId="0" fontId="43" fillId="0" borderId="110" xfId="14" applyFont="1" applyBorder="1" applyAlignment="1">
      <alignment horizontal="distributed" vertical="center" wrapText="1" justifyLastLine="1"/>
    </xf>
    <xf numFmtId="0" fontId="171" fillId="0" borderId="107" xfId="13" applyBorder="1"/>
    <xf numFmtId="0" fontId="37" fillId="0" borderId="231" xfId="14" applyFont="1" applyBorder="1" applyAlignment="1">
      <alignment horizontal="distributed" vertical="center" justifyLastLine="1"/>
    </xf>
    <xf numFmtId="0" fontId="37" fillId="0" borderId="232" xfId="14" applyFont="1" applyBorder="1" applyAlignment="1">
      <alignment horizontal="distributed" vertical="center" justifyLastLine="1"/>
    </xf>
    <xf numFmtId="0" fontId="37" fillId="0" borderId="110" xfId="14" quotePrefix="1" applyFont="1" applyBorder="1" applyAlignment="1">
      <alignment horizontal="distributed" vertical="center" wrapText="1" indent="1"/>
    </xf>
    <xf numFmtId="0" fontId="37" fillId="0" borderId="36" xfId="14" quotePrefix="1" applyFont="1" applyBorder="1" applyAlignment="1">
      <alignment horizontal="center" vertical="center" wrapText="1" justifyLastLine="1"/>
    </xf>
    <xf numFmtId="0" fontId="37" fillId="0" borderId="133" xfId="14" applyFont="1" applyBorder="1" applyAlignment="1">
      <alignment horizontal="center" vertical="center" wrapText="1" justifyLastLine="1"/>
    </xf>
    <xf numFmtId="0" fontId="37" fillId="0" borderId="36" xfId="14" applyFont="1" applyBorder="1" applyAlignment="1">
      <alignment horizontal="center" vertical="center" justifyLastLine="1"/>
    </xf>
    <xf numFmtId="0" fontId="37" fillId="0" borderId="133" xfId="14" applyFont="1" applyBorder="1" applyAlignment="1">
      <alignment horizontal="center" vertical="center" justifyLastLine="1"/>
    </xf>
    <xf numFmtId="0" fontId="37" fillId="0" borderId="232" xfId="14" applyFont="1" applyBorder="1" applyAlignment="1">
      <alignment horizontal="distributed" vertical="center" wrapText="1" justifyLastLine="1"/>
    </xf>
    <xf numFmtId="0" fontId="149" fillId="0" borderId="0" xfId="14" applyFont="1" applyAlignment="1">
      <alignment vertical="center"/>
    </xf>
    <xf numFmtId="0" fontId="150" fillId="0" borderId="0" xfId="14" applyFont="1" applyAlignment="1">
      <alignment vertical="center"/>
    </xf>
    <xf numFmtId="0" fontId="58" fillId="0" borderId="225" xfId="14" applyFont="1" applyBorder="1" applyAlignment="1">
      <alignment horizontal="distributed" vertical="center" wrapText="1" justifyLastLine="1"/>
    </xf>
    <xf numFmtId="0" fontId="59" fillId="0" borderId="84" xfId="14" applyFont="1" applyBorder="1" applyAlignment="1">
      <alignment horizontal="distributed" vertical="center" wrapText="1" justifyLastLine="1"/>
    </xf>
    <xf numFmtId="0" fontId="58" fillId="0" borderId="226" xfId="14" applyFont="1" applyBorder="1" applyAlignment="1">
      <alignment vertical="distributed" textRotation="255" justifyLastLine="1"/>
    </xf>
    <xf numFmtId="49" fontId="43" fillId="0" borderId="228" xfId="14" applyNumberFormat="1" applyFont="1" applyBorder="1" applyAlignment="1">
      <alignment horizontal="distributed" vertical="center" justifyLastLine="1"/>
    </xf>
    <xf numFmtId="0" fontId="37" fillId="0" borderId="229" xfId="14" applyFont="1" applyBorder="1" applyAlignment="1">
      <alignment horizontal="left" vertical="center" wrapText="1"/>
    </xf>
    <xf numFmtId="0" fontId="37" fillId="0" borderId="230" xfId="14" applyFont="1" applyBorder="1" applyAlignment="1">
      <alignment horizontal="center" vertical="center" justifyLastLine="1"/>
    </xf>
    <xf numFmtId="0" fontId="37" fillId="0" borderId="3" xfId="14" applyFont="1" applyBorder="1" applyAlignment="1">
      <alignment horizontal="left" vertical="center" wrapText="1"/>
    </xf>
    <xf numFmtId="0" fontId="36" fillId="0" borderId="244" xfId="0" applyFont="1" applyBorder="1" applyAlignment="1">
      <alignment horizontal="distributed" vertical="center" justifyLastLine="1"/>
    </xf>
    <xf numFmtId="0" fontId="36" fillId="0" borderId="245" xfId="0" applyFont="1" applyBorder="1" applyAlignment="1">
      <alignment horizontal="distributed" vertical="center" justifyLastLine="1"/>
    </xf>
    <xf numFmtId="0" fontId="42" fillId="10" borderId="244" xfId="0" applyFont="1" applyFill="1" applyBorder="1" applyAlignment="1">
      <alignment horizontal="distributed" vertical="center" justifyLastLine="1"/>
    </xf>
    <xf numFmtId="0" fontId="42" fillId="0" borderId="245" xfId="0" applyFont="1" applyBorder="1" applyAlignment="1">
      <alignment horizontal="distributed" vertical="center" justifyLastLine="1"/>
    </xf>
    <xf numFmtId="0" fontId="42" fillId="0" borderId="244" xfId="0" applyFont="1" applyBorder="1" applyAlignment="1">
      <alignment horizontal="distributed" vertical="center" justifyLastLine="1"/>
    </xf>
    <xf numFmtId="0" fontId="42" fillId="0" borderId="241" xfId="0" applyFont="1" applyBorder="1" applyAlignment="1">
      <alignment horizontal="distributed" vertical="center" justifyLastLine="1"/>
    </xf>
    <xf numFmtId="0" fontId="42" fillId="10" borderId="245" xfId="0" applyFont="1" applyFill="1" applyBorder="1" applyAlignment="1">
      <alignment horizontal="distributed" vertical="center" justifyLastLine="1"/>
    </xf>
    <xf numFmtId="0" fontId="36" fillId="10" borderId="241" xfId="0" applyFont="1" applyFill="1" applyBorder="1" applyAlignment="1">
      <alignment horizontal="distributed" vertical="center" justifyLastLine="1"/>
    </xf>
    <xf numFmtId="0" fontId="15" fillId="10" borderId="242" xfId="19" applyFont="1" applyFill="1" applyBorder="1" applyAlignment="1">
      <alignment horizontal="center"/>
    </xf>
    <xf numFmtId="0" fontId="0" fillId="10" borderId="242" xfId="0" applyFill="1" applyBorder="1"/>
    <xf numFmtId="0" fontId="6" fillId="12" borderId="199" xfId="19" applyFont="1" applyFill="1" applyBorder="1" applyAlignment="1">
      <alignment horizontal="distributed" vertical="center" justifyLastLine="1"/>
    </xf>
    <xf numFmtId="0" fontId="5" fillId="0" borderId="198" xfId="19" applyBorder="1" applyAlignment="1">
      <alignment horizontal="distributed" vertical="center" justifyLastLine="1"/>
    </xf>
    <xf numFmtId="0" fontId="5" fillId="0" borderId="197" xfId="19" applyBorder="1" applyAlignment="1">
      <alignment horizontal="distributed" vertical="center" justifyLastLine="1"/>
    </xf>
    <xf numFmtId="0" fontId="6" fillId="3" borderId="199" xfId="19" applyFont="1" applyFill="1" applyBorder="1" applyAlignment="1">
      <alignment horizontal="distributed" vertical="center" justifyLastLine="1"/>
    </xf>
    <xf numFmtId="0" fontId="13" fillId="12" borderId="199" xfId="19" applyFont="1" applyFill="1" applyBorder="1" applyAlignment="1">
      <alignment horizontal="distributed" vertical="center" wrapText="1" justifyLastLine="1"/>
    </xf>
    <xf numFmtId="0" fontId="13" fillId="0" borderId="198" xfId="19" applyFont="1" applyBorder="1" applyAlignment="1">
      <alignment horizontal="distributed" vertical="center" justifyLastLine="1"/>
    </xf>
    <xf numFmtId="0" fontId="13" fillId="0" borderId="212" xfId="19" applyFont="1" applyBorder="1" applyAlignment="1">
      <alignment horizontal="distributed" vertical="center" justifyLastLine="1"/>
    </xf>
    <xf numFmtId="0" fontId="19" fillId="0" borderId="65" xfId="19" applyFont="1" applyBorder="1" applyAlignment="1">
      <alignment horizontal="distributed" vertical="center" justifyLastLine="1"/>
    </xf>
    <xf numFmtId="0" fontId="5" fillId="0" borderId="215" xfId="19" applyBorder="1" applyAlignment="1">
      <alignment horizontal="distributed" vertical="center" justifyLastLine="1"/>
    </xf>
    <xf numFmtId="0" fontId="19" fillId="0" borderId="3" xfId="19" applyFont="1" applyBorder="1" applyAlignment="1">
      <alignment horizontal="distributed" vertical="center" justifyLastLine="1"/>
    </xf>
    <xf numFmtId="0" fontId="5" fillId="0" borderId="133" xfId="19" applyBorder="1" applyAlignment="1">
      <alignment horizontal="distributed" vertical="center" justifyLastLine="1"/>
    </xf>
    <xf numFmtId="176" fontId="60" fillId="0" borderId="238" xfId="0" applyNumberFormat="1" applyFont="1" applyBorder="1" applyAlignment="1">
      <alignment horizontal="distributed" vertical="center" wrapText="1" justifyLastLine="1"/>
    </xf>
    <xf numFmtId="0" fontId="42" fillId="0" borderId="184" xfId="0" applyFont="1" applyBorder="1" applyAlignment="1">
      <alignment horizontal="distributed" vertical="center" wrapText="1" justifyLastLine="1"/>
    </xf>
    <xf numFmtId="0" fontId="42" fillId="0" borderId="6" xfId="0" applyFont="1" applyBorder="1" applyAlignment="1">
      <alignment horizontal="distributed" vertical="center" wrapText="1" justifyLastLine="1"/>
    </xf>
    <xf numFmtId="0" fontId="42" fillId="10" borderId="241" xfId="0" applyFont="1" applyFill="1" applyBorder="1" applyAlignment="1">
      <alignment horizontal="distributed" vertical="center" justifyLastLine="1"/>
    </xf>
  </cellXfs>
  <cellStyles count="21">
    <cellStyle name="ハイパーリンク" xfId="1" builtinId="8"/>
    <cellStyle name="桁区切り" xfId="2" builtinId="6"/>
    <cellStyle name="桁区切り 2" xfId="3" xr:uid="{00000000-0005-0000-0000-000002000000}"/>
    <cellStyle name="標準" xfId="0" builtinId="0"/>
    <cellStyle name="標準 10" xfId="4" xr:uid="{00000000-0005-0000-0000-000004000000}"/>
    <cellStyle name="標準 2" xfId="5" xr:uid="{00000000-0005-0000-0000-000005000000}"/>
    <cellStyle name="標準 2 2" xfId="6" xr:uid="{00000000-0005-0000-0000-000006000000}"/>
    <cellStyle name="標準 3" xfId="7" xr:uid="{00000000-0005-0000-0000-000007000000}"/>
    <cellStyle name="標準 4"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 9" xfId="13" xr:uid="{00000000-0005-0000-0000-00000D000000}"/>
    <cellStyle name="標準_《公表資料》" xfId="14" xr:uid="{00000000-0005-0000-0000-00000E000000}"/>
    <cellStyle name="標準_0712P確認用ＣＩ外木２" xfId="15" xr:uid="{00000000-0005-0000-0000-00000F000000}"/>
    <cellStyle name="標準_Book1_都道府県用CI計算エクセルファイル（鎌田作業用）" xfId="16" xr:uid="{00000000-0005-0000-0000-000010000000}"/>
    <cellStyle name="標準_ＣＩ公表用資料（案）" xfId="17" xr:uid="{00000000-0005-0000-0000-000011000000}"/>
    <cellStyle name="標準_個別系列A4版" xfId="18" xr:uid="{00000000-0005-0000-0000-000012000000}"/>
    <cellStyle name="標準_公表資料用" xfId="19" xr:uid="{00000000-0005-0000-0000-000013000000}"/>
    <cellStyle name="未定義" xfId="20" xr:uid="{00000000-0005-0000-0000-000014000000}"/>
  </cellStyles>
  <dxfs count="226">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solid">
          <bgColor indexed="43"/>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indexed="10"/>
      </font>
    </dxf>
    <dxf>
      <font>
        <b/>
        <i/>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charts/_rels/chart1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457143055496826E-2"/>
          <c:y val="3.0004596883016741E-2"/>
          <c:w val="0.92072875827760026"/>
          <c:h val="0.89394041846464112"/>
        </c:manualLayout>
      </c:layout>
      <c:lineChart>
        <c:grouping val="standard"/>
        <c:varyColors val="0"/>
        <c:ser>
          <c:idx val="2"/>
          <c:order val="0"/>
          <c:tx>
            <c:strRef>
              <c:f>グラフデータ!$V$9</c:f>
              <c:strCache>
                <c:ptCount val="1"/>
                <c:pt idx="0">
                  <c:v>同・７か月後方移動平均</c:v>
                </c:pt>
              </c:strCache>
            </c:strRef>
          </c:tx>
          <c:spPr>
            <a:ln w="25400">
              <a:solidFill>
                <a:srgbClr val="99CCFF"/>
              </a:solidFill>
              <a:prstDash val="sysDash"/>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グラフデータ!$V$364:$V$411</c:f>
              <c:numCache>
                <c:formatCode>0.00</c:formatCode>
                <c:ptCount val="48"/>
                <c:pt idx="0">
                  <c:v>153.77142857142857</c:v>
                </c:pt>
                <c:pt idx="1">
                  <c:v>152.48571428571427</c:v>
                </c:pt>
                <c:pt idx="2">
                  <c:v>150.97142857142856</c:v>
                </c:pt>
                <c:pt idx="3">
                  <c:v>148.25714285714284</c:v>
                </c:pt>
                <c:pt idx="4">
                  <c:v>146.95714285714283</c:v>
                </c:pt>
                <c:pt idx="5">
                  <c:v>144.97142857142859</c:v>
                </c:pt>
                <c:pt idx="6">
                  <c:v>143.04285714285714</c:v>
                </c:pt>
                <c:pt idx="7">
                  <c:v>140.04285714285714</c:v>
                </c:pt>
                <c:pt idx="8">
                  <c:v>137.14285714285714</c:v>
                </c:pt>
                <c:pt idx="9">
                  <c:v>134.85714285714286</c:v>
                </c:pt>
                <c:pt idx="10">
                  <c:v>132.71428571428572</c:v>
                </c:pt>
                <c:pt idx="11">
                  <c:v>131.22857142857143</c:v>
                </c:pt>
                <c:pt idx="12">
                  <c:v>128.9</c:v>
                </c:pt>
                <c:pt idx="13">
                  <c:v>127.92857142857143</c:v>
                </c:pt>
                <c:pt idx="14">
                  <c:v>128.14285714285714</c:v>
                </c:pt>
                <c:pt idx="15">
                  <c:v>128.98571428571429</c:v>
                </c:pt>
                <c:pt idx="16">
                  <c:v>130.01428571428571</c:v>
                </c:pt>
                <c:pt idx="17">
                  <c:v>131.28571428571428</c:v>
                </c:pt>
                <c:pt idx="18">
                  <c:v>131.49999999999997</c:v>
                </c:pt>
                <c:pt idx="19">
                  <c:v>132.72857142857143</c:v>
                </c:pt>
                <c:pt idx="20">
                  <c:v>134.12857142857143</c:v>
                </c:pt>
                <c:pt idx="21">
                  <c:v>136.49999999999997</c:v>
                </c:pt>
                <c:pt idx="22">
                  <c:v>137.44285714285712</c:v>
                </c:pt>
                <c:pt idx="23">
                  <c:v>138.07142857142858</c:v>
                </c:pt>
                <c:pt idx="24">
                  <c:v>139.87142857142857</c:v>
                </c:pt>
                <c:pt idx="25">
                  <c:v>142.54285714285714</c:v>
                </c:pt>
                <c:pt idx="26">
                  <c:v>145.32857142857142</c:v>
                </c:pt>
                <c:pt idx="27">
                  <c:v>145.48571428571429</c:v>
                </c:pt>
                <c:pt idx="28">
                  <c:v>144.31428571428572</c:v>
                </c:pt>
                <c:pt idx="29">
                  <c:v>143.8857142857143</c:v>
                </c:pt>
                <c:pt idx="30">
                  <c:v>142.95714285714286</c:v>
                </c:pt>
                <c:pt idx="31">
                  <c:v>140.88571428571427</c:v>
                </c:pt>
                <c:pt idx="32">
                  <c:v>138.48571428571429</c:v>
                </c:pt>
                <c:pt idx="33">
                  <c:v>135.71428571428572</c:v>
                </c:pt>
                <c:pt idx="34">
                  <c:v>135.55714285714285</c:v>
                </c:pt>
                <c:pt idx="35">
                  <c:v>134.22857142857143</c:v>
                </c:pt>
                <c:pt idx="36">
                  <c:v>134.58571428571429</c:v>
                </c:pt>
                <c:pt idx="37">
                  <c:v>136.12857142857143</c:v>
                </c:pt>
                <c:pt idx="38">
                  <c:v>137.94285714285715</c:v>
                </c:pt>
              </c:numCache>
            </c:numRef>
          </c:val>
          <c:smooth val="0"/>
          <c:extLst>
            <c:ext xmlns:c16="http://schemas.microsoft.com/office/drawing/2014/chart" uri="{C3380CC4-5D6E-409C-BE32-E72D297353CC}">
              <c16:uniqueId val="{00000000-960E-4661-8226-85C6D78605BF}"/>
            </c:ext>
          </c:extLst>
        </c:ser>
        <c:ser>
          <c:idx val="1"/>
          <c:order val="1"/>
          <c:tx>
            <c:strRef>
              <c:f>グラフデータ!$N$5</c:f>
              <c:strCache>
                <c:ptCount val="1"/>
                <c:pt idx="0">
                  <c:v>同・３か月後方移動平均</c:v>
                </c:pt>
              </c:strCache>
            </c:strRef>
          </c:tx>
          <c:spPr>
            <a:ln w="25400">
              <a:solidFill>
                <a:srgbClr val="FF99CC"/>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グラフデータ!$N$364:$N$411</c:f>
              <c:numCache>
                <c:formatCode>0.00</c:formatCode>
                <c:ptCount val="48"/>
                <c:pt idx="0">
                  <c:v>151.43333333333331</c:v>
                </c:pt>
                <c:pt idx="1">
                  <c:v>149.70000000000002</c:v>
                </c:pt>
                <c:pt idx="2">
                  <c:v>148.33333333333334</c:v>
                </c:pt>
                <c:pt idx="3">
                  <c:v>145.03333333333333</c:v>
                </c:pt>
                <c:pt idx="4">
                  <c:v>141.70000000000002</c:v>
                </c:pt>
                <c:pt idx="5">
                  <c:v>140.29999999999998</c:v>
                </c:pt>
                <c:pt idx="6">
                  <c:v>138.43333333333331</c:v>
                </c:pt>
                <c:pt idx="7">
                  <c:v>135.29999999999998</c:v>
                </c:pt>
                <c:pt idx="8">
                  <c:v>131.43333333333334</c:v>
                </c:pt>
                <c:pt idx="9">
                  <c:v>129.23333333333332</c:v>
                </c:pt>
                <c:pt idx="10">
                  <c:v>127.93333333333334</c:v>
                </c:pt>
                <c:pt idx="11">
                  <c:v>127.90000000000002</c:v>
                </c:pt>
                <c:pt idx="12">
                  <c:v>126.39999999999999</c:v>
                </c:pt>
                <c:pt idx="13">
                  <c:v>127.26666666666665</c:v>
                </c:pt>
                <c:pt idx="14">
                  <c:v>128.1</c:v>
                </c:pt>
                <c:pt idx="15">
                  <c:v>131.63333333333333</c:v>
                </c:pt>
                <c:pt idx="16">
                  <c:v>134.1</c:v>
                </c:pt>
                <c:pt idx="17">
                  <c:v>135.26666666666665</c:v>
                </c:pt>
                <c:pt idx="18">
                  <c:v>133.76666666666665</c:v>
                </c:pt>
                <c:pt idx="19">
                  <c:v>132.73333333333335</c:v>
                </c:pt>
                <c:pt idx="20">
                  <c:v>133.9</c:v>
                </c:pt>
                <c:pt idx="21">
                  <c:v>139.76666666666668</c:v>
                </c:pt>
                <c:pt idx="22">
                  <c:v>142.63333333333333</c:v>
                </c:pt>
                <c:pt idx="23">
                  <c:v>143.29999999999998</c:v>
                </c:pt>
                <c:pt idx="24">
                  <c:v>143.13333333333333</c:v>
                </c:pt>
                <c:pt idx="25">
                  <c:v>145.66666666666666</c:v>
                </c:pt>
                <c:pt idx="26">
                  <c:v>149.66666666666666</c:v>
                </c:pt>
                <c:pt idx="27">
                  <c:v>147</c:v>
                </c:pt>
                <c:pt idx="28">
                  <c:v>143.9</c:v>
                </c:pt>
                <c:pt idx="29">
                  <c:v>139.26666666666668</c:v>
                </c:pt>
                <c:pt idx="30">
                  <c:v>137.4</c:v>
                </c:pt>
                <c:pt idx="31">
                  <c:v>135.13333333333333</c:v>
                </c:pt>
                <c:pt idx="32">
                  <c:v>133.06666666666666</c:v>
                </c:pt>
                <c:pt idx="33" formatCode="0.0">
                  <c:v>132.76666666666668</c:v>
                </c:pt>
                <c:pt idx="34" formatCode="0.0">
                  <c:v>134.56666666666669</c:v>
                </c:pt>
                <c:pt idx="35" formatCode="0.0">
                  <c:v>133.96666666666667</c:v>
                </c:pt>
                <c:pt idx="36">
                  <c:v>136.63333333333333</c:v>
                </c:pt>
                <c:pt idx="37">
                  <c:v>138.73333333333332</c:v>
                </c:pt>
                <c:pt idx="38">
                  <c:v>143.79999999999998</c:v>
                </c:pt>
              </c:numCache>
            </c:numRef>
          </c:val>
          <c:smooth val="0"/>
          <c:extLst>
            <c:ext xmlns:c16="http://schemas.microsoft.com/office/drawing/2014/chart" uri="{C3380CC4-5D6E-409C-BE32-E72D297353CC}">
              <c16:uniqueId val="{00000001-960E-4661-8226-85C6D78605BF}"/>
            </c:ext>
          </c:extLst>
        </c:ser>
        <c:ser>
          <c:idx val="0"/>
          <c:order val="2"/>
          <c:tx>
            <c:strRef>
              <c:f>グラフデータ!$E$2</c:f>
              <c:strCache>
                <c:ptCount val="1"/>
                <c:pt idx="0">
                  <c:v>一致指数</c:v>
                </c:pt>
              </c:strCache>
            </c:strRef>
          </c:tx>
          <c:spPr>
            <a:ln w="25400">
              <a:solidFill>
                <a:srgbClr val="0000FF"/>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グラフデータ!$E$364:$E$411</c:f>
              <c:numCache>
                <c:formatCode>0.0</c:formatCode>
                <c:ptCount val="48"/>
                <c:pt idx="0">
                  <c:v>150.9</c:v>
                </c:pt>
                <c:pt idx="1">
                  <c:v>149.30000000000001</c:v>
                </c:pt>
                <c:pt idx="2">
                  <c:v>144.80000000000001</c:v>
                </c:pt>
                <c:pt idx="3">
                  <c:v>141</c:v>
                </c:pt>
                <c:pt idx="4">
                  <c:v>139.30000000000001</c:v>
                </c:pt>
                <c:pt idx="5">
                  <c:v>140.6</c:v>
                </c:pt>
                <c:pt idx="6">
                  <c:v>135.4</c:v>
                </c:pt>
                <c:pt idx="7">
                  <c:v>129.9</c:v>
                </c:pt>
                <c:pt idx="8">
                  <c:v>129</c:v>
                </c:pt>
                <c:pt idx="9">
                  <c:v>128.80000000000001</c:v>
                </c:pt>
                <c:pt idx="10">
                  <c:v>126</c:v>
                </c:pt>
                <c:pt idx="11">
                  <c:v>128.9</c:v>
                </c:pt>
                <c:pt idx="12">
                  <c:v>124.3</c:v>
                </c:pt>
                <c:pt idx="13">
                  <c:v>128.6</c:v>
                </c:pt>
                <c:pt idx="14">
                  <c:v>131.4</c:v>
                </c:pt>
                <c:pt idx="15">
                  <c:v>134.9</c:v>
                </c:pt>
                <c:pt idx="16">
                  <c:v>136</c:v>
                </c:pt>
                <c:pt idx="17">
                  <c:v>134.9</c:v>
                </c:pt>
                <c:pt idx="18">
                  <c:v>130.4</c:v>
                </c:pt>
                <c:pt idx="19">
                  <c:v>132.9</c:v>
                </c:pt>
                <c:pt idx="20">
                  <c:v>138.4</c:v>
                </c:pt>
                <c:pt idx="21">
                  <c:v>148</c:v>
                </c:pt>
                <c:pt idx="22">
                  <c:v>141.5</c:v>
                </c:pt>
                <c:pt idx="23">
                  <c:v>140.4</c:v>
                </c:pt>
                <c:pt idx="24">
                  <c:v>147.5</c:v>
                </c:pt>
                <c:pt idx="25">
                  <c:v>149.1</c:v>
                </c:pt>
                <c:pt idx="26">
                  <c:v>152.4</c:v>
                </c:pt>
                <c:pt idx="27">
                  <c:v>139.5</c:v>
                </c:pt>
                <c:pt idx="28">
                  <c:v>139.80000000000001</c:v>
                </c:pt>
                <c:pt idx="29">
                  <c:v>138.5</c:v>
                </c:pt>
                <c:pt idx="30">
                  <c:v>133.9</c:v>
                </c:pt>
                <c:pt idx="31">
                  <c:v>133</c:v>
                </c:pt>
                <c:pt idx="32">
                  <c:v>132.30000000000001</c:v>
                </c:pt>
                <c:pt idx="33">
                  <c:v>133</c:v>
                </c:pt>
                <c:pt idx="34">
                  <c:v>138.4</c:v>
                </c:pt>
                <c:pt idx="35">
                  <c:v>130.5</c:v>
                </c:pt>
                <c:pt idx="36">
                  <c:v>141</c:v>
                </c:pt>
                <c:pt idx="37">
                  <c:v>144.69999999999999</c:v>
                </c:pt>
                <c:pt idx="38">
                  <c:v>145.69999999999999</c:v>
                </c:pt>
              </c:numCache>
            </c:numRef>
          </c:val>
          <c:smooth val="0"/>
          <c:extLst>
            <c:ext xmlns:c16="http://schemas.microsoft.com/office/drawing/2014/chart" uri="{C3380CC4-5D6E-409C-BE32-E72D297353CC}">
              <c16:uniqueId val="{00000002-960E-4661-8226-85C6D78605BF}"/>
            </c:ext>
          </c:extLst>
        </c:ser>
        <c:ser>
          <c:idx val="3"/>
          <c:order val="3"/>
          <c:tx>
            <c:v>目盛</c:v>
          </c:tx>
          <c:spPr>
            <a:ln w="25400">
              <a:solidFill>
                <a:srgbClr val="000000"/>
              </a:solidFill>
              <a:prstDash val="solid"/>
            </a:ln>
          </c:spPr>
          <c:marker>
            <c:symbol val="none"/>
          </c:marker>
          <c:trendline>
            <c:trendlineType val="linear"/>
            <c:dispRSqr val="0"/>
            <c:dispEq val="0"/>
          </c:trendline>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グラフデータ!$H$364:$H$411</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960E-4661-8226-85C6D78605BF}"/>
            </c:ext>
          </c:extLst>
        </c:ser>
        <c:dLbls>
          <c:showLegendKey val="0"/>
          <c:showVal val="0"/>
          <c:showCatName val="0"/>
          <c:showSerName val="0"/>
          <c:showPercent val="0"/>
          <c:showBubbleSize val="0"/>
        </c:dLbls>
        <c:smooth val="0"/>
        <c:axId val="566333752"/>
        <c:axId val="1"/>
      </c:lineChart>
      <c:catAx>
        <c:axId val="566333752"/>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800" b="0" i="0" u="none" strike="noStrike" baseline="0">
                <a:solidFill>
                  <a:srgbClr val="000000"/>
                </a:solidFill>
                <a:latin typeface="HGSｺﾞｼｯｸM"/>
                <a:ea typeface="HGSｺﾞｼｯｸM"/>
                <a:cs typeface="HGSｺﾞｼｯｸM"/>
              </a:defRPr>
            </a:pPr>
            <a:endParaRPr lang="ja-JP"/>
          </a:p>
        </c:txPr>
        <c:crossAx val="1"/>
        <c:crossesAt val="5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6333752"/>
        <c:crosses val="autoZero"/>
        <c:crossBetween val="midCat"/>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遅行指数</a:t>
            </a:r>
          </a:p>
        </c:rich>
      </c:tx>
      <c:layout>
        <c:manualLayout>
          <c:xMode val="edge"/>
          <c:yMode val="edge"/>
          <c:x val="0.4463299302016106"/>
          <c:y val="1.5116665462688724E-2"/>
        </c:manualLayout>
      </c:layout>
      <c:overlay val="0"/>
      <c:spPr>
        <a:noFill/>
        <a:ln w="25400">
          <a:noFill/>
        </a:ln>
      </c:spPr>
    </c:title>
    <c:autoTitleDeleted val="0"/>
    <c:plotArea>
      <c:layout>
        <c:manualLayout>
          <c:layoutTarget val="inner"/>
          <c:xMode val="edge"/>
          <c:yMode val="edge"/>
          <c:x val="4.7244132330091844E-2"/>
          <c:y val="0.16860512980653219"/>
          <c:w val="0.91782483602375375"/>
          <c:h val="0.62209478928617057"/>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DI元データ!$O$5:$O$580</c:f>
              <c:numCache>
                <c:formatCode>General</c:formatCode>
                <c:ptCount val="576"/>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B1B6-4426-AE6D-16A6F412B38A}"/>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DI元データ!$F$3</c:f>
              <c:strCache>
                <c:ptCount val="1"/>
                <c:pt idx="0">
                  <c:v>遅行指数</c:v>
                </c:pt>
              </c:strCache>
            </c:strRef>
          </c:tx>
          <c:spPr>
            <a:ln w="12700">
              <a:solidFill>
                <a:srgbClr val="000080"/>
              </a:solidFill>
              <a:prstDash val="solid"/>
            </a:ln>
          </c:spPr>
          <c:marker>
            <c:symbol val="none"/>
          </c:marker>
          <c:cat>
            <c:strRef>
              <c:f>DI元データ!$B$5:$B$580</c:f>
              <c:strCache>
                <c:ptCount val="56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pt idx="564">
                  <c:v>8</c:v>
                </c:pt>
              </c:strCache>
            </c:strRef>
          </c:cat>
          <c:val>
            <c:numRef>
              <c:f>DI元データ!$F$5:$F$580</c:f>
              <c:numCache>
                <c:formatCode>0.0</c:formatCode>
                <c:ptCount val="576"/>
                <c:pt idx="0">
                  <c:v>75</c:v>
                </c:pt>
                <c:pt idx="1">
                  <c:v>75</c:v>
                </c:pt>
                <c:pt idx="2">
                  <c:v>50</c:v>
                </c:pt>
                <c:pt idx="3">
                  <c:v>62</c:v>
                </c:pt>
                <c:pt idx="4">
                  <c:v>25</c:v>
                </c:pt>
                <c:pt idx="5">
                  <c:v>50</c:v>
                </c:pt>
                <c:pt idx="6">
                  <c:v>63</c:v>
                </c:pt>
                <c:pt idx="7">
                  <c:v>62</c:v>
                </c:pt>
                <c:pt idx="8">
                  <c:v>63</c:v>
                </c:pt>
                <c:pt idx="9">
                  <c:v>100</c:v>
                </c:pt>
                <c:pt idx="10">
                  <c:v>75</c:v>
                </c:pt>
                <c:pt idx="11">
                  <c:v>62</c:v>
                </c:pt>
                <c:pt idx="12">
                  <c:v>88</c:v>
                </c:pt>
                <c:pt idx="13">
                  <c:v>81</c:v>
                </c:pt>
                <c:pt idx="14">
                  <c:v>69</c:v>
                </c:pt>
                <c:pt idx="15">
                  <c:v>50</c:v>
                </c:pt>
                <c:pt idx="16">
                  <c:v>75</c:v>
                </c:pt>
                <c:pt idx="17">
                  <c:v>63</c:v>
                </c:pt>
                <c:pt idx="18">
                  <c:v>62</c:v>
                </c:pt>
                <c:pt idx="19">
                  <c:v>50</c:v>
                </c:pt>
                <c:pt idx="20">
                  <c:v>50</c:v>
                </c:pt>
                <c:pt idx="21">
                  <c:v>50</c:v>
                </c:pt>
                <c:pt idx="22">
                  <c:v>38</c:v>
                </c:pt>
                <c:pt idx="23">
                  <c:v>37</c:v>
                </c:pt>
                <c:pt idx="24">
                  <c:v>38</c:v>
                </c:pt>
                <c:pt idx="25">
                  <c:v>25</c:v>
                </c:pt>
                <c:pt idx="26">
                  <c:v>25</c:v>
                </c:pt>
                <c:pt idx="27">
                  <c:v>37</c:v>
                </c:pt>
                <c:pt idx="28">
                  <c:v>13</c:v>
                </c:pt>
                <c:pt idx="29">
                  <c:v>12</c:v>
                </c:pt>
                <c:pt idx="30">
                  <c:v>31</c:v>
                </c:pt>
                <c:pt idx="31">
                  <c:v>38</c:v>
                </c:pt>
                <c:pt idx="32">
                  <c:v>12</c:v>
                </c:pt>
                <c:pt idx="33">
                  <c:v>25</c:v>
                </c:pt>
                <c:pt idx="34">
                  <c:v>38</c:v>
                </c:pt>
                <c:pt idx="35">
                  <c:v>37</c:v>
                </c:pt>
                <c:pt idx="36">
                  <c:v>38</c:v>
                </c:pt>
                <c:pt idx="37">
                  <c:v>25</c:v>
                </c:pt>
                <c:pt idx="38">
                  <c:v>25</c:v>
                </c:pt>
                <c:pt idx="39">
                  <c:v>25</c:v>
                </c:pt>
                <c:pt idx="40">
                  <c:v>37</c:v>
                </c:pt>
                <c:pt idx="41">
                  <c:v>13</c:v>
                </c:pt>
                <c:pt idx="42">
                  <c:v>25</c:v>
                </c:pt>
                <c:pt idx="43">
                  <c:v>25</c:v>
                </c:pt>
                <c:pt idx="44">
                  <c:v>37</c:v>
                </c:pt>
                <c:pt idx="45">
                  <c:v>63</c:v>
                </c:pt>
                <c:pt idx="46">
                  <c:v>12</c:v>
                </c:pt>
                <c:pt idx="47">
                  <c:v>38</c:v>
                </c:pt>
                <c:pt idx="48">
                  <c:v>50</c:v>
                </c:pt>
                <c:pt idx="49">
                  <c:v>31</c:v>
                </c:pt>
                <c:pt idx="50">
                  <c:v>56</c:v>
                </c:pt>
                <c:pt idx="51">
                  <c:v>50</c:v>
                </c:pt>
                <c:pt idx="52">
                  <c:v>50</c:v>
                </c:pt>
                <c:pt idx="53">
                  <c:v>50</c:v>
                </c:pt>
                <c:pt idx="54">
                  <c:v>63</c:v>
                </c:pt>
                <c:pt idx="55">
                  <c:v>37</c:v>
                </c:pt>
                <c:pt idx="56">
                  <c:v>13</c:v>
                </c:pt>
                <c:pt idx="57">
                  <c:v>12</c:v>
                </c:pt>
                <c:pt idx="58">
                  <c:v>25</c:v>
                </c:pt>
                <c:pt idx="59">
                  <c:v>32</c:v>
                </c:pt>
                <c:pt idx="60">
                  <c:v>50</c:v>
                </c:pt>
                <c:pt idx="61">
                  <c:v>62</c:v>
                </c:pt>
                <c:pt idx="62">
                  <c:v>38</c:v>
                </c:pt>
                <c:pt idx="63">
                  <c:v>75</c:v>
                </c:pt>
                <c:pt idx="64">
                  <c:v>62</c:v>
                </c:pt>
                <c:pt idx="65">
                  <c:v>63</c:v>
                </c:pt>
                <c:pt idx="66">
                  <c:v>25</c:v>
                </c:pt>
                <c:pt idx="67">
                  <c:v>50</c:v>
                </c:pt>
                <c:pt idx="68">
                  <c:v>62</c:v>
                </c:pt>
                <c:pt idx="69">
                  <c:v>63</c:v>
                </c:pt>
                <c:pt idx="70">
                  <c:v>62</c:v>
                </c:pt>
                <c:pt idx="71">
                  <c:v>63</c:v>
                </c:pt>
                <c:pt idx="72">
                  <c:v>75</c:v>
                </c:pt>
                <c:pt idx="73">
                  <c:v>62</c:v>
                </c:pt>
                <c:pt idx="74">
                  <c:v>50</c:v>
                </c:pt>
                <c:pt idx="75">
                  <c:v>13</c:v>
                </c:pt>
                <c:pt idx="76">
                  <c:v>25</c:v>
                </c:pt>
                <c:pt idx="77">
                  <c:v>37</c:v>
                </c:pt>
                <c:pt idx="78">
                  <c:v>50</c:v>
                </c:pt>
                <c:pt idx="79">
                  <c:v>50</c:v>
                </c:pt>
                <c:pt idx="80">
                  <c:v>63</c:v>
                </c:pt>
                <c:pt idx="81">
                  <c:v>37</c:v>
                </c:pt>
                <c:pt idx="82">
                  <c:v>57</c:v>
                </c:pt>
                <c:pt idx="83">
                  <c:v>37</c:v>
                </c:pt>
                <c:pt idx="84">
                  <c:v>25</c:v>
                </c:pt>
                <c:pt idx="85">
                  <c:v>38</c:v>
                </c:pt>
                <c:pt idx="86">
                  <c:v>25</c:v>
                </c:pt>
                <c:pt idx="87">
                  <c:v>25</c:v>
                </c:pt>
                <c:pt idx="88">
                  <c:v>37</c:v>
                </c:pt>
                <c:pt idx="89">
                  <c:v>38</c:v>
                </c:pt>
                <c:pt idx="90">
                  <c:v>25</c:v>
                </c:pt>
                <c:pt idx="91">
                  <c:v>0</c:v>
                </c:pt>
                <c:pt idx="92">
                  <c:v>37</c:v>
                </c:pt>
                <c:pt idx="93">
                  <c:v>25</c:v>
                </c:pt>
                <c:pt idx="94">
                  <c:v>13</c:v>
                </c:pt>
                <c:pt idx="95">
                  <c:v>12</c:v>
                </c:pt>
                <c:pt idx="96">
                  <c:v>25</c:v>
                </c:pt>
                <c:pt idx="97">
                  <c:v>13</c:v>
                </c:pt>
                <c:pt idx="98">
                  <c:v>50</c:v>
                </c:pt>
                <c:pt idx="99">
                  <c:v>25</c:v>
                </c:pt>
                <c:pt idx="100">
                  <c:v>43</c:v>
                </c:pt>
                <c:pt idx="101">
                  <c:v>63</c:v>
                </c:pt>
                <c:pt idx="102">
                  <c:v>25</c:v>
                </c:pt>
                <c:pt idx="103">
                  <c:v>50</c:v>
                </c:pt>
                <c:pt idx="104">
                  <c:v>37</c:v>
                </c:pt>
                <c:pt idx="105">
                  <c:v>38</c:v>
                </c:pt>
                <c:pt idx="106">
                  <c:v>50</c:v>
                </c:pt>
                <c:pt idx="107">
                  <c:v>50</c:v>
                </c:pt>
                <c:pt idx="108">
                  <c:v>85.714285714285708</c:v>
                </c:pt>
                <c:pt idx="109">
                  <c:v>85.714285714285708</c:v>
                </c:pt>
                <c:pt idx="110">
                  <c:v>71.428571428571431</c:v>
                </c:pt>
                <c:pt idx="111">
                  <c:v>71.428571428571431</c:v>
                </c:pt>
                <c:pt idx="112">
                  <c:v>85.714285714285708</c:v>
                </c:pt>
                <c:pt idx="113">
                  <c:v>14.285714285714286</c:v>
                </c:pt>
                <c:pt idx="114">
                  <c:v>57.142857142857146</c:v>
                </c:pt>
                <c:pt idx="115">
                  <c:v>71.428571428571431</c:v>
                </c:pt>
                <c:pt idx="116">
                  <c:v>85.714285714285708</c:v>
                </c:pt>
                <c:pt idx="117">
                  <c:v>57.142857142857146</c:v>
                </c:pt>
                <c:pt idx="118">
                  <c:v>71.428571428571431</c:v>
                </c:pt>
                <c:pt idx="119">
                  <c:v>57.142857142857146</c:v>
                </c:pt>
                <c:pt idx="120" formatCode="0.0;&quot;▲ &quot;0.0">
                  <c:v>57.142857142857146</c:v>
                </c:pt>
                <c:pt idx="121" formatCode="0.0;&quot;▲ &quot;0.0">
                  <c:v>71.428571428571431</c:v>
                </c:pt>
                <c:pt idx="122" formatCode="0.0;&quot;▲ &quot;0.0">
                  <c:v>85.714285714285708</c:v>
                </c:pt>
                <c:pt idx="123" formatCode="0.0;&quot;▲ &quot;0.0">
                  <c:v>28.571428571428573</c:v>
                </c:pt>
                <c:pt idx="124" formatCode="0.0;&quot;▲ &quot;0.0">
                  <c:v>64.285714285714292</c:v>
                </c:pt>
                <c:pt idx="125" formatCode="0.0;&quot;▲ &quot;0.0">
                  <c:v>100</c:v>
                </c:pt>
                <c:pt idx="126" formatCode="0.0;&quot;▲ &quot;0.0">
                  <c:v>71.428571428571431</c:v>
                </c:pt>
                <c:pt idx="127" formatCode="0.0;&quot;▲ &quot;0.0">
                  <c:v>57.142857142857146</c:v>
                </c:pt>
                <c:pt idx="128" formatCode="0.0;&quot;▲ &quot;0.0">
                  <c:v>85.714285714285708</c:v>
                </c:pt>
                <c:pt idx="129" formatCode="0.0;&quot;▲ &quot;0.0">
                  <c:v>85.714285714285708</c:v>
                </c:pt>
                <c:pt idx="130" formatCode="0.0;&quot;▲ &quot;0.0">
                  <c:v>42.857142857142854</c:v>
                </c:pt>
                <c:pt idx="131" formatCode="0.0;&quot;▲ &quot;0.0">
                  <c:v>71.428571428571431</c:v>
                </c:pt>
                <c:pt idx="132" formatCode="0.0;&quot;▲ &quot;0.0">
                  <c:v>71.428571428571431</c:v>
                </c:pt>
                <c:pt idx="133" formatCode="0.0;&quot;▲ &quot;0.0">
                  <c:v>71.428571428571431</c:v>
                </c:pt>
                <c:pt idx="134" formatCode="0.0;&quot;▲ &quot;0.0">
                  <c:v>42.857142857142854</c:v>
                </c:pt>
                <c:pt idx="135" formatCode="0.0;&quot;▲ &quot;0.0">
                  <c:v>85.714285714285708</c:v>
                </c:pt>
                <c:pt idx="136" formatCode="0.0;&quot;▲ &quot;0.0">
                  <c:v>57.142857142857146</c:v>
                </c:pt>
                <c:pt idx="137" formatCode="0.0;&quot;▲ &quot;0.0">
                  <c:v>71.428571428571431</c:v>
                </c:pt>
                <c:pt idx="138" formatCode="0.0;&quot;▲ &quot;0.0">
                  <c:v>28.571428571428573</c:v>
                </c:pt>
                <c:pt idx="139" formatCode="0.0;&quot;▲ &quot;0.0">
                  <c:v>42.857142857142854</c:v>
                </c:pt>
                <c:pt idx="140" formatCode="0.0;&quot;▲ &quot;0.0">
                  <c:v>14.285714285714286</c:v>
                </c:pt>
                <c:pt idx="141" formatCode="0.0;&quot;▲ &quot;0.0">
                  <c:v>57.142857142857146</c:v>
                </c:pt>
                <c:pt idx="142" formatCode="0.0;&quot;▲ &quot;0.0">
                  <c:v>57.142857142857146</c:v>
                </c:pt>
                <c:pt idx="143" formatCode="0.0;&quot;▲ &quot;0.0">
                  <c:v>100</c:v>
                </c:pt>
                <c:pt idx="144" formatCode="0.0;&quot;▲ &quot;0.0">
                  <c:v>85.714285714285708</c:v>
                </c:pt>
                <c:pt idx="145" formatCode="0.0;&quot;▲ &quot;0.0">
                  <c:v>85.714285714285708</c:v>
                </c:pt>
                <c:pt idx="146" formatCode="0.0;&quot;▲ &quot;0.0">
                  <c:v>71.428571428571431</c:v>
                </c:pt>
                <c:pt idx="147" formatCode="0.0;&quot;▲ &quot;0.0">
                  <c:v>28.571428571428573</c:v>
                </c:pt>
                <c:pt idx="148" formatCode="0.0;&quot;▲ &quot;0.0">
                  <c:v>57.142857142857146</c:v>
                </c:pt>
                <c:pt idx="149" formatCode="0.0;&quot;▲ &quot;0.0">
                  <c:v>57.142857142857146</c:v>
                </c:pt>
                <c:pt idx="150" formatCode="0.0;&quot;▲ &quot;0.0">
                  <c:v>64.285714285714292</c:v>
                </c:pt>
                <c:pt idx="151" formatCode="0.0;&quot;▲ &quot;0.0">
                  <c:v>57.142857142857146</c:v>
                </c:pt>
                <c:pt idx="152" formatCode="0.0;&quot;▲ &quot;0.0">
                  <c:v>71.428571428571431</c:v>
                </c:pt>
                <c:pt idx="153" formatCode="0.0;&quot;▲ &quot;0.0">
                  <c:v>57.142857142857146</c:v>
                </c:pt>
                <c:pt idx="154" formatCode="0.0;&quot;▲ &quot;0.0">
                  <c:v>57.142857142857146</c:v>
                </c:pt>
                <c:pt idx="155" formatCode="0.0;&quot;▲ &quot;0.0">
                  <c:v>50</c:v>
                </c:pt>
                <c:pt idx="156" formatCode="0.0;&quot;▲ &quot;0.0">
                  <c:v>50</c:v>
                </c:pt>
                <c:pt idx="157" formatCode="0.0;&quot;▲ &quot;0.0">
                  <c:v>71.428571428571431</c:v>
                </c:pt>
                <c:pt idx="158" formatCode="0.0;&quot;▲ &quot;0.0">
                  <c:v>57.142857142857146</c:v>
                </c:pt>
                <c:pt idx="159" formatCode="0.0;&quot;▲ &quot;0.0">
                  <c:v>50</c:v>
                </c:pt>
                <c:pt idx="160" formatCode="0.0;&quot;▲ &quot;0.0">
                  <c:v>42.857142857142854</c:v>
                </c:pt>
                <c:pt idx="161" formatCode="0.0;&quot;▲ &quot;0.0">
                  <c:v>42.857142857142854</c:v>
                </c:pt>
                <c:pt idx="162" formatCode="0.0;&quot;▲ &quot;0.0">
                  <c:v>28.571428571428573</c:v>
                </c:pt>
                <c:pt idx="163" formatCode="0.0;&quot;▲ &quot;0.0">
                  <c:v>28.571428571428573</c:v>
                </c:pt>
                <c:pt idx="164" formatCode="0.0;&quot;▲ &quot;0.0">
                  <c:v>28.571428571428573</c:v>
                </c:pt>
                <c:pt idx="165" formatCode="0.0;&quot;▲ &quot;0.0">
                  <c:v>28.571428571428573</c:v>
                </c:pt>
                <c:pt idx="166" formatCode="0.0;&quot;▲ &quot;0.0">
                  <c:v>57.142857142857146</c:v>
                </c:pt>
                <c:pt idx="167" formatCode="0.0;&quot;▲ &quot;0.0">
                  <c:v>14.285714285714286</c:v>
                </c:pt>
                <c:pt idx="168" formatCode="0.0;&quot;▲ &quot;0.0">
                  <c:v>28.571428571428573</c:v>
                </c:pt>
                <c:pt idx="169" formatCode="0.0;&quot;▲ &quot;0.0">
                  <c:v>14.285714285714286</c:v>
                </c:pt>
                <c:pt idx="170" formatCode="0.0;&quot;▲ &quot;0.0">
                  <c:v>57.142857142857146</c:v>
                </c:pt>
                <c:pt idx="171" formatCode="0.0;&quot;▲ &quot;0.0">
                  <c:v>42.857142857142854</c:v>
                </c:pt>
                <c:pt idx="172" formatCode="0.0;&quot;▲ &quot;0.0">
                  <c:v>71.428571428571431</c:v>
                </c:pt>
                <c:pt idx="173" formatCode="0.0;&quot;▲ &quot;0.0">
                  <c:v>57.142857142857146</c:v>
                </c:pt>
                <c:pt idx="174" formatCode="0.0;&quot;▲ &quot;0.0">
                  <c:v>57.142857142857146</c:v>
                </c:pt>
                <c:pt idx="175" formatCode="0.0;&quot;▲ &quot;0.0">
                  <c:v>42.857142857142854</c:v>
                </c:pt>
                <c:pt idx="176" formatCode="0.0;&quot;▲ &quot;0.0">
                  <c:v>42.857142857142854</c:v>
                </c:pt>
                <c:pt idx="177" formatCode="0.0;&quot;▲ &quot;0.0">
                  <c:v>57.142857142857146</c:v>
                </c:pt>
                <c:pt idx="178" formatCode="0.0;&quot;▲ &quot;0.0">
                  <c:v>42.857142857142854</c:v>
                </c:pt>
                <c:pt idx="179" formatCode="0.0;&quot;▲ &quot;0.0">
                  <c:v>42.857142857142854</c:v>
                </c:pt>
                <c:pt idx="180" formatCode="0.0;&quot;▲ &quot;0.0">
                  <c:v>42.857142857142854</c:v>
                </c:pt>
                <c:pt idx="181" formatCode="0.0;&quot;▲ &quot;0.0">
                  <c:v>57.142857142857146</c:v>
                </c:pt>
                <c:pt idx="182" formatCode="0.0;&quot;▲ &quot;0.0">
                  <c:v>28.571428571428573</c:v>
                </c:pt>
                <c:pt idx="183" formatCode="0.0;&quot;▲ &quot;0.0">
                  <c:v>42.857142857142854</c:v>
                </c:pt>
                <c:pt idx="184" formatCode="0.0;&quot;▲ &quot;0.0">
                  <c:v>57.142857142857146</c:v>
                </c:pt>
                <c:pt idx="185" formatCode="0.0;&quot;▲ &quot;0.0">
                  <c:v>14.285714285714286</c:v>
                </c:pt>
                <c:pt idx="186" formatCode="0.0;&quot;▲ &quot;0.0">
                  <c:v>42.857142857142854</c:v>
                </c:pt>
                <c:pt idx="187" formatCode="0.0;&quot;▲ &quot;0.0">
                  <c:v>57.142857142857146</c:v>
                </c:pt>
                <c:pt idx="188" formatCode="0.0;&quot;▲ &quot;0.0">
                  <c:v>21.428571428571427</c:v>
                </c:pt>
                <c:pt idx="189" formatCode="0.0;&quot;▲ &quot;0.0">
                  <c:v>71.428571428571431</c:v>
                </c:pt>
                <c:pt idx="190" formatCode="0.0;&quot;▲ &quot;0.0">
                  <c:v>71.428571428571431</c:v>
                </c:pt>
                <c:pt idx="191" formatCode="0.0;&quot;▲ &quot;0.0">
                  <c:v>71.428571428571431</c:v>
                </c:pt>
                <c:pt idx="192">
                  <c:v>71.428571428571431</c:v>
                </c:pt>
                <c:pt idx="193">
                  <c:v>85.714285714285708</c:v>
                </c:pt>
                <c:pt idx="194">
                  <c:v>42.857142857142854</c:v>
                </c:pt>
                <c:pt idx="195">
                  <c:v>0</c:v>
                </c:pt>
                <c:pt idx="196">
                  <c:v>42.857142857142854</c:v>
                </c:pt>
                <c:pt idx="197">
                  <c:v>57.142857142857146</c:v>
                </c:pt>
                <c:pt idx="198">
                  <c:v>42.857142857142854</c:v>
                </c:pt>
                <c:pt idx="199">
                  <c:v>42.857142857142854</c:v>
                </c:pt>
                <c:pt idx="200">
                  <c:v>71.428571428571431</c:v>
                </c:pt>
                <c:pt idx="201">
                  <c:v>42.857142857142854</c:v>
                </c:pt>
                <c:pt idx="202">
                  <c:v>28.571428571428573</c:v>
                </c:pt>
                <c:pt idx="203">
                  <c:v>28.571428571428573</c:v>
                </c:pt>
                <c:pt idx="204">
                  <c:v>42.857142857142854</c:v>
                </c:pt>
                <c:pt idx="205">
                  <c:v>42.857142857142854</c:v>
                </c:pt>
                <c:pt idx="206">
                  <c:v>85.714285714285708</c:v>
                </c:pt>
                <c:pt idx="207">
                  <c:v>100</c:v>
                </c:pt>
                <c:pt idx="208">
                  <c:v>85.714285714285708</c:v>
                </c:pt>
                <c:pt idx="209">
                  <c:v>78.571428571428569</c:v>
                </c:pt>
                <c:pt idx="210">
                  <c:v>57.142857142857146</c:v>
                </c:pt>
                <c:pt idx="211">
                  <c:v>57.142857142857146</c:v>
                </c:pt>
                <c:pt idx="212">
                  <c:v>71.428571428571431</c:v>
                </c:pt>
                <c:pt idx="213">
                  <c:v>57.142857142857146</c:v>
                </c:pt>
                <c:pt idx="214">
                  <c:v>71.428571428571431</c:v>
                </c:pt>
                <c:pt idx="215">
                  <c:v>85.714285714285708</c:v>
                </c:pt>
                <c:pt idx="216">
                  <c:v>78.571428571428569</c:v>
                </c:pt>
                <c:pt idx="217">
                  <c:v>85.714285714285708</c:v>
                </c:pt>
                <c:pt idx="218">
                  <c:v>85.714285714285708</c:v>
                </c:pt>
                <c:pt idx="219">
                  <c:v>57.142857142857146</c:v>
                </c:pt>
                <c:pt idx="220">
                  <c:v>57.142857142857146</c:v>
                </c:pt>
                <c:pt idx="221">
                  <c:v>85.714285714285708</c:v>
                </c:pt>
                <c:pt idx="222">
                  <c:v>85.714285714285708</c:v>
                </c:pt>
                <c:pt idx="223">
                  <c:v>57.142857142857146</c:v>
                </c:pt>
                <c:pt idx="224">
                  <c:v>57.142857142857146</c:v>
                </c:pt>
                <c:pt idx="225">
                  <c:v>71.428571428571431</c:v>
                </c:pt>
                <c:pt idx="226">
                  <c:v>42.857142857142854</c:v>
                </c:pt>
                <c:pt idx="227">
                  <c:v>50</c:v>
                </c:pt>
                <c:pt idx="228">
                  <c:v>28.571428571428573</c:v>
                </c:pt>
                <c:pt idx="229">
                  <c:v>28.571428571428573</c:v>
                </c:pt>
                <c:pt idx="230">
                  <c:v>42.857142857142854</c:v>
                </c:pt>
                <c:pt idx="231">
                  <c:v>28.571428571428573</c:v>
                </c:pt>
                <c:pt idx="232">
                  <c:v>14.285714285714286</c:v>
                </c:pt>
                <c:pt idx="233">
                  <c:v>42.857142857142854</c:v>
                </c:pt>
                <c:pt idx="234">
                  <c:v>42.857142857142854</c:v>
                </c:pt>
                <c:pt idx="235">
                  <c:v>28.571428571428573</c:v>
                </c:pt>
                <c:pt idx="236">
                  <c:v>42.857142857142854</c:v>
                </c:pt>
                <c:pt idx="237">
                  <c:v>42.857142857142854</c:v>
                </c:pt>
                <c:pt idx="238">
                  <c:v>42.857142857142854</c:v>
                </c:pt>
                <c:pt idx="239">
                  <c:v>42.857142857142854</c:v>
                </c:pt>
                <c:pt idx="240">
                  <c:v>57.142857142857146</c:v>
                </c:pt>
                <c:pt idx="241">
                  <c:v>42.857142857142854</c:v>
                </c:pt>
                <c:pt idx="242">
                  <c:v>42.857142857142854</c:v>
                </c:pt>
                <c:pt idx="243">
                  <c:v>57.142857142857146</c:v>
                </c:pt>
                <c:pt idx="244">
                  <c:v>42.857142857142854</c:v>
                </c:pt>
                <c:pt idx="245">
                  <c:v>50</c:v>
                </c:pt>
                <c:pt idx="246">
                  <c:v>57.142857142857146</c:v>
                </c:pt>
                <c:pt idx="247">
                  <c:v>28.571428571428573</c:v>
                </c:pt>
                <c:pt idx="248">
                  <c:v>28.571428571428573</c:v>
                </c:pt>
                <c:pt idx="249">
                  <c:v>57.142857142857146</c:v>
                </c:pt>
                <c:pt idx="250">
                  <c:v>28.571428571428573</c:v>
                </c:pt>
                <c:pt idx="251">
                  <c:v>14.285714285714286</c:v>
                </c:pt>
                <c:pt idx="252">
                  <c:v>57.142857142857146</c:v>
                </c:pt>
                <c:pt idx="253">
                  <c:v>28.571428571428573</c:v>
                </c:pt>
                <c:pt idx="254">
                  <c:v>42.857142857142854</c:v>
                </c:pt>
                <c:pt idx="255">
                  <c:v>57.142857142857146</c:v>
                </c:pt>
                <c:pt idx="256">
                  <c:v>78.571428571428569</c:v>
                </c:pt>
                <c:pt idx="257">
                  <c:v>57.142857142857146</c:v>
                </c:pt>
                <c:pt idx="258">
                  <c:v>71.428571428571431</c:v>
                </c:pt>
                <c:pt idx="259">
                  <c:v>71.428571428571431</c:v>
                </c:pt>
                <c:pt idx="260">
                  <c:v>57.142857142857146</c:v>
                </c:pt>
                <c:pt idx="261">
                  <c:v>28.571428571428573</c:v>
                </c:pt>
                <c:pt idx="262">
                  <c:v>35.714285714285715</c:v>
                </c:pt>
                <c:pt idx="263">
                  <c:v>42.857142857142854</c:v>
                </c:pt>
                <c:pt idx="264">
                  <c:v>42.857142857142854</c:v>
                </c:pt>
                <c:pt idx="265">
                  <c:v>42.857142857142854</c:v>
                </c:pt>
                <c:pt idx="266">
                  <c:v>42.857142857142854</c:v>
                </c:pt>
                <c:pt idx="267">
                  <c:v>28.571428571428573</c:v>
                </c:pt>
                <c:pt idx="268">
                  <c:v>57.142857142857146</c:v>
                </c:pt>
                <c:pt idx="269">
                  <c:v>42.857142857142854</c:v>
                </c:pt>
                <c:pt idx="270">
                  <c:v>28.571428571428573</c:v>
                </c:pt>
                <c:pt idx="271">
                  <c:v>14.285714285714286</c:v>
                </c:pt>
                <c:pt idx="272">
                  <c:v>14.285714285714286</c:v>
                </c:pt>
                <c:pt idx="273">
                  <c:v>7.1428571428571432</c:v>
                </c:pt>
                <c:pt idx="274">
                  <c:v>14.285714285714286</c:v>
                </c:pt>
                <c:pt idx="275">
                  <c:v>35.714285714285715</c:v>
                </c:pt>
                <c:pt idx="276">
                  <c:v>42.857142857142854</c:v>
                </c:pt>
                <c:pt idx="277">
                  <c:v>28.571428571428573</c:v>
                </c:pt>
                <c:pt idx="278">
                  <c:v>57.142857142857146</c:v>
                </c:pt>
                <c:pt idx="279">
                  <c:v>85.714285714285708</c:v>
                </c:pt>
                <c:pt idx="280">
                  <c:v>71.428571428571431</c:v>
                </c:pt>
                <c:pt idx="281">
                  <c:v>57.142857142857146</c:v>
                </c:pt>
                <c:pt idx="282">
                  <c:v>42.857142857142854</c:v>
                </c:pt>
                <c:pt idx="283">
                  <c:v>57.142857142857146</c:v>
                </c:pt>
                <c:pt idx="284">
                  <c:v>71.428571428571431</c:v>
                </c:pt>
                <c:pt idx="285">
                  <c:v>57.142857142857146</c:v>
                </c:pt>
                <c:pt idx="286">
                  <c:v>78.571428571428569</c:v>
                </c:pt>
                <c:pt idx="287">
                  <c:v>57.142857142857146</c:v>
                </c:pt>
                <c:pt idx="288">
                  <c:v>57.142857142857146</c:v>
                </c:pt>
                <c:pt idx="289">
                  <c:v>57.142857142857146</c:v>
                </c:pt>
                <c:pt idx="290">
                  <c:v>57.142857142857146</c:v>
                </c:pt>
                <c:pt idx="291">
                  <c:v>42.857142857142854</c:v>
                </c:pt>
                <c:pt idx="292">
                  <c:v>14.285714285714286</c:v>
                </c:pt>
                <c:pt idx="293">
                  <c:v>57.142857142857146</c:v>
                </c:pt>
                <c:pt idx="294">
                  <c:v>71.428571428571431</c:v>
                </c:pt>
                <c:pt idx="295">
                  <c:v>42.857142857142854</c:v>
                </c:pt>
                <c:pt idx="296">
                  <c:v>57.142857142857146</c:v>
                </c:pt>
                <c:pt idx="297">
                  <c:v>92.857142857142861</c:v>
                </c:pt>
                <c:pt idx="298">
                  <c:v>71.428571428571431</c:v>
                </c:pt>
                <c:pt idx="299">
                  <c:v>42.857142857142854</c:v>
                </c:pt>
                <c:pt idx="300">
                  <c:v>57.142857142857146</c:v>
                </c:pt>
                <c:pt idx="301">
                  <c:v>71.428571428571431</c:v>
                </c:pt>
                <c:pt idx="302">
                  <c:v>42.857142857142854</c:v>
                </c:pt>
                <c:pt idx="303">
                  <c:v>57.142857142857146</c:v>
                </c:pt>
                <c:pt idx="304">
                  <c:v>71.428571428571431</c:v>
                </c:pt>
                <c:pt idx="305">
                  <c:v>71.428571428571431</c:v>
                </c:pt>
                <c:pt idx="306">
                  <c:v>57.142857142857146</c:v>
                </c:pt>
                <c:pt idx="307">
                  <c:v>57.142857142857146</c:v>
                </c:pt>
                <c:pt idx="308">
                  <c:v>57.142857142857146</c:v>
                </c:pt>
                <c:pt idx="309">
                  <c:v>57.142857142857146</c:v>
                </c:pt>
                <c:pt idx="310">
                  <c:v>57.142857142857146</c:v>
                </c:pt>
                <c:pt idx="311">
                  <c:v>42.857142857142854</c:v>
                </c:pt>
                <c:pt idx="312">
                  <c:v>42.857142857142854</c:v>
                </c:pt>
                <c:pt idx="313">
                  <c:v>28.571428571428573</c:v>
                </c:pt>
                <c:pt idx="314">
                  <c:v>57.142857142857146</c:v>
                </c:pt>
                <c:pt idx="315">
                  <c:v>57.142857142857146</c:v>
                </c:pt>
                <c:pt idx="316">
                  <c:v>42.857142857142854</c:v>
                </c:pt>
                <c:pt idx="317">
                  <c:v>57.142857142857146</c:v>
                </c:pt>
                <c:pt idx="318">
                  <c:v>35.714285714285715</c:v>
                </c:pt>
                <c:pt idx="319">
                  <c:v>42.857142857142854</c:v>
                </c:pt>
                <c:pt idx="320">
                  <c:v>42.857142857142854</c:v>
                </c:pt>
                <c:pt idx="321">
                  <c:v>42.857142857142854</c:v>
                </c:pt>
                <c:pt idx="322">
                  <c:v>57.142857142857146</c:v>
                </c:pt>
                <c:pt idx="323">
                  <c:v>85.714285714285708</c:v>
                </c:pt>
                <c:pt idx="324">
                  <c:v>57.142857142857146</c:v>
                </c:pt>
                <c:pt idx="325">
                  <c:v>85.714285714285708</c:v>
                </c:pt>
                <c:pt idx="326">
                  <c:v>71.428571428571431</c:v>
                </c:pt>
                <c:pt idx="327">
                  <c:v>85.714285714285708</c:v>
                </c:pt>
                <c:pt idx="328">
                  <c:v>85.714285714285708</c:v>
                </c:pt>
                <c:pt idx="329">
                  <c:v>71.428571428571431</c:v>
                </c:pt>
                <c:pt idx="330">
                  <c:v>64.285714285714292</c:v>
                </c:pt>
                <c:pt idx="331">
                  <c:v>50</c:v>
                </c:pt>
                <c:pt idx="332">
                  <c:v>64.285714285714292</c:v>
                </c:pt>
                <c:pt idx="333">
                  <c:v>50</c:v>
                </c:pt>
                <c:pt idx="334">
                  <c:v>57.142857142857146</c:v>
                </c:pt>
                <c:pt idx="335">
                  <c:v>71.428571428571431</c:v>
                </c:pt>
                <c:pt idx="336">
                  <c:v>42.857142857142854</c:v>
                </c:pt>
                <c:pt idx="337">
                  <c:v>42.857142857142854</c:v>
                </c:pt>
                <c:pt idx="338">
                  <c:v>57.142857142857146</c:v>
                </c:pt>
                <c:pt idx="339">
                  <c:v>14.285714285714286</c:v>
                </c:pt>
                <c:pt idx="340">
                  <c:v>14.285714285714286</c:v>
                </c:pt>
                <c:pt idx="341">
                  <c:v>64.285714285714292</c:v>
                </c:pt>
                <c:pt idx="342">
                  <c:v>57.142857142857146</c:v>
                </c:pt>
                <c:pt idx="343">
                  <c:v>57.142857142857146</c:v>
                </c:pt>
                <c:pt idx="344">
                  <c:v>71.428571428571431</c:v>
                </c:pt>
                <c:pt idx="345">
                  <c:v>57.142857142857146</c:v>
                </c:pt>
                <c:pt idx="346">
                  <c:v>57.142857142857146</c:v>
                </c:pt>
                <c:pt idx="347">
                  <c:v>57.142857142857146</c:v>
                </c:pt>
                <c:pt idx="348">
                  <c:v>42.857142857142854</c:v>
                </c:pt>
                <c:pt idx="349">
                  <c:v>71.428571428571431</c:v>
                </c:pt>
                <c:pt idx="350">
                  <c:v>57.142857142857146</c:v>
                </c:pt>
                <c:pt idx="351">
                  <c:v>42.857142857142854</c:v>
                </c:pt>
                <c:pt idx="352">
                  <c:v>42.857142857142854</c:v>
                </c:pt>
                <c:pt idx="353">
                  <c:v>28.571428571428573</c:v>
                </c:pt>
                <c:pt idx="354">
                  <c:v>57.142857142857146</c:v>
                </c:pt>
                <c:pt idx="355">
                  <c:v>28.571428571428573</c:v>
                </c:pt>
                <c:pt idx="356">
                  <c:v>14.285714285714286</c:v>
                </c:pt>
                <c:pt idx="357">
                  <c:v>28.571428571428573</c:v>
                </c:pt>
                <c:pt idx="358">
                  <c:v>50</c:v>
                </c:pt>
                <c:pt idx="359">
                  <c:v>42.857142857142854</c:v>
                </c:pt>
                <c:pt idx="360">
                  <c:v>14.285714285714286</c:v>
                </c:pt>
                <c:pt idx="361">
                  <c:v>14.285714285714286</c:v>
                </c:pt>
                <c:pt idx="362">
                  <c:v>14.285714285714286</c:v>
                </c:pt>
                <c:pt idx="363">
                  <c:v>14.285714285714286</c:v>
                </c:pt>
                <c:pt idx="364">
                  <c:v>28.571428571428573</c:v>
                </c:pt>
                <c:pt idx="365">
                  <c:v>0</c:v>
                </c:pt>
                <c:pt idx="366">
                  <c:v>28.571428571428573</c:v>
                </c:pt>
                <c:pt idx="367">
                  <c:v>28.571428571428573</c:v>
                </c:pt>
                <c:pt idx="368">
                  <c:v>14.285714285714286</c:v>
                </c:pt>
                <c:pt idx="369">
                  <c:v>57.142857142857146</c:v>
                </c:pt>
                <c:pt idx="370">
                  <c:v>57.142857142857146</c:v>
                </c:pt>
                <c:pt idx="371">
                  <c:v>85.714285714285708</c:v>
                </c:pt>
                <c:pt idx="372">
                  <c:v>71.428571428571431</c:v>
                </c:pt>
                <c:pt idx="373">
                  <c:v>85.714285714285708</c:v>
                </c:pt>
                <c:pt idx="374">
                  <c:v>57.142857142857146</c:v>
                </c:pt>
                <c:pt idx="375">
                  <c:v>71.428571428571431</c:v>
                </c:pt>
                <c:pt idx="376">
                  <c:v>71.428571428571431</c:v>
                </c:pt>
                <c:pt idx="377">
                  <c:v>57.142857142857146</c:v>
                </c:pt>
                <c:pt idx="378">
                  <c:v>71.428571428571431</c:v>
                </c:pt>
                <c:pt idx="379">
                  <c:v>57.142857142857146</c:v>
                </c:pt>
                <c:pt idx="380">
                  <c:v>64.285714285714292</c:v>
                </c:pt>
                <c:pt idx="381">
                  <c:v>85.714285714285708</c:v>
                </c:pt>
                <c:pt idx="382">
                  <c:v>85.714285714285708</c:v>
                </c:pt>
                <c:pt idx="383">
                  <c:v>71.428571428571431</c:v>
                </c:pt>
                <c:pt idx="384">
                  <c:v>85.714285714285708</c:v>
                </c:pt>
                <c:pt idx="385">
                  <c:v>57.142857142857146</c:v>
                </c:pt>
                <c:pt idx="386">
                  <c:v>50</c:v>
                </c:pt>
                <c:pt idx="387">
                  <c:v>50</c:v>
                </c:pt>
                <c:pt idx="388">
                  <c:v>42.857142857142854</c:v>
                </c:pt>
                <c:pt idx="389">
                  <c:v>57.142857142857146</c:v>
                </c:pt>
                <c:pt idx="390">
                  <c:v>42.857142857142854</c:v>
                </c:pt>
                <c:pt idx="391">
                  <c:v>100</c:v>
                </c:pt>
                <c:pt idx="392">
                  <c:v>83.333333333333343</c:v>
                </c:pt>
                <c:pt idx="393">
                  <c:v>57.142857142857146</c:v>
                </c:pt>
                <c:pt idx="394">
                  <c:v>71.428571428571431</c:v>
                </c:pt>
                <c:pt idx="395">
                  <c:v>57.142857142857146</c:v>
                </c:pt>
                <c:pt idx="396">
                  <c:v>42.857142857142854</c:v>
                </c:pt>
                <c:pt idx="397">
                  <c:v>42.857142857142854</c:v>
                </c:pt>
                <c:pt idx="398">
                  <c:v>57.142857142857146</c:v>
                </c:pt>
                <c:pt idx="399">
                  <c:v>64.285714285714292</c:v>
                </c:pt>
                <c:pt idx="400">
                  <c:v>71.428571428571431</c:v>
                </c:pt>
                <c:pt idx="401">
                  <c:v>71.428571428571431</c:v>
                </c:pt>
                <c:pt idx="402">
                  <c:v>57.142857142857146</c:v>
                </c:pt>
                <c:pt idx="403">
                  <c:v>57.142857142857146</c:v>
                </c:pt>
                <c:pt idx="404">
                  <c:v>64.285714285714292</c:v>
                </c:pt>
                <c:pt idx="405">
                  <c:v>42.857142857142854</c:v>
                </c:pt>
                <c:pt idx="406">
                  <c:v>57.142857142857146</c:v>
                </c:pt>
                <c:pt idx="407">
                  <c:v>57.142857142857146</c:v>
                </c:pt>
                <c:pt idx="408">
                  <c:v>14.285714285714286</c:v>
                </c:pt>
                <c:pt idx="409">
                  <c:v>42.857142857142854</c:v>
                </c:pt>
                <c:pt idx="410">
                  <c:v>71.428571428571431</c:v>
                </c:pt>
                <c:pt idx="411">
                  <c:v>57.142857142857146</c:v>
                </c:pt>
                <c:pt idx="412">
                  <c:v>71.428571428571431</c:v>
                </c:pt>
                <c:pt idx="413">
                  <c:v>100</c:v>
                </c:pt>
                <c:pt idx="414">
                  <c:v>71.428571428571431</c:v>
                </c:pt>
                <c:pt idx="415">
                  <c:v>57.142857142857146</c:v>
                </c:pt>
                <c:pt idx="416">
                  <c:v>85.714285714285708</c:v>
                </c:pt>
                <c:pt idx="417">
                  <c:v>71.428571428571431</c:v>
                </c:pt>
                <c:pt idx="418">
                  <c:v>85.714285714285708</c:v>
                </c:pt>
                <c:pt idx="419">
                  <c:v>85.714285714285708</c:v>
                </c:pt>
                <c:pt idx="420">
                  <c:v>71.428571428571431</c:v>
                </c:pt>
                <c:pt idx="421">
                  <c:v>78.571428571428569</c:v>
                </c:pt>
                <c:pt idx="422">
                  <c:v>42.857142857142854</c:v>
                </c:pt>
                <c:pt idx="423">
                  <c:v>57.142857142857146</c:v>
                </c:pt>
                <c:pt idx="424">
                  <c:v>42.857142857142854</c:v>
                </c:pt>
                <c:pt idx="425">
                  <c:v>42.857142857142854</c:v>
                </c:pt>
                <c:pt idx="426">
                  <c:v>57.142857142857146</c:v>
                </c:pt>
                <c:pt idx="427">
                  <c:v>71.428571428571431</c:v>
                </c:pt>
                <c:pt idx="428">
                  <c:v>100</c:v>
                </c:pt>
                <c:pt idx="429">
                  <c:v>42.857142857142854</c:v>
                </c:pt>
                <c:pt idx="430">
                  <c:v>57.142857142857146</c:v>
                </c:pt>
                <c:pt idx="431">
                  <c:v>28.571428571428573</c:v>
                </c:pt>
                <c:pt idx="432">
                  <c:v>28.571428571428573</c:v>
                </c:pt>
                <c:pt idx="433">
                  <c:v>28.571428571428573</c:v>
                </c:pt>
                <c:pt idx="434">
                  <c:v>28.571428571428573</c:v>
                </c:pt>
                <c:pt idx="435">
                  <c:v>57.142857142857146</c:v>
                </c:pt>
                <c:pt idx="436">
                  <c:v>57.142857142857146</c:v>
                </c:pt>
                <c:pt idx="437">
                  <c:v>71.428571428571431</c:v>
                </c:pt>
                <c:pt idx="438">
                  <c:v>42.857142857142854</c:v>
                </c:pt>
                <c:pt idx="439">
                  <c:v>42.857142857142854</c:v>
                </c:pt>
                <c:pt idx="440">
                  <c:v>0</c:v>
                </c:pt>
                <c:pt idx="441">
                  <c:v>42.857142857142854</c:v>
                </c:pt>
                <c:pt idx="442">
                  <c:v>28.571428571428573</c:v>
                </c:pt>
                <c:pt idx="443">
                  <c:v>71.428571428571431</c:v>
                </c:pt>
                <c:pt idx="444">
                  <c:v>71.428571428571431</c:v>
                </c:pt>
                <c:pt idx="445">
                  <c:v>85.714285714285708</c:v>
                </c:pt>
                <c:pt idx="446">
                  <c:v>42.857142857142854</c:v>
                </c:pt>
                <c:pt idx="447">
                  <c:v>71.428571428571431</c:v>
                </c:pt>
                <c:pt idx="448">
                  <c:v>42.857142857142854</c:v>
                </c:pt>
                <c:pt idx="449">
                  <c:v>28.571428571428573</c:v>
                </c:pt>
                <c:pt idx="450">
                  <c:v>28.571428571428573</c:v>
                </c:pt>
                <c:pt idx="451">
                  <c:v>28.571428571428573</c:v>
                </c:pt>
                <c:pt idx="452">
                  <c:v>28.571428571428573</c:v>
                </c:pt>
                <c:pt idx="453">
                  <c:v>42.857142857142854</c:v>
                </c:pt>
                <c:pt idx="454">
                  <c:v>85.714285714285708</c:v>
                </c:pt>
                <c:pt idx="455">
                  <c:v>42.857142857142854</c:v>
                </c:pt>
                <c:pt idx="456">
                  <c:v>71.428571428571431</c:v>
                </c:pt>
                <c:pt idx="457">
                  <c:v>71.428571428571431</c:v>
                </c:pt>
                <c:pt idx="458">
                  <c:v>42.857142857142854</c:v>
                </c:pt>
                <c:pt idx="459">
                  <c:v>57.142857142857146</c:v>
                </c:pt>
                <c:pt idx="460">
                  <c:v>50</c:v>
                </c:pt>
                <c:pt idx="461">
                  <c:v>57.142857142857146</c:v>
                </c:pt>
                <c:pt idx="462">
                  <c:v>85.714285714285708</c:v>
                </c:pt>
                <c:pt idx="463">
                  <c:v>57.142857142857146</c:v>
                </c:pt>
                <c:pt idx="464">
                  <c:v>57.142857142857146</c:v>
                </c:pt>
                <c:pt idx="465">
                  <c:v>42.857142857142854</c:v>
                </c:pt>
                <c:pt idx="466">
                  <c:v>57.142857142857146</c:v>
                </c:pt>
                <c:pt idx="467">
                  <c:v>50</c:v>
                </c:pt>
                <c:pt idx="468">
                  <c:v>50</c:v>
                </c:pt>
                <c:pt idx="469">
                  <c:v>57.142857142857146</c:v>
                </c:pt>
                <c:pt idx="470">
                  <c:v>57.142857142857146</c:v>
                </c:pt>
                <c:pt idx="471">
                  <c:v>42.857142857142854</c:v>
                </c:pt>
                <c:pt idx="472">
                  <c:v>42.857142857142854</c:v>
                </c:pt>
                <c:pt idx="473">
                  <c:v>28.571428571428573</c:v>
                </c:pt>
                <c:pt idx="474">
                  <c:v>71.428571428571431</c:v>
                </c:pt>
                <c:pt idx="475">
                  <c:v>57.142857142857146</c:v>
                </c:pt>
                <c:pt idx="476">
                  <c:v>71.428571428571431</c:v>
                </c:pt>
                <c:pt idx="477">
                  <c:v>28.571428571428573</c:v>
                </c:pt>
                <c:pt idx="478">
                  <c:v>14.285714285714286</c:v>
                </c:pt>
                <c:pt idx="479">
                  <c:v>14.285714285714286</c:v>
                </c:pt>
                <c:pt idx="480">
                  <c:v>14.285714285714286</c:v>
                </c:pt>
                <c:pt idx="481">
                  <c:v>42.857142857142854</c:v>
                </c:pt>
                <c:pt idx="482">
                  <c:v>42.857142857142854</c:v>
                </c:pt>
                <c:pt idx="483">
                  <c:v>42.857142857142854</c:v>
                </c:pt>
                <c:pt idx="484">
                  <c:v>64.285714285714292</c:v>
                </c:pt>
                <c:pt idx="485">
                  <c:v>85.714285714285708</c:v>
                </c:pt>
                <c:pt idx="486">
                  <c:v>57.142857142857146</c:v>
                </c:pt>
                <c:pt idx="487">
                  <c:v>71.428571428571431</c:v>
                </c:pt>
                <c:pt idx="488">
                  <c:v>85.714285714285708</c:v>
                </c:pt>
                <c:pt idx="489">
                  <c:v>35.714285714285715</c:v>
                </c:pt>
                <c:pt idx="490">
                  <c:v>42.857142857142854</c:v>
                </c:pt>
                <c:pt idx="491">
                  <c:v>71.428571428571431</c:v>
                </c:pt>
                <c:pt idx="492">
                  <c:v>28.571428571428573</c:v>
                </c:pt>
                <c:pt idx="493">
                  <c:v>28.571428571428573</c:v>
                </c:pt>
                <c:pt idx="494">
                  <c:v>57.142857142857146</c:v>
                </c:pt>
                <c:pt idx="495">
                  <c:v>28.571428571428573</c:v>
                </c:pt>
                <c:pt idx="496">
                  <c:v>28.571428571428573</c:v>
                </c:pt>
                <c:pt idx="497">
                  <c:v>42.857142857142854</c:v>
                </c:pt>
                <c:pt idx="498">
                  <c:v>42.857142857142854</c:v>
                </c:pt>
                <c:pt idx="499">
                  <c:v>42.857142857142854</c:v>
                </c:pt>
                <c:pt idx="500">
                  <c:v>42.857142857142854</c:v>
                </c:pt>
                <c:pt idx="501">
                  <c:v>57.142857142857146</c:v>
                </c:pt>
                <c:pt idx="502">
                  <c:v>57.142857142857146</c:v>
                </c:pt>
                <c:pt idx="503">
                  <c:v>14.285714285714286</c:v>
                </c:pt>
                <c:pt idx="504">
                  <c:v>42.857142857142854</c:v>
                </c:pt>
                <c:pt idx="505">
                  <c:v>42.857142857142854</c:v>
                </c:pt>
                <c:pt idx="506">
                  <c:v>57.142857142857146</c:v>
                </c:pt>
                <c:pt idx="507">
                  <c:v>85.714285714285708</c:v>
                </c:pt>
                <c:pt idx="508">
                  <c:v>85.714285714285708</c:v>
                </c:pt>
                <c:pt idx="509">
                  <c:v>71.428571428571431</c:v>
                </c:pt>
                <c:pt idx="510">
                  <c:v>71.428571428571431</c:v>
                </c:pt>
                <c:pt idx="511">
                  <c:v>28.571428571428573</c:v>
                </c:pt>
                <c:pt idx="512">
                  <c:v>28.571428571428573</c:v>
                </c:pt>
                <c:pt idx="513">
                  <c:v>57.142857142857146</c:v>
                </c:pt>
                <c:pt idx="514">
                  <c:v>57.142857142857146</c:v>
                </c:pt>
                <c:pt idx="515">
                  <c:v>57.142857142857146</c:v>
                </c:pt>
                <c:pt idx="516">
                  <c:v>57.142857142857146</c:v>
                </c:pt>
                <c:pt idx="517">
                  <c:v>57.142857142857146</c:v>
                </c:pt>
                <c:pt idx="518">
                  <c:v>57.142857142857146</c:v>
                </c:pt>
                <c:pt idx="519">
                  <c:v>71.428571428571431</c:v>
                </c:pt>
                <c:pt idx="520">
                  <c:v>85.714285714285708</c:v>
                </c:pt>
                <c:pt idx="521">
                  <c:v>57.142857142857146</c:v>
                </c:pt>
                <c:pt idx="522">
                  <c:v>85.714285714285708</c:v>
                </c:pt>
                <c:pt idx="523">
                  <c:v>85.714285714285708</c:v>
                </c:pt>
                <c:pt idx="524">
                  <c:v>85.714285714285708</c:v>
                </c:pt>
                <c:pt idx="525">
                  <c:v>50</c:v>
                </c:pt>
                <c:pt idx="526">
                  <c:v>71.428571428571431</c:v>
                </c:pt>
                <c:pt idx="527">
                  <c:v>42.857142857142854</c:v>
                </c:pt>
                <c:pt idx="528">
                  <c:v>85.714285714285708</c:v>
                </c:pt>
                <c:pt idx="529">
                  <c:v>57.142857142857146</c:v>
                </c:pt>
                <c:pt idx="530">
                  <c:v>57.142857142857146</c:v>
                </c:pt>
                <c:pt idx="531">
                  <c:v>57.142857142857146</c:v>
                </c:pt>
                <c:pt idx="532">
                  <c:v>14.285714285714286</c:v>
                </c:pt>
                <c:pt idx="533">
                  <c:v>14.285714285714286</c:v>
                </c:pt>
                <c:pt idx="534">
                  <c:v>35.714285714285715</c:v>
                </c:pt>
                <c:pt idx="535">
                  <c:v>71.428571428571431</c:v>
                </c:pt>
                <c:pt idx="536">
                  <c:v>78.571428571428569</c:v>
                </c:pt>
                <c:pt idx="537">
                  <c:v>92.857142857142861</c:v>
                </c:pt>
                <c:pt idx="538">
                  <c:v>71.428571428571431</c:v>
                </c:pt>
                <c:pt idx="539">
                  <c:v>85.714285714285708</c:v>
                </c:pt>
                <c:pt idx="540">
                  <c:v>28.571428571428573</c:v>
                </c:pt>
                <c:pt idx="541">
                  <c:v>42.857142857142854</c:v>
                </c:pt>
                <c:pt idx="542">
                  <c:v>28.571428571428573</c:v>
                </c:pt>
                <c:pt idx="543">
                  <c:v>28.571428571428573</c:v>
                </c:pt>
                <c:pt idx="544">
                  <c:v>28.571428571428573</c:v>
                </c:pt>
                <c:pt idx="545">
                  <c:v>85.714285714285708</c:v>
                </c:pt>
                <c:pt idx="546">
                  <c:v>28.571428571428573</c:v>
                </c:pt>
                <c:pt idx="547">
                  <c:v>57.142857142857146</c:v>
                </c:pt>
                <c:pt idx="548">
                  <c:v>57.142857142857146</c:v>
                </c:pt>
                <c:pt idx="549">
                  <c:v>57.142857142857146</c:v>
                </c:pt>
                <c:pt idx="550">
                  <c:v>71.428571428571431</c:v>
                </c:pt>
                <c:pt idx="551">
                  <c:v>85.714285714285708</c:v>
                </c:pt>
                <c:pt idx="552">
                  <c:v>42.857142857142854</c:v>
                </c:pt>
                <c:pt idx="553">
                  <c:v>85.714285714285708</c:v>
                </c:pt>
                <c:pt idx="554">
                  <c:v>42.857142857142854</c:v>
                </c:pt>
                <c:pt idx="555">
                  <c:v>28.571428571428573</c:v>
                </c:pt>
                <c:pt idx="556">
                  <c:v>21.428571428571427</c:v>
                </c:pt>
                <c:pt idx="557">
                  <c:v>7.1428571428571432</c:v>
                </c:pt>
                <c:pt idx="558">
                  <c:v>42.857142857142854</c:v>
                </c:pt>
                <c:pt idx="559">
                  <c:v>14.285714285714286</c:v>
                </c:pt>
                <c:pt idx="560">
                  <c:v>42.857142857142854</c:v>
                </c:pt>
                <c:pt idx="561">
                  <c:v>57.142857142857146</c:v>
                </c:pt>
                <c:pt idx="562">
                  <c:v>57.142857142857146</c:v>
                </c:pt>
                <c:pt idx="563">
                  <c:v>57.142857142857146</c:v>
                </c:pt>
                <c:pt idx="564">
                  <c:v>35.714285714285715</c:v>
                </c:pt>
                <c:pt idx="565">
                  <c:v>28.571428571428573</c:v>
                </c:pt>
                <c:pt idx="566">
                  <c:v>14.285714285714286</c:v>
                </c:pt>
              </c:numCache>
            </c:numRef>
          </c:val>
          <c:smooth val="0"/>
          <c:extLst>
            <c:ext xmlns:c16="http://schemas.microsoft.com/office/drawing/2014/chart" uri="{C3380CC4-5D6E-409C-BE32-E72D297353CC}">
              <c16:uniqueId val="{00000001-B1B6-4426-AE6D-16A6F412B38A}"/>
            </c:ext>
          </c:extLst>
        </c:ser>
        <c:dLbls>
          <c:showLegendKey val="0"/>
          <c:showVal val="0"/>
          <c:showCatName val="0"/>
          <c:showSerName val="0"/>
          <c:showPercent val="0"/>
          <c:showBubbleSize val="0"/>
        </c:dLbls>
        <c:marker val="1"/>
        <c:smooth val="0"/>
        <c:axId val="566331784"/>
        <c:axId val="1"/>
      </c:lineChart>
      <c:lineChart>
        <c:grouping val="standard"/>
        <c:varyColors val="0"/>
        <c:ser>
          <c:idx val="2"/>
          <c:order val="2"/>
          <c:tx>
            <c:v>目盛り</c:v>
          </c:tx>
          <c:spPr>
            <a:ln w="25400">
              <a:solidFill>
                <a:srgbClr val="000000"/>
              </a:solidFill>
              <a:prstDash val="solid"/>
            </a:ln>
          </c:spPr>
          <c:marker>
            <c:symbol val="none"/>
          </c:marker>
          <c:cat>
            <c:strRef>
              <c:f>DI元データ!$B$5:$B$580</c:f>
              <c:strCache>
                <c:ptCount val="56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pt idx="564">
                  <c:v>8</c:v>
                </c:pt>
              </c:strCache>
            </c:strRef>
          </c:cat>
          <c:val>
            <c:numRef>
              <c:f>DI元データ!$N$5:$N$580</c:f>
              <c:numCache>
                <c:formatCode>General</c:formatCode>
                <c:ptCount val="57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pt idx="564">
                  <c:v>50</c:v>
                </c:pt>
                <c:pt idx="565">
                  <c:v>50</c:v>
                </c:pt>
                <c:pt idx="566">
                  <c:v>50</c:v>
                </c:pt>
                <c:pt idx="567">
                  <c:v>50</c:v>
                </c:pt>
                <c:pt idx="568">
                  <c:v>50</c:v>
                </c:pt>
                <c:pt idx="569">
                  <c:v>50</c:v>
                </c:pt>
                <c:pt idx="570">
                  <c:v>50</c:v>
                </c:pt>
                <c:pt idx="571">
                  <c:v>50</c:v>
                </c:pt>
                <c:pt idx="572">
                  <c:v>50</c:v>
                </c:pt>
                <c:pt idx="573">
                  <c:v>50</c:v>
                </c:pt>
                <c:pt idx="574">
                  <c:v>50</c:v>
                </c:pt>
                <c:pt idx="575">
                  <c:v>50</c:v>
                </c:pt>
              </c:numCache>
            </c:numRef>
          </c:val>
          <c:smooth val="0"/>
          <c:extLst>
            <c:ext xmlns:c16="http://schemas.microsoft.com/office/drawing/2014/chart" uri="{C3380CC4-5D6E-409C-BE32-E72D297353CC}">
              <c16:uniqueId val="{00000002-B1B6-4426-AE6D-16A6F412B38A}"/>
            </c:ext>
          </c:extLst>
        </c:ser>
        <c:dLbls>
          <c:showLegendKey val="0"/>
          <c:showVal val="0"/>
          <c:showCatName val="0"/>
          <c:showSerName val="0"/>
          <c:showPercent val="0"/>
          <c:showBubbleSize val="0"/>
        </c:dLbls>
        <c:marker val="1"/>
        <c:smooth val="0"/>
        <c:axId val="3"/>
        <c:axId val="4"/>
      </c:lineChart>
      <c:catAx>
        <c:axId val="566331784"/>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4266327931453464"/>
              <c:y val="0.801119217895928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5.2493438320209973E-3"/>
              <c:y val="4.0697825615834717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66331784"/>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oddFooter>&amp;C-11-</c:oddFooter>
    </c:headerFooter>
    <c:pageMargins b="1" l="0.75" r="0.75" t="1" header="0.51200000000000001" footer="0.51200000000000001"/>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35537107157381E-2"/>
          <c:y val="3.6968631348265932E-2"/>
          <c:w val="0.91711289814041752"/>
          <c:h val="0.9075793773641273"/>
        </c:manualLayout>
      </c:layout>
      <c:barChart>
        <c:barDir val="col"/>
        <c:grouping val="clustered"/>
        <c:varyColors val="0"/>
        <c:ser>
          <c:idx val="3"/>
          <c:order val="3"/>
          <c:tx>
            <c:strRef>
              <c:f>DI元データ!$Q$2</c:f>
              <c:strCache>
                <c:ptCount val="1"/>
                <c:pt idx="0">
                  <c:v>網かけ</c:v>
                </c:pt>
              </c:strCache>
            </c:strRef>
          </c:tx>
          <c:spPr>
            <a:solidFill>
              <a:srgbClr val="CC99FF"/>
            </a:solidFill>
            <a:ln w="25400">
              <a:pattFill prst="pct75">
                <a:fgClr>
                  <a:srgbClr val="CC99FF"/>
                </a:fgClr>
                <a:bgClr>
                  <a:srgbClr val="FFFFFF"/>
                </a:bgClr>
              </a:pattFill>
              <a:prstDash val="solid"/>
            </a:ln>
          </c:spPr>
          <c:invertIfNegative val="0"/>
          <c:cat>
            <c:strRef>
              <c:f>DI元データ!$B$5:$B$400</c:f>
              <c:strCache>
                <c:ptCount val="38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strCache>
            </c:strRef>
          </c:cat>
          <c:val>
            <c:numRef>
              <c:f>DI元データ!$Q$5:$Q$580</c:f>
              <c:numCache>
                <c:formatCode>General</c:formatCode>
                <c:ptCount val="576"/>
                <c:pt idx="9" formatCode="#,##0">
                  <c:v>2980</c:v>
                </c:pt>
                <c:pt idx="10" formatCode="#,##0">
                  <c:v>2980</c:v>
                </c:pt>
                <c:pt idx="11" formatCode="#,##0">
                  <c:v>2980</c:v>
                </c:pt>
                <c:pt idx="12" formatCode="#,##0">
                  <c:v>2980</c:v>
                </c:pt>
                <c:pt idx="13" formatCode="#,##0">
                  <c:v>2980</c:v>
                </c:pt>
                <c:pt idx="14" formatCode="#,##0">
                  <c:v>2980</c:v>
                </c:pt>
                <c:pt idx="15" formatCode="#,##0">
                  <c:v>2980</c:v>
                </c:pt>
                <c:pt idx="16" formatCode="#,##0">
                  <c:v>2980</c:v>
                </c:pt>
                <c:pt idx="17" formatCode="#,##0">
                  <c:v>2980</c:v>
                </c:pt>
                <c:pt idx="18" formatCode="#,##0">
                  <c:v>2980</c:v>
                </c:pt>
                <c:pt idx="19" formatCode="#,##0">
                  <c:v>2980</c:v>
                </c:pt>
                <c:pt idx="20" formatCode="#,##0">
                  <c:v>2980</c:v>
                </c:pt>
                <c:pt idx="21" formatCode="#,##0">
                  <c:v>2980</c:v>
                </c:pt>
                <c:pt idx="22" formatCode="#,##0">
                  <c:v>2980</c:v>
                </c:pt>
                <c:pt idx="23" formatCode="#,##0">
                  <c:v>2980</c:v>
                </c:pt>
                <c:pt idx="24" formatCode="#,##0">
                  <c:v>2980</c:v>
                </c:pt>
                <c:pt idx="25" formatCode="#,##0">
                  <c:v>2980</c:v>
                </c:pt>
                <c:pt idx="26" formatCode="#,##0">
                  <c:v>2980</c:v>
                </c:pt>
                <c:pt idx="27" formatCode="#,##0">
                  <c:v>2980</c:v>
                </c:pt>
                <c:pt idx="28" formatCode="#,##0">
                  <c:v>2980</c:v>
                </c:pt>
                <c:pt idx="29" formatCode="#,##0">
                  <c:v>2980</c:v>
                </c:pt>
                <c:pt idx="30" formatCode="#,##0">
                  <c:v>2980</c:v>
                </c:pt>
                <c:pt idx="31" formatCode="#,##0">
                  <c:v>2980</c:v>
                </c:pt>
                <c:pt idx="32" formatCode="#,##0">
                  <c:v>2980</c:v>
                </c:pt>
                <c:pt idx="33" formatCode="#,##0">
                  <c:v>2980</c:v>
                </c:pt>
                <c:pt idx="34" formatCode="#,##0">
                  <c:v>2980</c:v>
                </c:pt>
                <c:pt idx="35" formatCode="#,##0">
                  <c:v>2980</c:v>
                </c:pt>
                <c:pt idx="36" formatCode="#,##0">
                  <c:v>2980</c:v>
                </c:pt>
                <c:pt idx="37" formatCode="#,##0">
                  <c:v>2980</c:v>
                </c:pt>
                <c:pt idx="38" formatCode="#,##0">
                  <c:v>2980</c:v>
                </c:pt>
                <c:pt idx="39" formatCode="#,##0">
                  <c:v>2980</c:v>
                </c:pt>
                <c:pt idx="40" formatCode="#,##0">
                  <c:v>2980</c:v>
                </c:pt>
                <c:pt idx="41" formatCode="#,##0">
                  <c:v>2980</c:v>
                </c:pt>
                <c:pt idx="42" formatCode="#,##0">
                  <c:v>2980</c:v>
                </c:pt>
                <c:pt idx="43" formatCode="#,##0">
                  <c:v>2980</c:v>
                </c:pt>
                <c:pt idx="82" formatCode="#,##0">
                  <c:v>2980</c:v>
                </c:pt>
                <c:pt idx="83" formatCode="#,##0">
                  <c:v>2980</c:v>
                </c:pt>
                <c:pt idx="84" formatCode="#,##0">
                  <c:v>2980</c:v>
                </c:pt>
                <c:pt idx="85" formatCode="#,##0">
                  <c:v>2980</c:v>
                </c:pt>
                <c:pt idx="86" formatCode="#,##0">
                  <c:v>2980</c:v>
                </c:pt>
                <c:pt idx="87" formatCode="#,##0">
                  <c:v>2980</c:v>
                </c:pt>
                <c:pt idx="88" formatCode="#,##0">
                  <c:v>2980</c:v>
                </c:pt>
                <c:pt idx="89" formatCode="#,##0">
                  <c:v>2980</c:v>
                </c:pt>
                <c:pt idx="90" formatCode="#,##0">
                  <c:v>2980</c:v>
                </c:pt>
                <c:pt idx="91" formatCode="#,##0">
                  <c:v>2980</c:v>
                </c:pt>
                <c:pt idx="92" formatCode="#,##0">
                  <c:v>2980</c:v>
                </c:pt>
                <c:pt idx="93" formatCode="#,##0">
                  <c:v>2980</c:v>
                </c:pt>
                <c:pt idx="94" formatCode="#,##0">
                  <c:v>2980</c:v>
                </c:pt>
                <c:pt idx="95" formatCode="#,##0">
                  <c:v>2980</c:v>
                </c:pt>
                <c:pt idx="96" formatCode="#,##0">
                  <c:v>2980</c:v>
                </c:pt>
                <c:pt idx="97" formatCode="#,##0">
                  <c:v>2980</c:v>
                </c:pt>
                <c:pt idx="149" formatCode="#,##0">
                  <c:v>2980</c:v>
                </c:pt>
                <c:pt idx="150" formatCode="#,##0">
                  <c:v>2980</c:v>
                </c:pt>
                <c:pt idx="151" formatCode="#,##0">
                  <c:v>2980</c:v>
                </c:pt>
                <c:pt idx="152" formatCode="#,##0">
                  <c:v>2980</c:v>
                </c:pt>
                <c:pt idx="153" formatCode="#,##0">
                  <c:v>2980</c:v>
                </c:pt>
                <c:pt idx="154" formatCode="#,##0">
                  <c:v>2980</c:v>
                </c:pt>
                <c:pt idx="155" formatCode="#,##0">
                  <c:v>2980</c:v>
                </c:pt>
                <c:pt idx="156" formatCode="#,##0">
                  <c:v>2980</c:v>
                </c:pt>
                <c:pt idx="157" formatCode="#,##0">
                  <c:v>2980</c:v>
                </c:pt>
                <c:pt idx="158" formatCode="#,##0">
                  <c:v>2980</c:v>
                </c:pt>
                <c:pt idx="159" formatCode="#,##0">
                  <c:v>2980</c:v>
                </c:pt>
                <c:pt idx="160" formatCode="#,##0">
                  <c:v>2980</c:v>
                </c:pt>
                <c:pt idx="161" formatCode="#,##0">
                  <c:v>2980</c:v>
                </c:pt>
                <c:pt idx="162" formatCode="#,##0">
                  <c:v>2980</c:v>
                </c:pt>
                <c:pt idx="163" formatCode="#,##0">
                  <c:v>2980</c:v>
                </c:pt>
                <c:pt idx="164" formatCode="#,##0">
                  <c:v>2980</c:v>
                </c:pt>
                <c:pt idx="165" formatCode="#,##0">
                  <c:v>2980</c:v>
                </c:pt>
                <c:pt idx="166" formatCode="#,##0">
                  <c:v>2980</c:v>
                </c:pt>
                <c:pt idx="167" formatCode="#,##0">
                  <c:v>2980</c:v>
                </c:pt>
                <c:pt idx="168" formatCode="#,##0">
                  <c:v>2980</c:v>
                </c:pt>
                <c:pt idx="169" formatCode="#,##0">
                  <c:v>2980</c:v>
                </c:pt>
                <c:pt idx="170" formatCode="#,##0">
                  <c:v>2980</c:v>
                </c:pt>
                <c:pt idx="171" formatCode="#,##0">
                  <c:v>2980</c:v>
                </c:pt>
                <c:pt idx="172" formatCode="#,##0">
                  <c:v>2980</c:v>
                </c:pt>
                <c:pt idx="173" formatCode="#,##0">
                  <c:v>2980</c:v>
                </c:pt>
                <c:pt idx="174" formatCode="#,##0">
                  <c:v>2980</c:v>
                </c:pt>
                <c:pt idx="175" formatCode="#,##0">
                  <c:v>2980</c:v>
                </c:pt>
                <c:pt idx="176" formatCode="#,##0">
                  <c:v>2980</c:v>
                </c:pt>
                <c:pt idx="177" formatCode="#,##0">
                  <c:v>2980</c:v>
                </c:pt>
                <c:pt idx="222" formatCode="#,##0">
                  <c:v>2980</c:v>
                </c:pt>
                <c:pt idx="223" formatCode="#,##0">
                  <c:v>2980</c:v>
                </c:pt>
                <c:pt idx="224" formatCode="#,##0">
                  <c:v>2980</c:v>
                </c:pt>
                <c:pt idx="225" formatCode="#,##0">
                  <c:v>2980</c:v>
                </c:pt>
                <c:pt idx="226" formatCode="#,##0">
                  <c:v>2980</c:v>
                </c:pt>
                <c:pt idx="227" formatCode="#,##0">
                  <c:v>2980</c:v>
                </c:pt>
                <c:pt idx="228" formatCode="#,##0">
                  <c:v>2980</c:v>
                </c:pt>
                <c:pt idx="229" formatCode="#,##0">
                  <c:v>2980</c:v>
                </c:pt>
                <c:pt idx="230" formatCode="#,##0">
                  <c:v>2980</c:v>
                </c:pt>
                <c:pt idx="231" formatCode="#,##0">
                  <c:v>2980</c:v>
                </c:pt>
                <c:pt idx="232" formatCode="#,##0">
                  <c:v>2980</c:v>
                </c:pt>
                <c:pt idx="233" formatCode="#,##0">
                  <c:v>2980</c:v>
                </c:pt>
                <c:pt idx="234" formatCode="#,##0">
                  <c:v>2980</c:v>
                </c:pt>
                <c:pt idx="235" formatCode="#,##0">
                  <c:v>2980</c:v>
                </c:pt>
                <c:pt idx="236" formatCode="#,##0">
                  <c:v>2980</c:v>
                </c:pt>
                <c:pt idx="237" formatCode="#,##0">
                  <c:v>2980</c:v>
                </c:pt>
                <c:pt idx="238" formatCode="#,##0">
                  <c:v>2980</c:v>
                </c:pt>
                <c:pt idx="239" formatCode="#,##0">
                  <c:v>2980</c:v>
                </c:pt>
                <c:pt idx="240" formatCode="#,##0">
                  <c:v>2980</c:v>
                </c:pt>
                <c:pt idx="241" formatCode="#,##0">
                  <c:v>2980</c:v>
                </c:pt>
                <c:pt idx="242" formatCode="#,##0">
                  <c:v>2980</c:v>
                </c:pt>
                <c:pt idx="243" formatCode="#,##0">
                  <c:v>2980</c:v>
                </c:pt>
                <c:pt idx="244" formatCode="#,##0">
                  <c:v>2980</c:v>
                </c:pt>
                <c:pt idx="263" formatCode="#,##0">
                  <c:v>2980</c:v>
                </c:pt>
                <c:pt idx="264" formatCode="#,##0">
                  <c:v>2980</c:v>
                </c:pt>
                <c:pt idx="265" formatCode="#,##0">
                  <c:v>2980</c:v>
                </c:pt>
                <c:pt idx="266" formatCode="#,##0">
                  <c:v>2980</c:v>
                </c:pt>
                <c:pt idx="267" formatCode="#,##0">
                  <c:v>2980</c:v>
                </c:pt>
                <c:pt idx="268" formatCode="#,##0">
                  <c:v>2980</c:v>
                </c:pt>
                <c:pt idx="269" formatCode="#,##0">
                  <c:v>2980</c:v>
                </c:pt>
                <c:pt idx="270" formatCode="#,##0">
                  <c:v>2980</c:v>
                </c:pt>
                <c:pt idx="271" formatCode="#,##0">
                  <c:v>2980</c:v>
                </c:pt>
                <c:pt idx="272" formatCode="#,##0">
                  <c:v>2980</c:v>
                </c:pt>
                <c:pt idx="273" formatCode="#,##0">
                  <c:v>2980</c:v>
                </c:pt>
                <c:pt idx="274" formatCode="#,##0">
                  <c:v>2980</c:v>
                </c:pt>
                <c:pt idx="275" formatCode="#,##0">
                  <c:v>2980</c:v>
                </c:pt>
                <c:pt idx="276" formatCode="#,##0">
                  <c:v>2980</c:v>
                </c:pt>
                <c:pt idx="345" formatCode="#,##0">
                  <c:v>2980</c:v>
                </c:pt>
                <c:pt idx="346" formatCode="#,##0">
                  <c:v>2980</c:v>
                </c:pt>
                <c:pt idx="347" formatCode="#,##0">
                  <c:v>2980</c:v>
                </c:pt>
                <c:pt idx="348" formatCode="#,##0">
                  <c:v>2980</c:v>
                </c:pt>
                <c:pt idx="349" formatCode="#,##0">
                  <c:v>2980</c:v>
                </c:pt>
                <c:pt idx="350" formatCode="#,##0">
                  <c:v>2980</c:v>
                </c:pt>
                <c:pt idx="351" formatCode="#,##0">
                  <c:v>2980</c:v>
                </c:pt>
                <c:pt idx="352" formatCode="#,##0">
                  <c:v>2980</c:v>
                </c:pt>
                <c:pt idx="353" formatCode="#,##0">
                  <c:v>2980</c:v>
                </c:pt>
                <c:pt idx="354" formatCode="#,##0">
                  <c:v>2980</c:v>
                </c:pt>
                <c:pt idx="355" formatCode="#,##0">
                  <c:v>2980</c:v>
                </c:pt>
                <c:pt idx="356" formatCode="#,##0">
                  <c:v>2980</c:v>
                </c:pt>
                <c:pt idx="357" formatCode="#,##0">
                  <c:v>2980</c:v>
                </c:pt>
                <c:pt idx="358" formatCode="#,##0">
                  <c:v>2980</c:v>
                </c:pt>
                <c:pt idx="359" formatCode="#,##0">
                  <c:v>2980</c:v>
                </c:pt>
                <c:pt idx="360" formatCode="#,##0">
                  <c:v>2980</c:v>
                </c:pt>
                <c:pt idx="361" formatCode="#,##0">
                  <c:v>2980</c:v>
                </c:pt>
                <c:pt idx="362" formatCode="#,##0">
                  <c:v>2980</c:v>
                </c:pt>
                <c:pt idx="399" formatCode="#,##0">
                  <c:v>2980</c:v>
                </c:pt>
                <c:pt idx="400" formatCode="#,##0">
                  <c:v>2980</c:v>
                </c:pt>
                <c:pt idx="401" formatCode="#,##0">
                  <c:v>2980</c:v>
                </c:pt>
                <c:pt idx="402" formatCode="#,##0">
                  <c:v>2980</c:v>
                </c:pt>
                <c:pt idx="403" formatCode="#,##0">
                  <c:v>2980</c:v>
                </c:pt>
                <c:pt idx="404" formatCode="#,##0">
                  <c:v>2980</c:v>
                </c:pt>
                <c:pt idx="405" formatCode="#,##0">
                  <c:v>2980</c:v>
                </c:pt>
                <c:pt idx="406" formatCode="#,##0">
                  <c:v>2980</c:v>
                </c:pt>
                <c:pt idx="475" formatCode="#,##0">
                  <c:v>2980</c:v>
                </c:pt>
                <c:pt idx="476" formatCode="#,##0">
                  <c:v>2980</c:v>
                </c:pt>
                <c:pt idx="477" formatCode="#,##0">
                  <c:v>2980</c:v>
                </c:pt>
                <c:pt idx="478" formatCode="#,##0">
                  <c:v>2980</c:v>
                </c:pt>
                <c:pt idx="479" formatCode="#,##0">
                  <c:v>2980</c:v>
                </c:pt>
                <c:pt idx="480" formatCode="#,##0">
                  <c:v>2980</c:v>
                </c:pt>
                <c:pt idx="481" formatCode="#,##0">
                  <c:v>2980</c:v>
                </c:pt>
                <c:pt idx="482" formatCode="#,##0">
                  <c:v>2980</c:v>
                </c:pt>
                <c:pt idx="483" formatCode="#,##0">
                  <c:v>2980</c:v>
                </c:pt>
                <c:pt idx="484" formatCode="#,##0">
                  <c:v>2980</c:v>
                </c:pt>
                <c:pt idx="485" formatCode="#,##0">
                  <c:v>2980</c:v>
                </c:pt>
                <c:pt idx="486" formatCode="#,##0">
                  <c:v>2980</c:v>
                </c:pt>
                <c:pt idx="487" formatCode="#,##0">
                  <c:v>2980</c:v>
                </c:pt>
                <c:pt idx="488" formatCode="#,##0">
                  <c:v>2980</c:v>
                </c:pt>
                <c:pt idx="489" formatCode="#,##0">
                  <c:v>2980</c:v>
                </c:pt>
                <c:pt idx="490" formatCode="#,##0">
                  <c:v>2980</c:v>
                </c:pt>
                <c:pt idx="491" formatCode="#,##0">
                  <c:v>2980</c:v>
                </c:pt>
                <c:pt idx="492" formatCode="#,##0">
                  <c:v>2980</c:v>
                </c:pt>
                <c:pt idx="493" formatCode="#,##0">
                  <c:v>2980</c:v>
                </c:pt>
                <c:pt idx="494" formatCode="#,##0">
                  <c:v>2980</c:v>
                </c:pt>
                <c:pt idx="495" formatCode="#,##0">
                  <c:v>2980</c:v>
                </c:pt>
                <c:pt idx="496" formatCode="#,##0">
                  <c:v>2980</c:v>
                </c:pt>
              </c:numCache>
            </c:numRef>
          </c:val>
          <c:extLst>
            <c:ext xmlns:c16="http://schemas.microsoft.com/office/drawing/2014/chart" uri="{C3380CC4-5D6E-409C-BE32-E72D297353CC}">
              <c16:uniqueId val="{00000000-FC8F-42B9-BDCE-D32A8FF9B34F}"/>
            </c:ext>
          </c:extLst>
        </c:ser>
        <c:dLbls>
          <c:showLegendKey val="0"/>
          <c:showVal val="0"/>
          <c:showCatName val="0"/>
          <c:showSerName val="0"/>
          <c:showPercent val="0"/>
          <c:showBubbleSize val="0"/>
        </c:dLbls>
        <c:gapWidth val="150"/>
        <c:axId val="566335064"/>
        <c:axId val="1"/>
      </c:barChart>
      <c:lineChart>
        <c:grouping val="standard"/>
        <c:varyColors val="0"/>
        <c:ser>
          <c:idx val="0"/>
          <c:order val="0"/>
          <c:tx>
            <c:strRef>
              <c:f>DI元データ!$J$3</c:f>
              <c:strCache>
                <c:ptCount val="1"/>
                <c:pt idx="0">
                  <c:v>先行指数</c:v>
                </c:pt>
              </c:strCache>
            </c:strRef>
          </c:tx>
          <c:spPr>
            <a:ln w="12700">
              <a:solidFill>
                <a:srgbClr val="000080"/>
              </a:solidFill>
              <a:prstDash val="solid"/>
            </a:ln>
          </c:spPr>
          <c:marker>
            <c:symbol val="none"/>
          </c:marker>
          <c:cat>
            <c:strRef>
              <c:f>DI元データ!$B$5:$B$580</c:f>
              <c:strCache>
                <c:ptCount val="56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pt idx="564">
                  <c:v>8</c:v>
                </c:pt>
              </c:strCache>
            </c:strRef>
          </c:cat>
          <c:val>
            <c:numRef>
              <c:f>DI元データ!$J$5:$J$580</c:f>
              <c:numCache>
                <c:formatCode>#,##0</c:formatCode>
                <c:ptCount val="576"/>
                <c:pt idx="0">
                  <c:v>2000</c:v>
                </c:pt>
                <c:pt idx="1">
                  <c:v>2020</c:v>
                </c:pt>
                <c:pt idx="2">
                  <c:v>2010</c:v>
                </c:pt>
                <c:pt idx="3">
                  <c:v>2000</c:v>
                </c:pt>
                <c:pt idx="4">
                  <c:v>1990</c:v>
                </c:pt>
                <c:pt idx="5">
                  <c:v>1960</c:v>
                </c:pt>
                <c:pt idx="6">
                  <c:v>1945</c:v>
                </c:pt>
                <c:pt idx="7">
                  <c:v>1945</c:v>
                </c:pt>
                <c:pt idx="8">
                  <c:v>1950</c:v>
                </c:pt>
                <c:pt idx="9">
                  <c:v>1955</c:v>
                </c:pt>
                <c:pt idx="10">
                  <c:v>1945</c:v>
                </c:pt>
                <c:pt idx="11">
                  <c:v>1945</c:v>
                </c:pt>
                <c:pt idx="12">
                  <c:v>1940</c:v>
                </c:pt>
                <c:pt idx="13">
                  <c:v>1920</c:v>
                </c:pt>
                <c:pt idx="14">
                  <c:v>1905</c:v>
                </c:pt>
                <c:pt idx="15">
                  <c:v>1910</c:v>
                </c:pt>
                <c:pt idx="16">
                  <c:v>1900</c:v>
                </c:pt>
                <c:pt idx="17">
                  <c:v>1860</c:v>
                </c:pt>
                <c:pt idx="18">
                  <c:v>1810</c:v>
                </c:pt>
                <c:pt idx="19">
                  <c:v>1770</c:v>
                </c:pt>
                <c:pt idx="20">
                  <c:v>1730</c:v>
                </c:pt>
                <c:pt idx="21">
                  <c:v>1700</c:v>
                </c:pt>
                <c:pt idx="22">
                  <c:v>1670</c:v>
                </c:pt>
                <c:pt idx="23">
                  <c:v>1645</c:v>
                </c:pt>
                <c:pt idx="24">
                  <c:v>1625</c:v>
                </c:pt>
                <c:pt idx="25">
                  <c:v>1605</c:v>
                </c:pt>
                <c:pt idx="26">
                  <c:v>1625</c:v>
                </c:pt>
                <c:pt idx="27">
                  <c:v>1635</c:v>
                </c:pt>
                <c:pt idx="28">
                  <c:v>1635</c:v>
                </c:pt>
                <c:pt idx="29">
                  <c:v>1635</c:v>
                </c:pt>
                <c:pt idx="30">
                  <c:v>1645</c:v>
                </c:pt>
                <c:pt idx="31">
                  <c:v>1645</c:v>
                </c:pt>
                <c:pt idx="32">
                  <c:v>1655</c:v>
                </c:pt>
                <c:pt idx="33">
                  <c:v>1645</c:v>
                </c:pt>
                <c:pt idx="34">
                  <c:v>1635</c:v>
                </c:pt>
                <c:pt idx="35">
                  <c:v>1625</c:v>
                </c:pt>
                <c:pt idx="36">
                  <c:v>1595</c:v>
                </c:pt>
                <c:pt idx="37">
                  <c:v>1565</c:v>
                </c:pt>
                <c:pt idx="38">
                  <c:v>1540</c:v>
                </c:pt>
                <c:pt idx="39">
                  <c:v>1560</c:v>
                </c:pt>
                <c:pt idx="40">
                  <c:v>1590</c:v>
                </c:pt>
                <c:pt idx="41">
                  <c:v>1640</c:v>
                </c:pt>
                <c:pt idx="42">
                  <c:v>1660</c:v>
                </c:pt>
                <c:pt idx="43">
                  <c:v>1680</c:v>
                </c:pt>
                <c:pt idx="44">
                  <c:v>1700</c:v>
                </c:pt>
                <c:pt idx="45">
                  <c:v>1690</c:v>
                </c:pt>
                <c:pt idx="46">
                  <c:v>1680</c:v>
                </c:pt>
                <c:pt idx="47">
                  <c:v>1680</c:v>
                </c:pt>
                <c:pt idx="48">
                  <c:v>1695</c:v>
                </c:pt>
                <c:pt idx="49">
                  <c:v>1675</c:v>
                </c:pt>
                <c:pt idx="50">
                  <c:v>1655</c:v>
                </c:pt>
                <c:pt idx="51">
                  <c:v>1635</c:v>
                </c:pt>
                <c:pt idx="52">
                  <c:v>1605</c:v>
                </c:pt>
                <c:pt idx="53">
                  <c:v>1585</c:v>
                </c:pt>
                <c:pt idx="54">
                  <c:v>1555</c:v>
                </c:pt>
                <c:pt idx="55">
                  <c:v>1545</c:v>
                </c:pt>
                <c:pt idx="56">
                  <c:v>1550</c:v>
                </c:pt>
                <c:pt idx="57">
                  <c:v>1560</c:v>
                </c:pt>
                <c:pt idx="58">
                  <c:v>1590</c:v>
                </c:pt>
                <c:pt idx="59">
                  <c:v>1600</c:v>
                </c:pt>
                <c:pt idx="60">
                  <c:v>1620</c:v>
                </c:pt>
                <c:pt idx="61">
                  <c:v>1650</c:v>
                </c:pt>
                <c:pt idx="62">
                  <c:v>1670</c:v>
                </c:pt>
                <c:pt idx="63">
                  <c:v>1710</c:v>
                </c:pt>
                <c:pt idx="64">
                  <c:v>1730</c:v>
                </c:pt>
                <c:pt idx="65">
                  <c:v>1750</c:v>
                </c:pt>
                <c:pt idx="66">
                  <c:v>1780</c:v>
                </c:pt>
                <c:pt idx="67">
                  <c:v>1795</c:v>
                </c:pt>
                <c:pt idx="68">
                  <c:v>1795</c:v>
                </c:pt>
                <c:pt idx="69">
                  <c:v>1795</c:v>
                </c:pt>
                <c:pt idx="70">
                  <c:v>1795</c:v>
                </c:pt>
                <c:pt idx="71">
                  <c:v>1805</c:v>
                </c:pt>
                <c:pt idx="72">
                  <c:v>1775</c:v>
                </c:pt>
                <c:pt idx="73">
                  <c:v>1780</c:v>
                </c:pt>
                <c:pt idx="74">
                  <c:v>1790</c:v>
                </c:pt>
                <c:pt idx="75">
                  <c:v>1795</c:v>
                </c:pt>
                <c:pt idx="76">
                  <c:v>1785</c:v>
                </c:pt>
                <c:pt idx="77">
                  <c:v>1775</c:v>
                </c:pt>
                <c:pt idx="78">
                  <c:v>1775</c:v>
                </c:pt>
                <c:pt idx="79">
                  <c:v>1775</c:v>
                </c:pt>
                <c:pt idx="80">
                  <c:v>1780</c:v>
                </c:pt>
                <c:pt idx="81">
                  <c:v>1780</c:v>
                </c:pt>
                <c:pt idx="82">
                  <c:v>1770</c:v>
                </c:pt>
                <c:pt idx="83">
                  <c:v>1785</c:v>
                </c:pt>
                <c:pt idx="84">
                  <c:v>1785</c:v>
                </c:pt>
                <c:pt idx="85">
                  <c:v>1770</c:v>
                </c:pt>
                <c:pt idx="86">
                  <c:v>1770</c:v>
                </c:pt>
                <c:pt idx="87">
                  <c:v>1780</c:v>
                </c:pt>
                <c:pt idx="88">
                  <c:v>1775</c:v>
                </c:pt>
                <c:pt idx="89">
                  <c:v>1775</c:v>
                </c:pt>
                <c:pt idx="90">
                  <c:v>1765</c:v>
                </c:pt>
                <c:pt idx="91">
                  <c:v>1750</c:v>
                </c:pt>
                <c:pt idx="92">
                  <c:v>1770</c:v>
                </c:pt>
                <c:pt idx="93">
                  <c:v>1785</c:v>
                </c:pt>
                <c:pt idx="94">
                  <c:v>1795</c:v>
                </c:pt>
                <c:pt idx="95">
                  <c:v>1825</c:v>
                </c:pt>
                <c:pt idx="96">
                  <c:v>1865</c:v>
                </c:pt>
                <c:pt idx="97">
                  <c:v>1900</c:v>
                </c:pt>
                <c:pt idx="98">
                  <c:v>1910</c:v>
                </c:pt>
                <c:pt idx="99">
                  <c:v>1935</c:v>
                </c:pt>
                <c:pt idx="100">
                  <c:v>1985</c:v>
                </c:pt>
                <c:pt idx="101">
                  <c:v>2035</c:v>
                </c:pt>
                <c:pt idx="102">
                  <c:v>2085</c:v>
                </c:pt>
                <c:pt idx="103">
                  <c:v>2115</c:v>
                </c:pt>
                <c:pt idx="104">
                  <c:v>2155</c:v>
                </c:pt>
                <c:pt idx="105">
                  <c:v>2195</c:v>
                </c:pt>
                <c:pt idx="106">
                  <c:v>2235</c:v>
                </c:pt>
                <c:pt idx="107">
                  <c:v>2265</c:v>
                </c:pt>
                <c:pt idx="108">
                  <c:v>2300.7142857142858</c:v>
                </c:pt>
                <c:pt idx="109">
                  <c:v>2336.4285714285716</c:v>
                </c:pt>
                <c:pt idx="110">
                  <c:v>2372.1428571428573</c:v>
                </c:pt>
                <c:pt idx="111">
                  <c:v>2407.8571428571431</c:v>
                </c:pt>
                <c:pt idx="112">
                  <c:v>2443.5714285714284</c:v>
                </c:pt>
                <c:pt idx="113">
                  <c:v>2436.4285714285716</c:v>
                </c:pt>
                <c:pt idx="114">
                  <c:v>2457.8571428571431</c:v>
                </c:pt>
                <c:pt idx="115">
                  <c:v>2436.4285714285716</c:v>
                </c:pt>
                <c:pt idx="116">
                  <c:v>2472.1428571428573</c:v>
                </c:pt>
                <c:pt idx="117">
                  <c:v>2507.8571428571431</c:v>
                </c:pt>
                <c:pt idx="118">
                  <c:v>2536.4285714285716</c:v>
                </c:pt>
                <c:pt idx="119">
                  <c:v>2543.5714285714284</c:v>
                </c:pt>
                <c:pt idx="120">
                  <c:v>2550.7142857142858</c:v>
                </c:pt>
                <c:pt idx="121">
                  <c:v>2529.2857142857142</c:v>
                </c:pt>
                <c:pt idx="122">
                  <c:v>2572.1428571428569</c:v>
                </c:pt>
                <c:pt idx="123">
                  <c:v>2607.8571428571427</c:v>
                </c:pt>
                <c:pt idx="124">
                  <c:v>2636.4285714285716</c:v>
                </c:pt>
                <c:pt idx="125">
                  <c:v>2686.4285714285716</c:v>
                </c:pt>
                <c:pt idx="126">
                  <c:v>2707.8571428571427</c:v>
                </c:pt>
                <c:pt idx="127">
                  <c:v>2715</c:v>
                </c:pt>
                <c:pt idx="128">
                  <c:v>2722.1428571428569</c:v>
                </c:pt>
                <c:pt idx="129">
                  <c:v>2743.5714285714284</c:v>
                </c:pt>
                <c:pt idx="130">
                  <c:v>2750.7142857142853</c:v>
                </c:pt>
                <c:pt idx="131">
                  <c:v>2772.1428571428569</c:v>
                </c:pt>
                <c:pt idx="132">
                  <c:v>2772.1428571428569</c:v>
                </c:pt>
                <c:pt idx="133">
                  <c:v>2779.2857142857142</c:v>
                </c:pt>
                <c:pt idx="134">
                  <c:v>2772.1428571428569</c:v>
                </c:pt>
                <c:pt idx="135">
                  <c:v>2786.4285714285716</c:v>
                </c:pt>
                <c:pt idx="136">
                  <c:v>2807.8571428571427</c:v>
                </c:pt>
                <c:pt idx="137">
                  <c:v>2829.2857142857142</c:v>
                </c:pt>
                <c:pt idx="138">
                  <c:v>2865</c:v>
                </c:pt>
                <c:pt idx="139">
                  <c:v>2900.7142857142853</c:v>
                </c:pt>
                <c:pt idx="140">
                  <c:v>2936.4285714285711</c:v>
                </c:pt>
                <c:pt idx="141">
                  <c:v>2922.1428571428569</c:v>
                </c:pt>
                <c:pt idx="142">
                  <c:v>2900.7142857142853</c:v>
                </c:pt>
                <c:pt idx="143">
                  <c:v>2865</c:v>
                </c:pt>
                <c:pt idx="144">
                  <c:v>2843.5714285714284</c:v>
                </c:pt>
                <c:pt idx="145">
                  <c:v>2836.4285714285711</c:v>
                </c:pt>
                <c:pt idx="146">
                  <c:v>2829.2857142857142</c:v>
                </c:pt>
                <c:pt idx="147">
                  <c:v>2850.7142857142853</c:v>
                </c:pt>
                <c:pt idx="148">
                  <c:v>2843.5714285714284</c:v>
                </c:pt>
                <c:pt idx="149">
                  <c:v>2807.8571428571427</c:v>
                </c:pt>
                <c:pt idx="150">
                  <c:v>2807.8571428571427</c:v>
                </c:pt>
                <c:pt idx="151">
                  <c:v>2815</c:v>
                </c:pt>
                <c:pt idx="152">
                  <c:v>2793.5714285714284</c:v>
                </c:pt>
                <c:pt idx="153">
                  <c:v>2800.7142857142853</c:v>
                </c:pt>
                <c:pt idx="154">
                  <c:v>2807.8571428571427</c:v>
                </c:pt>
                <c:pt idx="155">
                  <c:v>2786.4285714285711</c:v>
                </c:pt>
                <c:pt idx="156">
                  <c:v>2779.2857142857142</c:v>
                </c:pt>
                <c:pt idx="157">
                  <c:v>2743.5714285714284</c:v>
                </c:pt>
                <c:pt idx="158">
                  <c:v>2707.8571428571427</c:v>
                </c:pt>
                <c:pt idx="159">
                  <c:v>2729.2857142857142</c:v>
                </c:pt>
                <c:pt idx="160">
                  <c:v>2707.8571428571427</c:v>
                </c:pt>
                <c:pt idx="161">
                  <c:v>2715</c:v>
                </c:pt>
                <c:pt idx="162">
                  <c:v>2722.1428571428569</c:v>
                </c:pt>
                <c:pt idx="163">
                  <c:v>2729.2857142857142</c:v>
                </c:pt>
                <c:pt idx="164">
                  <c:v>2693.5714285714284</c:v>
                </c:pt>
                <c:pt idx="165">
                  <c:v>2700.7142857142853</c:v>
                </c:pt>
                <c:pt idx="166">
                  <c:v>2665</c:v>
                </c:pt>
                <c:pt idx="167">
                  <c:v>2643.5714285714284</c:v>
                </c:pt>
                <c:pt idx="168">
                  <c:v>2622.1428571428569</c:v>
                </c:pt>
                <c:pt idx="169">
                  <c:v>2572.1428571428569</c:v>
                </c:pt>
                <c:pt idx="170">
                  <c:v>2550.7142857142853</c:v>
                </c:pt>
                <c:pt idx="171">
                  <c:v>2557.8571428571427</c:v>
                </c:pt>
                <c:pt idx="172">
                  <c:v>2522.1428571428569</c:v>
                </c:pt>
                <c:pt idx="173">
                  <c:v>2500.7142857142853</c:v>
                </c:pt>
                <c:pt idx="174">
                  <c:v>2507.8571428571427</c:v>
                </c:pt>
                <c:pt idx="175">
                  <c:v>2500.7142857142853</c:v>
                </c:pt>
                <c:pt idx="176">
                  <c:v>2465</c:v>
                </c:pt>
                <c:pt idx="177">
                  <c:v>2457.8571428571427</c:v>
                </c:pt>
                <c:pt idx="178">
                  <c:v>2465</c:v>
                </c:pt>
                <c:pt idx="179">
                  <c:v>2457.8571428571427</c:v>
                </c:pt>
                <c:pt idx="180">
                  <c:v>2493.5714285714284</c:v>
                </c:pt>
                <c:pt idx="181">
                  <c:v>2515</c:v>
                </c:pt>
                <c:pt idx="182">
                  <c:v>2522.1428571428569</c:v>
                </c:pt>
                <c:pt idx="183">
                  <c:v>2557.8571428571427</c:v>
                </c:pt>
                <c:pt idx="184">
                  <c:v>2593.5714285714284</c:v>
                </c:pt>
                <c:pt idx="185">
                  <c:v>2629.2857142857138</c:v>
                </c:pt>
                <c:pt idx="186">
                  <c:v>2650.7142857142853</c:v>
                </c:pt>
                <c:pt idx="187">
                  <c:v>2700.7142857142853</c:v>
                </c:pt>
                <c:pt idx="188">
                  <c:v>2707.8571428571422</c:v>
                </c:pt>
                <c:pt idx="189">
                  <c:v>2722.1428571428569</c:v>
                </c:pt>
                <c:pt idx="190">
                  <c:v>2714.9999999999995</c:v>
                </c:pt>
                <c:pt idx="191">
                  <c:v>2707.8571428571427</c:v>
                </c:pt>
                <c:pt idx="192">
                  <c:v>2714.9999999999995</c:v>
                </c:pt>
                <c:pt idx="193">
                  <c:v>2722.1428571428569</c:v>
                </c:pt>
                <c:pt idx="194">
                  <c:v>2700.7142857142853</c:v>
                </c:pt>
                <c:pt idx="195">
                  <c:v>2679.2857142857138</c:v>
                </c:pt>
                <c:pt idx="196">
                  <c:v>2657.8571428571422</c:v>
                </c:pt>
                <c:pt idx="197">
                  <c:v>2636.4285714285711</c:v>
                </c:pt>
                <c:pt idx="198">
                  <c:v>2614.9999999999995</c:v>
                </c:pt>
                <c:pt idx="199">
                  <c:v>2622.1428571428569</c:v>
                </c:pt>
                <c:pt idx="200">
                  <c:v>2629.2857142857138</c:v>
                </c:pt>
                <c:pt idx="201">
                  <c:v>2650.7142857142853</c:v>
                </c:pt>
                <c:pt idx="202">
                  <c:v>2643.571428571428</c:v>
                </c:pt>
                <c:pt idx="203">
                  <c:v>2664.9999999999995</c:v>
                </c:pt>
                <c:pt idx="204">
                  <c:v>2672.1428571428569</c:v>
                </c:pt>
                <c:pt idx="205">
                  <c:v>2672.1428571428569</c:v>
                </c:pt>
                <c:pt idx="206">
                  <c:v>2707.8571428571422</c:v>
                </c:pt>
                <c:pt idx="207">
                  <c:v>2729.2857142857138</c:v>
                </c:pt>
                <c:pt idx="208">
                  <c:v>2750.7142857142853</c:v>
                </c:pt>
                <c:pt idx="209">
                  <c:v>2743.571428571428</c:v>
                </c:pt>
                <c:pt idx="210">
                  <c:v>2764.9999999999995</c:v>
                </c:pt>
                <c:pt idx="211">
                  <c:v>2800.7142857142853</c:v>
                </c:pt>
                <c:pt idx="212">
                  <c:v>2836.4285714285706</c:v>
                </c:pt>
                <c:pt idx="213">
                  <c:v>2843.571428571428</c:v>
                </c:pt>
                <c:pt idx="214">
                  <c:v>2864.9999999999995</c:v>
                </c:pt>
                <c:pt idx="215">
                  <c:v>2857.8571428571422</c:v>
                </c:pt>
                <c:pt idx="216">
                  <c:v>2864.9999999999995</c:v>
                </c:pt>
                <c:pt idx="217">
                  <c:v>2872.1428571428564</c:v>
                </c:pt>
                <c:pt idx="218">
                  <c:v>2893.571428571428</c:v>
                </c:pt>
                <c:pt idx="219">
                  <c:v>2886.4285714285706</c:v>
                </c:pt>
                <c:pt idx="220">
                  <c:v>2879.2857142857138</c:v>
                </c:pt>
                <c:pt idx="221">
                  <c:v>2843.571428571428</c:v>
                </c:pt>
                <c:pt idx="222">
                  <c:v>2800.7142857142853</c:v>
                </c:pt>
                <c:pt idx="223">
                  <c:v>2764.9999999999995</c:v>
                </c:pt>
                <c:pt idx="224">
                  <c:v>2757.8571428571422</c:v>
                </c:pt>
                <c:pt idx="225">
                  <c:v>2722.1428571428569</c:v>
                </c:pt>
                <c:pt idx="226">
                  <c:v>2686.4285714285711</c:v>
                </c:pt>
                <c:pt idx="227">
                  <c:v>2664.9999999999995</c:v>
                </c:pt>
                <c:pt idx="228">
                  <c:v>2629.2857142857138</c:v>
                </c:pt>
                <c:pt idx="229">
                  <c:v>2579.2857142857138</c:v>
                </c:pt>
                <c:pt idx="230">
                  <c:v>2557.8571428571427</c:v>
                </c:pt>
                <c:pt idx="231">
                  <c:v>2522.1428571428569</c:v>
                </c:pt>
                <c:pt idx="232">
                  <c:v>2472.1428571428569</c:v>
                </c:pt>
                <c:pt idx="233">
                  <c:v>2450.7142857142853</c:v>
                </c:pt>
                <c:pt idx="234">
                  <c:v>2429.2857142857138</c:v>
                </c:pt>
                <c:pt idx="235">
                  <c:v>2393.5714285714284</c:v>
                </c:pt>
                <c:pt idx="236">
                  <c:v>2364.9999999999995</c:v>
                </c:pt>
                <c:pt idx="237">
                  <c:v>2357.8571428571427</c:v>
                </c:pt>
                <c:pt idx="238">
                  <c:v>2336.4285714285711</c:v>
                </c:pt>
                <c:pt idx="239">
                  <c:v>2314.9999999999995</c:v>
                </c:pt>
                <c:pt idx="240">
                  <c:v>2322.1428571428569</c:v>
                </c:pt>
                <c:pt idx="241">
                  <c:v>2329.2857142857138</c:v>
                </c:pt>
                <c:pt idx="242">
                  <c:v>2314.9999999999995</c:v>
                </c:pt>
                <c:pt idx="243">
                  <c:v>2322.1428571428569</c:v>
                </c:pt>
                <c:pt idx="244">
                  <c:v>2343.5714285714284</c:v>
                </c:pt>
                <c:pt idx="245">
                  <c:v>2350.7142857142853</c:v>
                </c:pt>
                <c:pt idx="246">
                  <c:v>2357.8571428571427</c:v>
                </c:pt>
                <c:pt idx="247">
                  <c:v>2365</c:v>
                </c:pt>
                <c:pt idx="248">
                  <c:v>2372.1428571428569</c:v>
                </c:pt>
                <c:pt idx="249">
                  <c:v>2393.5714285714284</c:v>
                </c:pt>
                <c:pt idx="250">
                  <c:v>2415</c:v>
                </c:pt>
                <c:pt idx="251">
                  <c:v>2422.1428571428569</c:v>
                </c:pt>
                <c:pt idx="252">
                  <c:v>2429.2857142857142</c:v>
                </c:pt>
                <c:pt idx="253">
                  <c:v>2465</c:v>
                </c:pt>
                <c:pt idx="254">
                  <c:v>2493.5714285714284</c:v>
                </c:pt>
                <c:pt idx="255">
                  <c:v>2486.4285714285716</c:v>
                </c:pt>
                <c:pt idx="256">
                  <c:v>2493.5714285714284</c:v>
                </c:pt>
                <c:pt idx="257">
                  <c:v>2500.7142857142858</c:v>
                </c:pt>
                <c:pt idx="258">
                  <c:v>2493.5714285714284</c:v>
                </c:pt>
                <c:pt idx="259">
                  <c:v>2486.4285714285716</c:v>
                </c:pt>
                <c:pt idx="260">
                  <c:v>2493.5714285714284</c:v>
                </c:pt>
                <c:pt idx="261">
                  <c:v>2472.1428571428569</c:v>
                </c:pt>
                <c:pt idx="262">
                  <c:v>2493.5714285714284</c:v>
                </c:pt>
                <c:pt idx="263">
                  <c:v>2529.2857142857142</c:v>
                </c:pt>
                <c:pt idx="264">
                  <c:v>2493.5714285714284</c:v>
                </c:pt>
                <c:pt idx="265">
                  <c:v>2472.1428571428569</c:v>
                </c:pt>
                <c:pt idx="266">
                  <c:v>2450.7142857142858</c:v>
                </c:pt>
                <c:pt idx="267">
                  <c:v>2415</c:v>
                </c:pt>
                <c:pt idx="268">
                  <c:v>2379.2857142857142</c:v>
                </c:pt>
                <c:pt idx="269">
                  <c:v>2386.4285714285716</c:v>
                </c:pt>
                <c:pt idx="270">
                  <c:v>2393.5714285714284</c:v>
                </c:pt>
                <c:pt idx="271">
                  <c:v>2386.4285714285716</c:v>
                </c:pt>
                <c:pt idx="272">
                  <c:v>2379.2857142857142</c:v>
                </c:pt>
                <c:pt idx="273">
                  <c:v>2372.1428571428569</c:v>
                </c:pt>
                <c:pt idx="274">
                  <c:v>2350.7142857142853</c:v>
                </c:pt>
                <c:pt idx="275">
                  <c:v>2322.1428571428569</c:v>
                </c:pt>
                <c:pt idx="276">
                  <c:v>2286.4285714285711</c:v>
                </c:pt>
                <c:pt idx="277">
                  <c:v>2265</c:v>
                </c:pt>
                <c:pt idx="278">
                  <c:v>2257.8571428571427</c:v>
                </c:pt>
                <c:pt idx="279">
                  <c:v>2257.8571428571427</c:v>
                </c:pt>
                <c:pt idx="280">
                  <c:v>2265</c:v>
                </c:pt>
                <c:pt idx="281">
                  <c:v>2286.4285714285711</c:v>
                </c:pt>
                <c:pt idx="282">
                  <c:v>2307.8571428571427</c:v>
                </c:pt>
                <c:pt idx="283">
                  <c:v>2300.7142857142853</c:v>
                </c:pt>
                <c:pt idx="284">
                  <c:v>2336.4285714285711</c:v>
                </c:pt>
                <c:pt idx="285">
                  <c:v>2357.8571428571427</c:v>
                </c:pt>
                <c:pt idx="286">
                  <c:v>2407.8571428571427</c:v>
                </c:pt>
                <c:pt idx="287">
                  <c:v>2429.2857142857142</c:v>
                </c:pt>
                <c:pt idx="288">
                  <c:v>2450.7142857142858</c:v>
                </c:pt>
                <c:pt idx="289">
                  <c:v>2415</c:v>
                </c:pt>
                <c:pt idx="290">
                  <c:v>2379.2857142857142</c:v>
                </c:pt>
                <c:pt idx="291">
                  <c:v>2329.2857142857142</c:v>
                </c:pt>
                <c:pt idx="292">
                  <c:v>2293.5714285714284</c:v>
                </c:pt>
                <c:pt idx="293">
                  <c:v>2300.7142857142858</c:v>
                </c:pt>
                <c:pt idx="294">
                  <c:v>2322.1428571428569</c:v>
                </c:pt>
                <c:pt idx="295">
                  <c:v>2329.2857142857142</c:v>
                </c:pt>
                <c:pt idx="296">
                  <c:v>2336.4285714285716</c:v>
                </c:pt>
                <c:pt idx="297">
                  <c:v>2357.8571428571427</c:v>
                </c:pt>
                <c:pt idx="298">
                  <c:v>2365</c:v>
                </c:pt>
                <c:pt idx="299">
                  <c:v>2386.4285714285716</c:v>
                </c:pt>
                <c:pt idx="300">
                  <c:v>2393.5714285714284</c:v>
                </c:pt>
                <c:pt idx="301">
                  <c:v>2372.1428571428573</c:v>
                </c:pt>
                <c:pt idx="302">
                  <c:v>2336.4285714285716</c:v>
                </c:pt>
                <c:pt idx="303">
                  <c:v>2329.2857142857142</c:v>
                </c:pt>
                <c:pt idx="304">
                  <c:v>2293.5714285714284</c:v>
                </c:pt>
                <c:pt idx="305">
                  <c:v>2293.5714285714284</c:v>
                </c:pt>
                <c:pt idx="306">
                  <c:v>2300.7142857142858</c:v>
                </c:pt>
                <c:pt idx="307">
                  <c:v>2307.8571428571431</c:v>
                </c:pt>
                <c:pt idx="308">
                  <c:v>2315</c:v>
                </c:pt>
                <c:pt idx="309">
                  <c:v>2300.7142857142858</c:v>
                </c:pt>
                <c:pt idx="310">
                  <c:v>2293.5714285714284</c:v>
                </c:pt>
                <c:pt idx="311">
                  <c:v>2272.1428571428573</c:v>
                </c:pt>
                <c:pt idx="312">
                  <c:v>2250.7142857142858</c:v>
                </c:pt>
                <c:pt idx="313">
                  <c:v>2215</c:v>
                </c:pt>
                <c:pt idx="314">
                  <c:v>2207.8571428571431</c:v>
                </c:pt>
                <c:pt idx="315">
                  <c:v>2186.4285714285716</c:v>
                </c:pt>
                <c:pt idx="316">
                  <c:v>2207.8571428571431</c:v>
                </c:pt>
                <c:pt idx="317">
                  <c:v>2186.4285714285716</c:v>
                </c:pt>
                <c:pt idx="318">
                  <c:v>2193.5714285714284</c:v>
                </c:pt>
                <c:pt idx="319">
                  <c:v>2186.4285714285716</c:v>
                </c:pt>
                <c:pt idx="320">
                  <c:v>2207.8571428571431</c:v>
                </c:pt>
                <c:pt idx="321">
                  <c:v>2229.2857142857142</c:v>
                </c:pt>
                <c:pt idx="322">
                  <c:v>2265</c:v>
                </c:pt>
                <c:pt idx="323">
                  <c:v>2272.1428571428573</c:v>
                </c:pt>
                <c:pt idx="324">
                  <c:v>2307.8571428571431</c:v>
                </c:pt>
                <c:pt idx="325">
                  <c:v>2315</c:v>
                </c:pt>
                <c:pt idx="326">
                  <c:v>2322.1428571428573</c:v>
                </c:pt>
                <c:pt idx="327">
                  <c:v>2329.2857142857147</c:v>
                </c:pt>
                <c:pt idx="328">
                  <c:v>2365</c:v>
                </c:pt>
                <c:pt idx="329">
                  <c:v>2343.5714285714289</c:v>
                </c:pt>
                <c:pt idx="330">
                  <c:v>2379.2857142857147</c:v>
                </c:pt>
                <c:pt idx="331">
                  <c:v>2386.4285714285716</c:v>
                </c:pt>
                <c:pt idx="332">
                  <c:v>2393.5714285714289</c:v>
                </c:pt>
                <c:pt idx="333">
                  <c:v>2407.8571428571431</c:v>
                </c:pt>
                <c:pt idx="334">
                  <c:v>2429.2857142857147</c:v>
                </c:pt>
                <c:pt idx="335">
                  <c:v>2436.4285714285716</c:v>
                </c:pt>
                <c:pt idx="336">
                  <c:v>2443.5714285714289</c:v>
                </c:pt>
                <c:pt idx="337">
                  <c:v>2436.4285714285716</c:v>
                </c:pt>
                <c:pt idx="338">
                  <c:v>2400.7142857142858</c:v>
                </c:pt>
                <c:pt idx="339">
                  <c:v>2365</c:v>
                </c:pt>
                <c:pt idx="340">
                  <c:v>2357.8571428571431</c:v>
                </c:pt>
                <c:pt idx="341">
                  <c:v>2379.2857142857147</c:v>
                </c:pt>
                <c:pt idx="342">
                  <c:v>2343.5714285714289</c:v>
                </c:pt>
                <c:pt idx="343">
                  <c:v>2329.2857142857147</c:v>
                </c:pt>
                <c:pt idx="344">
                  <c:v>2293.5714285714289</c:v>
                </c:pt>
                <c:pt idx="345">
                  <c:v>2286.4285714285716</c:v>
                </c:pt>
                <c:pt idx="346">
                  <c:v>2265</c:v>
                </c:pt>
                <c:pt idx="347">
                  <c:v>2286.4285714285716</c:v>
                </c:pt>
                <c:pt idx="348">
                  <c:v>2257.8571428571431</c:v>
                </c:pt>
                <c:pt idx="349">
                  <c:v>2250.7142857142858</c:v>
                </c:pt>
                <c:pt idx="350">
                  <c:v>2243.5714285714289</c:v>
                </c:pt>
                <c:pt idx="351">
                  <c:v>2236.4285714285716</c:v>
                </c:pt>
                <c:pt idx="352">
                  <c:v>2200.7142857142858</c:v>
                </c:pt>
                <c:pt idx="353">
                  <c:v>2193.5714285714289</c:v>
                </c:pt>
                <c:pt idx="354">
                  <c:v>2172.1428571428573</c:v>
                </c:pt>
                <c:pt idx="355">
                  <c:v>2150.7142857142858</c:v>
                </c:pt>
                <c:pt idx="356">
                  <c:v>2129.2857142857147</c:v>
                </c:pt>
                <c:pt idx="357">
                  <c:v>2107.8571428571431</c:v>
                </c:pt>
                <c:pt idx="358">
                  <c:v>2086.4285714285716</c:v>
                </c:pt>
                <c:pt idx="359">
                  <c:v>2050.7142857142858</c:v>
                </c:pt>
                <c:pt idx="360">
                  <c:v>2029.2857142857144</c:v>
                </c:pt>
                <c:pt idx="361">
                  <c:v>1993.5714285714289</c:v>
                </c:pt>
                <c:pt idx="362">
                  <c:v>1957.8571428571431</c:v>
                </c:pt>
                <c:pt idx="363">
                  <c:v>1922.1428571428573</c:v>
                </c:pt>
                <c:pt idx="364">
                  <c:v>1886.4285714285716</c:v>
                </c:pt>
                <c:pt idx="365">
                  <c:v>1850.714285714286</c:v>
                </c:pt>
                <c:pt idx="366">
                  <c:v>1843.5714285714289</c:v>
                </c:pt>
                <c:pt idx="367">
                  <c:v>1836.4285714285716</c:v>
                </c:pt>
                <c:pt idx="368">
                  <c:v>1872.1428571428573</c:v>
                </c:pt>
                <c:pt idx="369">
                  <c:v>1893.5714285714289</c:v>
                </c:pt>
                <c:pt idx="370">
                  <c:v>1929.2857142857144</c:v>
                </c:pt>
                <c:pt idx="371">
                  <c:v>1936.4285714285716</c:v>
                </c:pt>
                <c:pt idx="372">
                  <c:v>1972.1428571428573</c:v>
                </c:pt>
                <c:pt idx="373">
                  <c:v>1957.8571428571431</c:v>
                </c:pt>
                <c:pt idx="374">
                  <c:v>1965.0000000000002</c:v>
                </c:pt>
                <c:pt idx="375">
                  <c:v>1986.4285714285716</c:v>
                </c:pt>
                <c:pt idx="376">
                  <c:v>2007.8571428571431</c:v>
                </c:pt>
                <c:pt idx="377">
                  <c:v>2050.7142857142858</c:v>
                </c:pt>
                <c:pt idx="378">
                  <c:v>2072.1428571428573</c:v>
                </c:pt>
                <c:pt idx="379">
                  <c:v>2093.5714285714289</c:v>
                </c:pt>
                <c:pt idx="380">
                  <c:v>2129.2857142857147</c:v>
                </c:pt>
                <c:pt idx="381">
                  <c:v>2122.1428571428573</c:v>
                </c:pt>
                <c:pt idx="382">
                  <c:v>2115.0000000000005</c:v>
                </c:pt>
                <c:pt idx="383">
                  <c:v>2136.4285714285716</c:v>
                </c:pt>
                <c:pt idx="384">
                  <c:v>2143.5714285714289</c:v>
                </c:pt>
                <c:pt idx="385">
                  <c:v>2129.2857142857147</c:v>
                </c:pt>
                <c:pt idx="386">
                  <c:v>2093.5714285714289</c:v>
                </c:pt>
                <c:pt idx="387">
                  <c:v>2079.2857142857147</c:v>
                </c:pt>
                <c:pt idx="388">
                  <c:v>2072.1428571428573</c:v>
                </c:pt>
                <c:pt idx="389">
                  <c:v>2050.7142857142858</c:v>
                </c:pt>
                <c:pt idx="390">
                  <c:v>2057.8571428571431</c:v>
                </c:pt>
                <c:pt idx="391">
                  <c:v>2107.8571428571431</c:v>
                </c:pt>
                <c:pt idx="392">
                  <c:v>2157.8571428571431</c:v>
                </c:pt>
                <c:pt idx="393">
                  <c:v>2193.5714285714289</c:v>
                </c:pt>
                <c:pt idx="394">
                  <c:v>2243.5714285714289</c:v>
                </c:pt>
                <c:pt idx="395">
                  <c:v>2265.0000000000005</c:v>
                </c:pt>
                <c:pt idx="396">
                  <c:v>2307.8571428571431</c:v>
                </c:pt>
                <c:pt idx="397">
                  <c:v>2343.5714285714289</c:v>
                </c:pt>
                <c:pt idx="398">
                  <c:v>2365.0000000000005</c:v>
                </c:pt>
                <c:pt idx="399">
                  <c:v>2400.7142857142862</c:v>
                </c:pt>
                <c:pt idx="400">
                  <c:v>2450.7142857142862</c:v>
                </c:pt>
                <c:pt idx="401">
                  <c:v>2457.8571428571431</c:v>
                </c:pt>
                <c:pt idx="402">
                  <c:v>2479.2857142857147</c:v>
                </c:pt>
                <c:pt idx="403">
                  <c:v>2493.5714285714289</c:v>
                </c:pt>
                <c:pt idx="404">
                  <c:v>2472.1428571428573</c:v>
                </c:pt>
                <c:pt idx="405">
                  <c:v>2457.8571428571431</c:v>
                </c:pt>
                <c:pt idx="406">
                  <c:v>2450.7142857142862</c:v>
                </c:pt>
                <c:pt idx="407">
                  <c:v>2415.0000000000005</c:v>
                </c:pt>
                <c:pt idx="408">
                  <c:v>2407.8571428571431</c:v>
                </c:pt>
                <c:pt idx="409">
                  <c:v>2415.0000000000005</c:v>
                </c:pt>
                <c:pt idx="410">
                  <c:v>2422.1428571428573</c:v>
                </c:pt>
                <c:pt idx="411">
                  <c:v>2400.7142857142862</c:v>
                </c:pt>
                <c:pt idx="412">
                  <c:v>2422.1428571428573</c:v>
                </c:pt>
                <c:pt idx="413">
                  <c:v>2429.2857142857147</c:v>
                </c:pt>
                <c:pt idx="414">
                  <c:v>2415.0000000000005</c:v>
                </c:pt>
                <c:pt idx="415">
                  <c:v>2422.1428571428573</c:v>
                </c:pt>
                <c:pt idx="416">
                  <c:v>2450.7142857142862</c:v>
                </c:pt>
                <c:pt idx="417">
                  <c:v>2443.5714285714289</c:v>
                </c:pt>
                <c:pt idx="418">
                  <c:v>2450.7142857142862</c:v>
                </c:pt>
                <c:pt idx="419">
                  <c:v>2457.8571428571431</c:v>
                </c:pt>
                <c:pt idx="420">
                  <c:v>2450.7142857142862</c:v>
                </c:pt>
                <c:pt idx="421">
                  <c:v>2436.4285714285716</c:v>
                </c:pt>
                <c:pt idx="422">
                  <c:v>2422.1428571428573</c:v>
                </c:pt>
                <c:pt idx="423">
                  <c:v>2393.5714285714289</c:v>
                </c:pt>
                <c:pt idx="424">
                  <c:v>2372.1428571428573</c:v>
                </c:pt>
                <c:pt idx="425">
                  <c:v>2350.7142857142862</c:v>
                </c:pt>
                <c:pt idx="426">
                  <c:v>2315.0000000000005</c:v>
                </c:pt>
                <c:pt idx="427">
                  <c:v>2293.5714285714289</c:v>
                </c:pt>
                <c:pt idx="428">
                  <c:v>2300.7142857142862</c:v>
                </c:pt>
                <c:pt idx="429">
                  <c:v>2315.0000000000005</c:v>
                </c:pt>
                <c:pt idx="430">
                  <c:v>2336.4285714285716</c:v>
                </c:pt>
                <c:pt idx="431">
                  <c:v>2372.1428571428573</c:v>
                </c:pt>
                <c:pt idx="432">
                  <c:v>2386.4285714285716</c:v>
                </c:pt>
                <c:pt idx="433">
                  <c:v>2386.4285714285716</c:v>
                </c:pt>
                <c:pt idx="434">
                  <c:v>2350.7142857142862</c:v>
                </c:pt>
                <c:pt idx="435">
                  <c:v>2329.2857142857147</c:v>
                </c:pt>
                <c:pt idx="436">
                  <c:v>2307.8571428571431</c:v>
                </c:pt>
                <c:pt idx="437">
                  <c:v>2300.7142857142862</c:v>
                </c:pt>
                <c:pt idx="438">
                  <c:v>2307.8571428571431</c:v>
                </c:pt>
                <c:pt idx="439">
                  <c:v>2300.7142857142862</c:v>
                </c:pt>
                <c:pt idx="440">
                  <c:v>2293.5714285714289</c:v>
                </c:pt>
                <c:pt idx="441">
                  <c:v>2257.8571428571431</c:v>
                </c:pt>
                <c:pt idx="442">
                  <c:v>2222.1428571428573</c:v>
                </c:pt>
                <c:pt idx="443">
                  <c:v>2200.7142857142858</c:v>
                </c:pt>
                <c:pt idx="444">
                  <c:v>2165.0000000000005</c:v>
                </c:pt>
                <c:pt idx="445">
                  <c:v>2150.7142857142858</c:v>
                </c:pt>
                <c:pt idx="446">
                  <c:v>2129.2857142857147</c:v>
                </c:pt>
                <c:pt idx="447">
                  <c:v>2122.1428571428573</c:v>
                </c:pt>
                <c:pt idx="448">
                  <c:v>2129.2857142857147</c:v>
                </c:pt>
                <c:pt idx="449">
                  <c:v>2107.8571428571431</c:v>
                </c:pt>
                <c:pt idx="450">
                  <c:v>2086.4285714285716</c:v>
                </c:pt>
                <c:pt idx="451">
                  <c:v>2093.5714285714289</c:v>
                </c:pt>
                <c:pt idx="452">
                  <c:v>2086.4285714285716</c:v>
                </c:pt>
                <c:pt idx="453">
                  <c:v>2065.0000000000005</c:v>
                </c:pt>
                <c:pt idx="454">
                  <c:v>2086.4285714285716</c:v>
                </c:pt>
                <c:pt idx="455">
                  <c:v>2107.8571428571431</c:v>
                </c:pt>
                <c:pt idx="456">
                  <c:v>2129.2857142857147</c:v>
                </c:pt>
                <c:pt idx="457">
                  <c:v>2136.4285714285716</c:v>
                </c:pt>
                <c:pt idx="458">
                  <c:v>2129.2857142857147</c:v>
                </c:pt>
                <c:pt idx="459">
                  <c:v>2143.5714285714289</c:v>
                </c:pt>
                <c:pt idx="460">
                  <c:v>2122.1428571428573</c:v>
                </c:pt>
                <c:pt idx="461">
                  <c:v>2122.1428571428573</c:v>
                </c:pt>
                <c:pt idx="462">
                  <c:v>2129.2857142857147</c:v>
                </c:pt>
                <c:pt idx="463">
                  <c:v>2122.1428571428573</c:v>
                </c:pt>
                <c:pt idx="464">
                  <c:v>2100.7142857142858</c:v>
                </c:pt>
                <c:pt idx="465">
                  <c:v>2065.0000000000005</c:v>
                </c:pt>
                <c:pt idx="466">
                  <c:v>2043.5714285714289</c:v>
                </c:pt>
                <c:pt idx="467">
                  <c:v>2022.1428571428573</c:v>
                </c:pt>
                <c:pt idx="468">
                  <c:v>2043.5714285714289</c:v>
                </c:pt>
                <c:pt idx="469">
                  <c:v>2065.0000000000005</c:v>
                </c:pt>
                <c:pt idx="470">
                  <c:v>2100.7142857142858</c:v>
                </c:pt>
                <c:pt idx="471">
                  <c:v>2129.2857142857147</c:v>
                </c:pt>
                <c:pt idx="472">
                  <c:v>2150.7142857142862</c:v>
                </c:pt>
                <c:pt idx="473">
                  <c:v>2165.0000000000005</c:v>
                </c:pt>
                <c:pt idx="474">
                  <c:v>2193.5714285714289</c:v>
                </c:pt>
                <c:pt idx="475">
                  <c:v>2200.7142857142858</c:v>
                </c:pt>
                <c:pt idx="476">
                  <c:v>2200.7142857142858</c:v>
                </c:pt>
                <c:pt idx="477">
                  <c:v>2207.8571428571431</c:v>
                </c:pt>
                <c:pt idx="478">
                  <c:v>2215.0000000000005</c:v>
                </c:pt>
                <c:pt idx="479">
                  <c:v>2207.8571428571431</c:v>
                </c:pt>
                <c:pt idx="480">
                  <c:v>2243.5714285714289</c:v>
                </c:pt>
                <c:pt idx="481">
                  <c:v>2250.7142857142858</c:v>
                </c:pt>
                <c:pt idx="482">
                  <c:v>2215.0000000000005</c:v>
                </c:pt>
                <c:pt idx="483">
                  <c:v>2193.5714285714289</c:v>
                </c:pt>
                <c:pt idx="484">
                  <c:v>2186.4285714285716</c:v>
                </c:pt>
                <c:pt idx="485">
                  <c:v>2186.4285714285716</c:v>
                </c:pt>
                <c:pt idx="486">
                  <c:v>2165.0000000000005</c:v>
                </c:pt>
                <c:pt idx="487">
                  <c:v>2143.5714285714289</c:v>
                </c:pt>
                <c:pt idx="488">
                  <c:v>2122.1428571428573</c:v>
                </c:pt>
                <c:pt idx="489">
                  <c:v>2093.5714285714289</c:v>
                </c:pt>
                <c:pt idx="490">
                  <c:v>2072.1428571428573</c:v>
                </c:pt>
                <c:pt idx="491">
                  <c:v>2036.4285714285718</c:v>
                </c:pt>
                <c:pt idx="492">
                  <c:v>2015.0000000000002</c:v>
                </c:pt>
                <c:pt idx="493">
                  <c:v>1979.2857142857147</c:v>
                </c:pt>
                <c:pt idx="494">
                  <c:v>1957.8571428571431</c:v>
                </c:pt>
                <c:pt idx="495">
                  <c:v>1922.1428571428573</c:v>
                </c:pt>
                <c:pt idx="496">
                  <c:v>1886.4285714285718</c:v>
                </c:pt>
                <c:pt idx="497">
                  <c:v>1850.714285714286</c:v>
                </c:pt>
                <c:pt idx="498">
                  <c:v>1815.0000000000002</c:v>
                </c:pt>
                <c:pt idx="499">
                  <c:v>1807.8571428571431</c:v>
                </c:pt>
                <c:pt idx="500">
                  <c:v>1829.2857142857147</c:v>
                </c:pt>
                <c:pt idx="501">
                  <c:v>1850.714285714286</c:v>
                </c:pt>
                <c:pt idx="502">
                  <c:v>1886.4285714285718</c:v>
                </c:pt>
                <c:pt idx="503">
                  <c:v>1907.8571428571431</c:v>
                </c:pt>
                <c:pt idx="504">
                  <c:v>1915.0000000000002</c:v>
                </c:pt>
                <c:pt idx="505">
                  <c:v>1893.5714285714289</c:v>
                </c:pt>
                <c:pt idx="506">
                  <c:v>1886.4285714285718</c:v>
                </c:pt>
                <c:pt idx="507">
                  <c:v>1907.8571428571431</c:v>
                </c:pt>
                <c:pt idx="508">
                  <c:v>1915.0000000000002</c:v>
                </c:pt>
                <c:pt idx="509">
                  <c:v>1907.8571428571431</c:v>
                </c:pt>
                <c:pt idx="510">
                  <c:v>1922.1428571428573</c:v>
                </c:pt>
                <c:pt idx="511">
                  <c:v>1943.5714285714289</c:v>
                </c:pt>
                <c:pt idx="512">
                  <c:v>1936.4285714285718</c:v>
                </c:pt>
                <c:pt idx="513">
                  <c:v>1922.1428571428573</c:v>
                </c:pt>
                <c:pt idx="514">
                  <c:v>1915.0000000000002</c:v>
                </c:pt>
                <c:pt idx="515">
                  <c:v>1907.8571428571431</c:v>
                </c:pt>
                <c:pt idx="516">
                  <c:v>1893.5714285714289</c:v>
                </c:pt>
                <c:pt idx="517">
                  <c:v>1886.4285714285718</c:v>
                </c:pt>
                <c:pt idx="518">
                  <c:v>1865.0000000000002</c:v>
                </c:pt>
                <c:pt idx="519">
                  <c:v>1857.8571428571431</c:v>
                </c:pt>
                <c:pt idx="520">
                  <c:v>1850.714285714286</c:v>
                </c:pt>
                <c:pt idx="521">
                  <c:v>1865.0000000000005</c:v>
                </c:pt>
                <c:pt idx="522">
                  <c:v>1900.714285714286</c:v>
                </c:pt>
                <c:pt idx="523">
                  <c:v>1907.8571428571431</c:v>
                </c:pt>
                <c:pt idx="524">
                  <c:v>1900.714285714286</c:v>
                </c:pt>
                <c:pt idx="525">
                  <c:v>1922.1428571428576</c:v>
                </c:pt>
                <c:pt idx="526">
                  <c:v>1922.1428571428576</c:v>
                </c:pt>
                <c:pt idx="527">
                  <c:v>1922.1428571428576</c:v>
                </c:pt>
                <c:pt idx="528">
                  <c:v>1915.0000000000005</c:v>
                </c:pt>
                <c:pt idx="529">
                  <c:v>1922.1428571428576</c:v>
                </c:pt>
                <c:pt idx="530">
                  <c:v>1900.714285714286</c:v>
                </c:pt>
                <c:pt idx="531">
                  <c:v>1907.8571428571431</c:v>
                </c:pt>
                <c:pt idx="532">
                  <c:v>1886.4285714285718</c:v>
                </c:pt>
                <c:pt idx="533">
                  <c:v>1879.2857142857147</c:v>
                </c:pt>
                <c:pt idx="534">
                  <c:v>1857.8571428571431</c:v>
                </c:pt>
                <c:pt idx="535">
                  <c:v>1865.0000000000005</c:v>
                </c:pt>
                <c:pt idx="536">
                  <c:v>1872.1428571428576</c:v>
                </c:pt>
                <c:pt idx="537">
                  <c:v>1843.5714285714289</c:v>
                </c:pt>
                <c:pt idx="538">
                  <c:v>1822.1428571428576</c:v>
                </c:pt>
                <c:pt idx="539">
                  <c:v>1836.4285714285718</c:v>
                </c:pt>
                <c:pt idx="540">
                  <c:v>1815.0000000000005</c:v>
                </c:pt>
                <c:pt idx="541">
                  <c:v>1765.0000000000005</c:v>
                </c:pt>
                <c:pt idx="542">
                  <c:v>1772.1428571428576</c:v>
                </c:pt>
                <c:pt idx="543">
                  <c:v>1765.0000000000005</c:v>
                </c:pt>
                <c:pt idx="544">
                  <c:v>1743.5714285714289</c:v>
                </c:pt>
                <c:pt idx="545">
                  <c:v>1736.4285714285718</c:v>
                </c:pt>
                <c:pt idx="546">
                  <c:v>1750.714285714286</c:v>
                </c:pt>
                <c:pt idx="547">
                  <c:v>1743.5714285714289</c:v>
                </c:pt>
                <c:pt idx="548">
                  <c:v>1750.714285714286</c:v>
                </c:pt>
                <c:pt idx="549">
                  <c:v>1772.1428571428573</c:v>
                </c:pt>
                <c:pt idx="550">
                  <c:v>1765.0000000000002</c:v>
                </c:pt>
                <c:pt idx="551">
                  <c:v>1772.1428571428573</c:v>
                </c:pt>
                <c:pt idx="552">
                  <c:v>1779.2857142857147</c:v>
                </c:pt>
                <c:pt idx="553">
                  <c:v>1800.714285714286</c:v>
                </c:pt>
                <c:pt idx="554">
                  <c:v>1800.714285714286</c:v>
                </c:pt>
                <c:pt idx="555">
                  <c:v>1850.714285714286</c:v>
                </c:pt>
                <c:pt idx="556">
                  <c:v>1872.1428571428573</c:v>
                </c:pt>
                <c:pt idx="557">
                  <c:v>1879.2857142857147</c:v>
                </c:pt>
                <c:pt idx="558">
                  <c:v>1900.714285714286</c:v>
                </c:pt>
                <c:pt idx="559">
                  <c:v>1893.5714285714289</c:v>
                </c:pt>
                <c:pt idx="560">
                  <c:v>1872.1428571428573</c:v>
                </c:pt>
                <c:pt idx="561">
                  <c:v>1879.2857142857147</c:v>
                </c:pt>
                <c:pt idx="562">
                  <c:v>1872.1428571428573</c:v>
                </c:pt>
                <c:pt idx="563">
                  <c:v>1865.0000000000002</c:v>
                </c:pt>
                <c:pt idx="564">
                  <c:v>1879.2857142857147</c:v>
                </c:pt>
                <c:pt idx="565">
                  <c:v>1872.1428571428573</c:v>
                </c:pt>
                <c:pt idx="566">
                  <c:v>1893.5714285714289</c:v>
                </c:pt>
              </c:numCache>
            </c:numRef>
          </c:val>
          <c:smooth val="0"/>
          <c:extLst>
            <c:ext xmlns:c16="http://schemas.microsoft.com/office/drawing/2014/chart" uri="{C3380CC4-5D6E-409C-BE32-E72D297353CC}">
              <c16:uniqueId val="{00000001-FC8F-42B9-BDCE-D32A8FF9B34F}"/>
            </c:ext>
          </c:extLst>
        </c:ser>
        <c:ser>
          <c:idx val="1"/>
          <c:order val="1"/>
          <c:tx>
            <c:strRef>
              <c:f>DI元データ!$K$3</c:f>
              <c:strCache>
                <c:ptCount val="1"/>
                <c:pt idx="0">
                  <c:v>一致指数</c:v>
                </c:pt>
              </c:strCache>
            </c:strRef>
          </c:tx>
          <c:spPr>
            <a:ln w="12700">
              <a:solidFill>
                <a:srgbClr val="FF0000"/>
              </a:solidFill>
              <a:prstDash val="solid"/>
            </a:ln>
          </c:spPr>
          <c:marker>
            <c:symbol val="none"/>
          </c:marker>
          <c:cat>
            <c:strRef>
              <c:f>DI元データ!$B$5:$B$580</c:f>
              <c:strCache>
                <c:ptCount val="56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pt idx="564">
                  <c:v>8</c:v>
                </c:pt>
              </c:strCache>
            </c:strRef>
          </c:cat>
          <c:val>
            <c:numRef>
              <c:f>DI元データ!$K$5:$K$580</c:f>
              <c:numCache>
                <c:formatCode>General</c:formatCode>
                <c:ptCount val="576"/>
                <c:pt idx="0">
                  <c:v>0</c:v>
                </c:pt>
                <c:pt idx="1">
                  <c:v>10</c:v>
                </c:pt>
                <c:pt idx="2">
                  <c:v>10</c:v>
                </c:pt>
                <c:pt idx="3">
                  <c:v>20</c:v>
                </c:pt>
                <c:pt idx="4">
                  <c:v>30</c:v>
                </c:pt>
                <c:pt idx="5">
                  <c:v>40</c:v>
                </c:pt>
                <c:pt idx="6">
                  <c:v>80</c:v>
                </c:pt>
                <c:pt idx="7">
                  <c:v>110</c:v>
                </c:pt>
                <c:pt idx="8">
                  <c:v>150</c:v>
                </c:pt>
                <c:pt idx="9">
                  <c:v>160</c:v>
                </c:pt>
                <c:pt idx="10" formatCode="0">
                  <c:v>160</c:v>
                </c:pt>
                <c:pt idx="11" formatCode="0">
                  <c:v>160</c:v>
                </c:pt>
                <c:pt idx="12" formatCode="0">
                  <c:v>150</c:v>
                </c:pt>
                <c:pt idx="13" formatCode="0">
                  <c:v>110</c:v>
                </c:pt>
                <c:pt idx="14" formatCode="0">
                  <c:v>70</c:v>
                </c:pt>
                <c:pt idx="15" formatCode="0">
                  <c:v>40</c:v>
                </c:pt>
                <c:pt idx="16" formatCode="0">
                  <c:v>45</c:v>
                </c:pt>
                <c:pt idx="17" formatCode="0">
                  <c:v>35</c:v>
                </c:pt>
                <c:pt idx="18" formatCode="0">
                  <c:v>25</c:v>
                </c:pt>
                <c:pt idx="19" formatCode="0">
                  <c:v>5</c:v>
                </c:pt>
                <c:pt idx="20" formatCode="0">
                  <c:v>-15</c:v>
                </c:pt>
                <c:pt idx="21" formatCode="0">
                  <c:v>-35</c:v>
                </c:pt>
                <c:pt idx="22" formatCode="0">
                  <c:v>-65</c:v>
                </c:pt>
                <c:pt idx="23" formatCode="0">
                  <c:v>-75</c:v>
                </c:pt>
                <c:pt idx="24" formatCode="0">
                  <c:v>-75</c:v>
                </c:pt>
                <c:pt idx="25" formatCode="0">
                  <c:v>-95</c:v>
                </c:pt>
                <c:pt idx="26" formatCode="0">
                  <c:v>-95</c:v>
                </c:pt>
                <c:pt idx="27" formatCode="0">
                  <c:v>-115</c:v>
                </c:pt>
                <c:pt idx="28" formatCode="0">
                  <c:v>-125</c:v>
                </c:pt>
                <c:pt idx="29" formatCode="0">
                  <c:v>-135</c:v>
                </c:pt>
                <c:pt idx="30" formatCode="0">
                  <c:v>-145</c:v>
                </c:pt>
                <c:pt idx="31" formatCode="0">
                  <c:v>-175</c:v>
                </c:pt>
                <c:pt idx="32" formatCode="0">
                  <c:v>-205</c:v>
                </c:pt>
                <c:pt idx="33" formatCode="0">
                  <c:v>-225</c:v>
                </c:pt>
                <c:pt idx="34" formatCode="0">
                  <c:v>-255</c:v>
                </c:pt>
                <c:pt idx="35" formatCode="0">
                  <c:v>-275</c:v>
                </c:pt>
                <c:pt idx="36" formatCode="0">
                  <c:v>-305</c:v>
                </c:pt>
                <c:pt idx="37" formatCode="0">
                  <c:v>-315</c:v>
                </c:pt>
                <c:pt idx="38" formatCode="0">
                  <c:v>-335</c:v>
                </c:pt>
                <c:pt idx="39" formatCode="0">
                  <c:v>-345</c:v>
                </c:pt>
                <c:pt idx="40" formatCode="0">
                  <c:v>-365</c:v>
                </c:pt>
                <c:pt idx="41" formatCode="0">
                  <c:v>-385</c:v>
                </c:pt>
                <c:pt idx="42" formatCode="0">
                  <c:v>-365</c:v>
                </c:pt>
                <c:pt idx="43" formatCode="0">
                  <c:v>-375</c:v>
                </c:pt>
                <c:pt idx="44" formatCode="0">
                  <c:v>-375</c:v>
                </c:pt>
                <c:pt idx="45" formatCode="0">
                  <c:v>-365</c:v>
                </c:pt>
                <c:pt idx="46" formatCode="0">
                  <c:v>-375</c:v>
                </c:pt>
                <c:pt idx="47" formatCode="0">
                  <c:v>-355</c:v>
                </c:pt>
                <c:pt idx="48" formatCode="0">
                  <c:v>-355</c:v>
                </c:pt>
                <c:pt idx="49" formatCode="0">
                  <c:v>-355</c:v>
                </c:pt>
                <c:pt idx="50" formatCode="0">
                  <c:v>-335</c:v>
                </c:pt>
                <c:pt idx="51" formatCode="0">
                  <c:v>-325</c:v>
                </c:pt>
                <c:pt idx="52" formatCode="0">
                  <c:v>-340</c:v>
                </c:pt>
                <c:pt idx="53" formatCode="0">
                  <c:v>-350</c:v>
                </c:pt>
                <c:pt idx="54" formatCode="0">
                  <c:v>-370</c:v>
                </c:pt>
                <c:pt idx="55" formatCode="0">
                  <c:v>-400</c:v>
                </c:pt>
                <c:pt idx="56" formatCode="0">
                  <c:v>-390</c:v>
                </c:pt>
                <c:pt idx="57" formatCode="0">
                  <c:v>-380</c:v>
                </c:pt>
                <c:pt idx="58" formatCode="0">
                  <c:v>-360</c:v>
                </c:pt>
                <c:pt idx="59" formatCode="0">
                  <c:v>-350</c:v>
                </c:pt>
                <c:pt idx="60" formatCode="0">
                  <c:v>-300</c:v>
                </c:pt>
                <c:pt idx="61" formatCode="0">
                  <c:v>-290</c:v>
                </c:pt>
                <c:pt idx="62" formatCode="0">
                  <c:v>-260</c:v>
                </c:pt>
                <c:pt idx="63" formatCode="0">
                  <c:v>-230</c:v>
                </c:pt>
                <c:pt idx="64" formatCode="0">
                  <c:v>-200</c:v>
                </c:pt>
                <c:pt idx="65" formatCode="0">
                  <c:v>-160</c:v>
                </c:pt>
                <c:pt idx="66" formatCode="0">
                  <c:v>-165</c:v>
                </c:pt>
                <c:pt idx="67" formatCode="0">
                  <c:v>-155</c:v>
                </c:pt>
                <c:pt idx="68" formatCode="0">
                  <c:v>-145</c:v>
                </c:pt>
                <c:pt idx="69" formatCode="0">
                  <c:v>-155</c:v>
                </c:pt>
                <c:pt idx="70" formatCode="0">
                  <c:v>-165</c:v>
                </c:pt>
                <c:pt idx="71" formatCode="0">
                  <c:v>-155</c:v>
                </c:pt>
                <c:pt idx="72" formatCode="0">
                  <c:v>-145</c:v>
                </c:pt>
                <c:pt idx="73" formatCode="0">
                  <c:v>-115</c:v>
                </c:pt>
                <c:pt idx="74" formatCode="0">
                  <c:v>-135</c:v>
                </c:pt>
                <c:pt idx="75" formatCode="0">
                  <c:v>-115</c:v>
                </c:pt>
                <c:pt idx="76" formatCode="0">
                  <c:v>-105</c:v>
                </c:pt>
                <c:pt idx="77" formatCode="0">
                  <c:v>-85</c:v>
                </c:pt>
                <c:pt idx="78" formatCode="0">
                  <c:v>-95</c:v>
                </c:pt>
                <c:pt idx="79" formatCode="0">
                  <c:v>-90</c:v>
                </c:pt>
                <c:pt idx="80" formatCode="0">
                  <c:v>-100</c:v>
                </c:pt>
                <c:pt idx="81" formatCode="0">
                  <c:v>-90</c:v>
                </c:pt>
                <c:pt idx="82" formatCode="0">
                  <c:v>-100</c:v>
                </c:pt>
                <c:pt idx="83" formatCode="0">
                  <c:v>-130</c:v>
                </c:pt>
                <c:pt idx="84" formatCode="0">
                  <c:v>-140</c:v>
                </c:pt>
                <c:pt idx="85" formatCode="0">
                  <c:v>-155</c:v>
                </c:pt>
                <c:pt idx="86" formatCode="0">
                  <c:v>-165</c:v>
                </c:pt>
                <c:pt idx="87" formatCode="0">
                  <c:v>-175</c:v>
                </c:pt>
                <c:pt idx="88" formatCode="0">
                  <c:v>-175</c:v>
                </c:pt>
                <c:pt idx="89" formatCode="0">
                  <c:v>-175</c:v>
                </c:pt>
                <c:pt idx="90" formatCode="0">
                  <c:v>-165</c:v>
                </c:pt>
                <c:pt idx="91" formatCode="0">
                  <c:v>-185</c:v>
                </c:pt>
                <c:pt idx="92" formatCode="0">
                  <c:v>-195</c:v>
                </c:pt>
                <c:pt idx="93" formatCode="0">
                  <c:v>-205</c:v>
                </c:pt>
                <c:pt idx="94" formatCode="0">
                  <c:v>-205</c:v>
                </c:pt>
                <c:pt idx="95" formatCode="0">
                  <c:v>-230</c:v>
                </c:pt>
                <c:pt idx="96" formatCode="0">
                  <c:v>-190</c:v>
                </c:pt>
                <c:pt idx="97" formatCode="0">
                  <c:v>-160</c:v>
                </c:pt>
                <c:pt idx="98" formatCode="0">
                  <c:v>-140</c:v>
                </c:pt>
                <c:pt idx="99" formatCode="0">
                  <c:v>-120</c:v>
                </c:pt>
                <c:pt idx="100" formatCode="0">
                  <c:v>-110</c:v>
                </c:pt>
                <c:pt idx="101" formatCode="0">
                  <c:v>-100</c:v>
                </c:pt>
                <c:pt idx="102" formatCode="0">
                  <c:v>-80</c:v>
                </c:pt>
                <c:pt idx="103" formatCode="0">
                  <c:v>-50</c:v>
                </c:pt>
                <c:pt idx="104" formatCode="0">
                  <c:v>-50</c:v>
                </c:pt>
                <c:pt idx="105" formatCode="0">
                  <c:v>-10</c:v>
                </c:pt>
                <c:pt idx="106" formatCode="0">
                  <c:v>20</c:v>
                </c:pt>
                <c:pt idx="107" formatCode="0">
                  <c:v>50</c:v>
                </c:pt>
                <c:pt idx="108" formatCode="0">
                  <c:v>75</c:v>
                </c:pt>
                <c:pt idx="109" formatCode="0">
                  <c:v>100</c:v>
                </c:pt>
                <c:pt idx="110" formatCode="0">
                  <c:v>125</c:v>
                </c:pt>
                <c:pt idx="111" formatCode="0">
                  <c:v>150</c:v>
                </c:pt>
                <c:pt idx="112" formatCode="0">
                  <c:v>175</c:v>
                </c:pt>
                <c:pt idx="113" formatCode="0">
                  <c:v>200</c:v>
                </c:pt>
                <c:pt idx="114" formatCode="0">
                  <c:v>200</c:v>
                </c:pt>
                <c:pt idx="115" formatCode="0">
                  <c:v>200</c:v>
                </c:pt>
                <c:pt idx="116" formatCode="0">
                  <c:v>225</c:v>
                </c:pt>
                <c:pt idx="117" formatCode="0">
                  <c:v>225</c:v>
                </c:pt>
                <c:pt idx="118" formatCode="0">
                  <c:v>250</c:v>
                </c:pt>
                <c:pt idx="119" formatCode="0">
                  <c:v>287.5</c:v>
                </c:pt>
                <c:pt idx="120" formatCode="0">
                  <c:v>300</c:v>
                </c:pt>
                <c:pt idx="121" formatCode="0">
                  <c:v>275</c:v>
                </c:pt>
                <c:pt idx="122" formatCode="0">
                  <c:v>300</c:v>
                </c:pt>
                <c:pt idx="123" formatCode="0">
                  <c:v>300</c:v>
                </c:pt>
                <c:pt idx="124" formatCode="0">
                  <c:v>325</c:v>
                </c:pt>
                <c:pt idx="125" formatCode="0">
                  <c:v>337.5</c:v>
                </c:pt>
                <c:pt idx="126" formatCode="0">
                  <c:v>362.5</c:v>
                </c:pt>
                <c:pt idx="127" formatCode="0">
                  <c:v>400</c:v>
                </c:pt>
                <c:pt idx="128" formatCode="0">
                  <c:v>437.5</c:v>
                </c:pt>
                <c:pt idx="129" formatCode="0">
                  <c:v>462.5</c:v>
                </c:pt>
                <c:pt idx="130" formatCode="0">
                  <c:v>487.5</c:v>
                </c:pt>
                <c:pt idx="131" formatCode="0">
                  <c:v>512.5</c:v>
                </c:pt>
                <c:pt idx="132" formatCode="0">
                  <c:v>525</c:v>
                </c:pt>
                <c:pt idx="133" formatCode="0">
                  <c:v>550</c:v>
                </c:pt>
                <c:pt idx="134" formatCode="0">
                  <c:v>587.5</c:v>
                </c:pt>
                <c:pt idx="135" formatCode="0">
                  <c:v>587.5</c:v>
                </c:pt>
                <c:pt idx="136" formatCode="0">
                  <c:v>581.25</c:v>
                </c:pt>
                <c:pt idx="137" formatCode="0">
                  <c:v>593.75</c:v>
                </c:pt>
                <c:pt idx="138" formatCode="0">
                  <c:v>618.75</c:v>
                </c:pt>
                <c:pt idx="139" formatCode="0">
                  <c:v>656.25</c:v>
                </c:pt>
                <c:pt idx="140" formatCode="0">
                  <c:v>643.75</c:v>
                </c:pt>
                <c:pt idx="141" formatCode="0">
                  <c:v>668.75</c:v>
                </c:pt>
                <c:pt idx="142" formatCode="0">
                  <c:v>675</c:v>
                </c:pt>
                <c:pt idx="143" formatCode="0">
                  <c:v>650</c:v>
                </c:pt>
                <c:pt idx="144" formatCode="0">
                  <c:v>650</c:v>
                </c:pt>
                <c:pt idx="145" formatCode="0">
                  <c:v>662.5</c:v>
                </c:pt>
                <c:pt idx="146" formatCode="0">
                  <c:v>650</c:v>
                </c:pt>
                <c:pt idx="147" formatCode="0">
                  <c:v>675</c:v>
                </c:pt>
                <c:pt idx="148" formatCode="0">
                  <c:v>700</c:v>
                </c:pt>
                <c:pt idx="149" formatCode="0">
                  <c:v>712.5</c:v>
                </c:pt>
                <c:pt idx="150" formatCode="0">
                  <c:v>712.5</c:v>
                </c:pt>
                <c:pt idx="151" formatCode="0">
                  <c:v>700</c:v>
                </c:pt>
                <c:pt idx="152" formatCode="0">
                  <c:v>650</c:v>
                </c:pt>
                <c:pt idx="153" formatCode="0">
                  <c:v>612.5</c:v>
                </c:pt>
                <c:pt idx="154" formatCode="0">
                  <c:v>612.5</c:v>
                </c:pt>
                <c:pt idx="155" formatCode="0">
                  <c:v>587.5</c:v>
                </c:pt>
                <c:pt idx="156" formatCode="0">
                  <c:v>575</c:v>
                </c:pt>
                <c:pt idx="157" formatCode="0">
                  <c:v>562.5</c:v>
                </c:pt>
                <c:pt idx="158" formatCode="0">
                  <c:v>512.5</c:v>
                </c:pt>
                <c:pt idx="159" formatCode="0">
                  <c:v>475</c:v>
                </c:pt>
                <c:pt idx="160" formatCode="0">
                  <c:v>450</c:v>
                </c:pt>
                <c:pt idx="161" formatCode="0">
                  <c:v>400</c:v>
                </c:pt>
                <c:pt idx="162" formatCode="0">
                  <c:v>350</c:v>
                </c:pt>
                <c:pt idx="163" formatCode="0">
                  <c:v>312.5</c:v>
                </c:pt>
                <c:pt idx="164" formatCode="0">
                  <c:v>300</c:v>
                </c:pt>
                <c:pt idx="165" formatCode="0">
                  <c:v>262.5</c:v>
                </c:pt>
                <c:pt idx="166" formatCode="0">
                  <c:v>225</c:v>
                </c:pt>
                <c:pt idx="167" formatCode="0">
                  <c:v>193.75</c:v>
                </c:pt>
                <c:pt idx="168" formatCode="0">
                  <c:v>206.25</c:v>
                </c:pt>
                <c:pt idx="169" formatCode="0">
                  <c:v>168.75</c:v>
                </c:pt>
                <c:pt idx="170" formatCode="0">
                  <c:v>181.25</c:v>
                </c:pt>
                <c:pt idx="171" formatCode="0">
                  <c:v>193.75</c:v>
                </c:pt>
                <c:pt idx="172" formatCode="0">
                  <c:v>168.75</c:v>
                </c:pt>
                <c:pt idx="173" formatCode="0">
                  <c:v>156.25</c:v>
                </c:pt>
                <c:pt idx="174" formatCode="0">
                  <c:v>168.75</c:v>
                </c:pt>
                <c:pt idx="175" formatCode="0">
                  <c:v>143.75</c:v>
                </c:pt>
                <c:pt idx="176" formatCode="0">
                  <c:v>131.25</c:v>
                </c:pt>
                <c:pt idx="177" formatCode="0">
                  <c:v>106.25</c:v>
                </c:pt>
                <c:pt idx="178" formatCode="0">
                  <c:v>81.25</c:v>
                </c:pt>
                <c:pt idx="179" formatCode="0">
                  <c:v>43.75</c:v>
                </c:pt>
                <c:pt idx="180" formatCode="0">
                  <c:v>50</c:v>
                </c:pt>
                <c:pt idx="181" formatCode="0">
                  <c:v>25</c:v>
                </c:pt>
                <c:pt idx="182" formatCode="0">
                  <c:v>62.5</c:v>
                </c:pt>
                <c:pt idx="183" formatCode="0">
                  <c:v>81.25</c:v>
                </c:pt>
                <c:pt idx="184" formatCode="0">
                  <c:v>93.75</c:v>
                </c:pt>
                <c:pt idx="185" formatCode="0">
                  <c:v>93.75</c:v>
                </c:pt>
                <c:pt idx="186" formatCode="0">
                  <c:v>106.25</c:v>
                </c:pt>
                <c:pt idx="187" formatCode="0">
                  <c:v>87.5</c:v>
                </c:pt>
                <c:pt idx="188" formatCode="0">
                  <c:v>62.5</c:v>
                </c:pt>
                <c:pt idx="189" formatCode="0">
                  <c:v>62.5</c:v>
                </c:pt>
                <c:pt idx="190" formatCode="0">
                  <c:v>100</c:v>
                </c:pt>
                <c:pt idx="191" formatCode="0">
                  <c:v>112.5</c:v>
                </c:pt>
                <c:pt idx="192" formatCode="0">
                  <c:v>125</c:v>
                </c:pt>
                <c:pt idx="193" formatCode="0">
                  <c:v>156.25</c:v>
                </c:pt>
                <c:pt idx="194" formatCode="0">
                  <c:v>131.25</c:v>
                </c:pt>
                <c:pt idx="195" formatCode="0">
                  <c:v>118.75</c:v>
                </c:pt>
                <c:pt idx="196" formatCode="0">
                  <c:v>118.75</c:v>
                </c:pt>
                <c:pt idx="197" formatCode="0">
                  <c:v>106.25</c:v>
                </c:pt>
                <c:pt idx="198" formatCode="0">
                  <c:v>81.25</c:v>
                </c:pt>
                <c:pt idx="199" formatCode="0">
                  <c:v>93.75</c:v>
                </c:pt>
                <c:pt idx="200" formatCode="0">
                  <c:v>106.25</c:v>
                </c:pt>
                <c:pt idx="201" formatCode="0">
                  <c:v>118.75</c:v>
                </c:pt>
                <c:pt idx="202" formatCode="0">
                  <c:v>131.25</c:v>
                </c:pt>
                <c:pt idx="203" formatCode="0">
                  <c:v>156.25</c:v>
                </c:pt>
                <c:pt idx="204" formatCode="0">
                  <c:v>181.25</c:v>
                </c:pt>
                <c:pt idx="205" formatCode="0">
                  <c:v>193.75</c:v>
                </c:pt>
                <c:pt idx="206" formatCode="0">
                  <c:v>200</c:v>
                </c:pt>
                <c:pt idx="207" formatCode="0">
                  <c:v>187.5</c:v>
                </c:pt>
                <c:pt idx="208" formatCode="0">
                  <c:v>187.5</c:v>
                </c:pt>
                <c:pt idx="209" formatCode="0">
                  <c:v>175</c:v>
                </c:pt>
                <c:pt idx="210" formatCode="0">
                  <c:v>150</c:v>
                </c:pt>
                <c:pt idx="211" formatCode="0">
                  <c:v>175</c:v>
                </c:pt>
                <c:pt idx="212" formatCode="0">
                  <c:v>200</c:v>
                </c:pt>
                <c:pt idx="213" formatCode="0">
                  <c:v>225</c:v>
                </c:pt>
                <c:pt idx="214" formatCode="0">
                  <c:v>262.5</c:v>
                </c:pt>
                <c:pt idx="215" formatCode="0">
                  <c:v>262.5</c:v>
                </c:pt>
                <c:pt idx="216" formatCode="0">
                  <c:v>275</c:v>
                </c:pt>
                <c:pt idx="217" formatCode="0">
                  <c:v>300</c:v>
                </c:pt>
                <c:pt idx="218" formatCode="0">
                  <c:v>300</c:v>
                </c:pt>
                <c:pt idx="219" formatCode="0">
                  <c:v>300</c:v>
                </c:pt>
                <c:pt idx="220" formatCode="0">
                  <c:v>337.5</c:v>
                </c:pt>
                <c:pt idx="221" formatCode="0">
                  <c:v>356.25</c:v>
                </c:pt>
                <c:pt idx="222" formatCode="0">
                  <c:v>381.25</c:v>
                </c:pt>
                <c:pt idx="223" formatCode="0">
                  <c:v>362.5</c:v>
                </c:pt>
                <c:pt idx="224" formatCode="0">
                  <c:v>337.5</c:v>
                </c:pt>
                <c:pt idx="225" formatCode="0">
                  <c:v>300</c:v>
                </c:pt>
                <c:pt idx="226" formatCode="0">
                  <c:v>250</c:v>
                </c:pt>
                <c:pt idx="227" formatCode="0">
                  <c:v>200</c:v>
                </c:pt>
                <c:pt idx="228" formatCode="0">
                  <c:v>150</c:v>
                </c:pt>
                <c:pt idx="229" formatCode="0">
                  <c:v>100</c:v>
                </c:pt>
                <c:pt idx="230" formatCode="0">
                  <c:v>87.5</c:v>
                </c:pt>
                <c:pt idx="231" formatCode="0">
                  <c:v>37.5</c:v>
                </c:pt>
                <c:pt idx="232" formatCode="0">
                  <c:v>0</c:v>
                </c:pt>
                <c:pt idx="233" formatCode="0">
                  <c:v>-12.5</c:v>
                </c:pt>
                <c:pt idx="234" formatCode="0">
                  <c:v>-37.5</c:v>
                </c:pt>
                <c:pt idx="235" formatCode="0">
                  <c:v>-75</c:v>
                </c:pt>
                <c:pt idx="236" formatCode="0">
                  <c:v>-100</c:v>
                </c:pt>
                <c:pt idx="237" formatCode="0">
                  <c:v>-100</c:v>
                </c:pt>
                <c:pt idx="238" formatCode="0">
                  <c:v>-112.5</c:v>
                </c:pt>
                <c:pt idx="239" formatCode="0">
                  <c:v>-137.5</c:v>
                </c:pt>
                <c:pt idx="240" formatCode="0">
                  <c:v>-150</c:v>
                </c:pt>
                <c:pt idx="241" formatCode="0">
                  <c:v>-187.5</c:v>
                </c:pt>
                <c:pt idx="242" formatCode="0">
                  <c:v>-175</c:v>
                </c:pt>
                <c:pt idx="243" formatCode="0">
                  <c:v>-181.25</c:v>
                </c:pt>
                <c:pt idx="244" formatCode="0">
                  <c:v>-200</c:v>
                </c:pt>
                <c:pt idx="245" formatCode="0">
                  <c:v>-175</c:v>
                </c:pt>
                <c:pt idx="246" formatCode="0">
                  <c:v>-143.75</c:v>
                </c:pt>
                <c:pt idx="247" formatCode="0">
                  <c:v>-156.25</c:v>
                </c:pt>
                <c:pt idx="248" formatCode="0">
                  <c:v>-131.25</c:v>
                </c:pt>
                <c:pt idx="249" formatCode="0">
                  <c:v>-118.75</c:v>
                </c:pt>
                <c:pt idx="250" formatCode="0">
                  <c:v>-118.75</c:v>
                </c:pt>
                <c:pt idx="251" formatCode="0">
                  <c:v>-106.25</c:v>
                </c:pt>
                <c:pt idx="252" formatCode="0">
                  <c:v>-106.25</c:v>
                </c:pt>
                <c:pt idx="253" formatCode="0">
                  <c:v>-100</c:v>
                </c:pt>
                <c:pt idx="254" formatCode="0">
                  <c:v>-50</c:v>
                </c:pt>
                <c:pt idx="255" formatCode="0">
                  <c:v>-62.5</c:v>
                </c:pt>
                <c:pt idx="256" formatCode="0">
                  <c:v>-25</c:v>
                </c:pt>
                <c:pt idx="257" formatCode="0">
                  <c:v>12.5</c:v>
                </c:pt>
                <c:pt idx="258" formatCode="0">
                  <c:v>62.5</c:v>
                </c:pt>
                <c:pt idx="259" formatCode="0">
                  <c:v>37.5</c:v>
                </c:pt>
                <c:pt idx="260" formatCode="0">
                  <c:v>87.5</c:v>
                </c:pt>
                <c:pt idx="261" formatCode="0">
                  <c:v>125</c:v>
                </c:pt>
                <c:pt idx="262" formatCode="0">
                  <c:v>156.25</c:v>
                </c:pt>
                <c:pt idx="263" formatCode="0">
                  <c:v>175</c:v>
                </c:pt>
                <c:pt idx="264" formatCode="0">
                  <c:v>175</c:v>
                </c:pt>
                <c:pt idx="265" formatCode="0">
                  <c:v>162.5</c:v>
                </c:pt>
                <c:pt idx="266" formatCode="0">
                  <c:v>150</c:v>
                </c:pt>
                <c:pt idx="267" formatCode="0">
                  <c:v>112.5</c:v>
                </c:pt>
                <c:pt idx="268" formatCode="0">
                  <c:v>87.5</c:v>
                </c:pt>
                <c:pt idx="269" formatCode="0">
                  <c:v>50</c:v>
                </c:pt>
                <c:pt idx="270" formatCode="0">
                  <c:v>12.5</c:v>
                </c:pt>
                <c:pt idx="271" formatCode="0">
                  <c:v>-25</c:v>
                </c:pt>
                <c:pt idx="272" formatCode="0">
                  <c:v>-62.5</c:v>
                </c:pt>
                <c:pt idx="273" formatCode="0">
                  <c:v>-112.5</c:v>
                </c:pt>
                <c:pt idx="274" formatCode="0">
                  <c:v>-162.5</c:v>
                </c:pt>
                <c:pt idx="275" formatCode="0">
                  <c:v>-200</c:v>
                </c:pt>
                <c:pt idx="276" formatCode="0">
                  <c:v>-225</c:v>
                </c:pt>
                <c:pt idx="277" formatCode="0">
                  <c:v>-262.5</c:v>
                </c:pt>
                <c:pt idx="278" formatCode="0">
                  <c:v>-243.75</c:v>
                </c:pt>
                <c:pt idx="279" formatCode="0">
                  <c:v>-231.25</c:v>
                </c:pt>
                <c:pt idx="280" formatCode="0">
                  <c:v>-193.75</c:v>
                </c:pt>
                <c:pt idx="281" formatCode="0">
                  <c:v>-156.25</c:v>
                </c:pt>
                <c:pt idx="282" formatCode="0">
                  <c:v>-131.25</c:v>
                </c:pt>
                <c:pt idx="283" formatCode="0">
                  <c:v>-131.25</c:v>
                </c:pt>
                <c:pt idx="284" formatCode="0">
                  <c:v>-81.25</c:v>
                </c:pt>
                <c:pt idx="285" formatCode="0">
                  <c:v>-43.75</c:v>
                </c:pt>
                <c:pt idx="286" formatCode="0">
                  <c:v>-6.25</c:v>
                </c:pt>
                <c:pt idx="287" formatCode="0">
                  <c:v>31.25</c:v>
                </c:pt>
                <c:pt idx="288" formatCode="0">
                  <c:v>56.25</c:v>
                </c:pt>
                <c:pt idx="289" formatCode="0">
                  <c:v>43.75</c:v>
                </c:pt>
                <c:pt idx="290" formatCode="0">
                  <c:v>68.75</c:v>
                </c:pt>
                <c:pt idx="291" formatCode="0">
                  <c:v>43.75</c:v>
                </c:pt>
                <c:pt idx="292" formatCode="0">
                  <c:v>43.75</c:v>
                </c:pt>
                <c:pt idx="293" formatCode="0">
                  <c:v>68.75</c:v>
                </c:pt>
                <c:pt idx="294" formatCode="0">
                  <c:v>118.75</c:v>
                </c:pt>
                <c:pt idx="295" formatCode="0">
                  <c:v>118.75</c:v>
                </c:pt>
                <c:pt idx="296" formatCode="0">
                  <c:v>168.75</c:v>
                </c:pt>
                <c:pt idx="297" formatCode="0">
                  <c:v>206.25</c:v>
                </c:pt>
                <c:pt idx="298" formatCode="0">
                  <c:v>243.75</c:v>
                </c:pt>
                <c:pt idx="299" formatCode="0">
                  <c:v>281.25</c:v>
                </c:pt>
                <c:pt idx="300" formatCode="0">
                  <c:v>306.25</c:v>
                </c:pt>
                <c:pt idx="301" formatCode="0">
                  <c:v>343.75</c:v>
                </c:pt>
                <c:pt idx="302" formatCode="0">
                  <c:v>362.5</c:v>
                </c:pt>
                <c:pt idx="303" formatCode="0">
                  <c:v>375</c:v>
                </c:pt>
                <c:pt idx="304" formatCode="0">
                  <c:v>387.5</c:v>
                </c:pt>
                <c:pt idx="305" formatCode="0">
                  <c:v>412.5</c:v>
                </c:pt>
                <c:pt idx="306" formatCode="0">
                  <c:v>450</c:v>
                </c:pt>
                <c:pt idx="307" formatCode="0">
                  <c:v>475</c:v>
                </c:pt>
                <c:pt idx="308" formatCode="0">
                  <c:v>450</c:v>
                </c:pt>
                <c:pt idx="309" formatCode="0">
                  <c:v>425</c:v>
                </c:pt>
                <c:pt idx="310" formatCode="0">
                  <c:v>400</c:v>
                </c:pt>
                <c:pt idx="311" formatCode="0">
                  <c:v>362.5</c:v>
                </c:pt>
                <c:pt idx="312" formatCode="0">
                  <c:v>337.5</c:v>
                </c:pt>
                <c:pt idx="313" formatCode="0">
                  <c:v>325</c:v>
                </c:pt>
                <c:pt idx="314" formatCode="0">
                  <c:v>325</c:v>
                </c:pt>
                <c:pt idx="315" formatCode="0">
                  <c:v>312.5</c:v>
                </c:pt>
                <c:pt idx="316" formatCode="0">
                  <c:v>300</c:v>
                </c:pt>
                <c:pt idx="317" formatCode="0">
                  <c:v>293.75</c:v>
                </c:pt>
                <c:pt idx="318" formatCode="0">
                  <c:v>256.25</c:v>
                </c:pt>
                <c:pt idx="319" formatCode="0">
                  <c:v>281.25</c:v>
                </c:pt>
                <c:pt idx="320" formatCode="0">
                  <c:v>281.25</c:v>
                </c:pt>
                <c:pt idx="321" formatCode="0">
                  <c:v>306.25</c:v>
                </c:pt>
                <c:pt idx="322" formatCode="0">
                  <c:v>356.25</c:v>
                </c:pt>
                <c:pt idx="323" formatCode="0">
                  <c:v>381.25</c:v>
                </c:pt>
                <c:pt idx="324" formatCode="0">
                  <c:v>393.75</c:v>
                </c:pt>
                <c:pt idx="325" formatCode="0">
                  <c:v>431.25</c:v>
                </c:pt>
                <c:pt idx="326" formatCode="0">
                  <c:v>443.75</c:v>
                </c:pt>
                <c:pt idx="327" formatCode="0">
                  <c:v>481.25</c:v>
                </c:pt>
                <c:pt idx="328" formatCode="0">
                  <c:v>518.75</c:v>
                </c:pt>
                <c:pt idx="329" formatCode="0">
                  <c:v>543.75</c:v>
                </c:pt>
                <c:pt idx="330" formatCode="0">
                  <c:v>581.25</c:v>
                </c:pt>
                <c:pt idx="331" formatCode="0">
                  <c:v>618.75</c:v>
                </c:pt>
                <c:pt idx="332" formatCode="0">
                  <c:v>618.75</c:v>
                </c:pt>
                <c:pt idx="333" formatCode="0">
                  <c:v>656.25</c:v>
                </c:pt>
                <c:pt idx="334" formatCode="0">
                  <c:v>706.25</c:v>
                </c:pt>
                <c:pt idx="335" formatCode="0">
                  <c:v>743.75</c:v>
                </c:pt>
                <c:pt idx="336" formatCode="0">
                  <c:v>793.75</c:v>
                </c:pt>
                <c:pt idx="337" formatCode="0">
                  <c:v>837.5</c:v>
                </c:pt>
                <c:pt idx="338" formatCode="0">
                  <c:v>862.5</c:v>
                </c:pt>
                <c:pt idx="339" formatCode="0">
                  <c:v>887.5</c:v>
                </c:pt>
                <c:pt idx="340" formatCode="0">
                  <c:v>912.5</c:v>
                </c:pt>
                <c:pt idx="341" formatCode="0">
                  <c:v>937.5</c:v>
                </c:pt>
                <c:pt idx="342" formatCode="0">
                  <c:v>937.5</c:v>
                </c:pt>
                <c:pt idx="343" formatCode="0">
                  <c:v>950</c:v>
                </c:pt>
                <c:pt idx="344" formatCode="0">
                  <c:v>962.5</c:v>
                </c:pt>
                <c:pt idx="345" formatCode="0">
                  <c:v>975</c:v>
                </c:pt>
                <c:pt idx="346" formatCode="0">
                  <c:v>975</c:v>
                </c:pt>
                <c:pt idx="347" formatCode="0">
                  <c:v>975</c:v>
                </c:pt>
                <c:pt idx="348" formatCode="0">
                  <c:v>962.5</c:v>
                </c:pt>
                <c:pt idx="349" formatCode="0">
                  <c:v>950</c:v>
                </c:pt>
                <c:pt idx="350" formatCode="0">
                  <c:v>925</c:v>
                </c:pt>
                <c:pt idx="351" formatCode="0">
                  <c:v>912.5</c:v>
                </c:pt>
                <c:pt idx="352" formatCode="0">
                  <c:v>881.25</c:v>
                </c:pt>
                <c:pt idx="353" formatCode="0">
                  <c:v>856.25</c:v>
                </c:pt>
                <c:pt idx="354" formatCode="0">
                  <c:v>818.75</c:v>
                </c:pt>
                <c:pt idx="355" formatCode="0">
                  <c:v>768.75</c:v>
                </c:pt>
                <c:pt idx="356" formatCode="0">
                  <c:v>731.25</c:v>
                </c:pt>
                <c:pt idx="357" formatCode="0">
                  <c:v>706.25</c:v>
                </c:pt>
                <c:pt idx="358" formatCode="0">
                  <c:v>668.75</c:v>
                </c:pt>
                <c:pt idx="359" formatCode="0">
                  <c:v>618.75</c:v>
                </c:pt>
                <c:pt idx="360" formatCode="0">
                  <c:v>568.75</c:v>
                </c:pt>
                <c:pt idx="361" formatCode="0">
                  <c:v>518.75</c:v>
                </c:pt>
                <c:pt idx="362" formatCode="0">
                  <c:v>468.75</c:v>
                </c:pt>
                <c:pt idx="363" formatCode="0">
                  <c:v>418.75</c:v>
                </c:pt>
                <c:pt idx="364" formatCode="0">
                  <c:v>368.75</c:v>
                </c:pt>
                <c:pt idx="365" formatCode="0">
                  <c:v>368.75</c:v>
                </c:pt>
                <c:pt idx="366" formatCode="0">
                  <c:v>368.75</c:v>
                </c:pt>
                <c:pt idx="367" formatCode="0">
                  <c:v>406.25</c:v>
                </c:pt>
                <c:pt idx="368" formatCode="0">
                  <c:v>431.25</c:v>
                </c:pt>
                <c:pt idx="369" formatCode="0">
                  <c:v>481.25</c:v>
                </c:pt>
                <c:pt idx="370" formatCode="0">
                  <c:v>531.25</c:v>
                </c:pt>
                <c:pt idx="371" formatCode="0">
                  <c:v>568.75</c:v>
                </c:pt>
                <c:pt idx="372" formatCode="0">
                  <c:v>618.75</c:v>
                </c:pt>
                <c:pt idx="373" formatCode="0">
                  <c:v>656.25</c:v>
                </c:pt>
                <c:pt idx="374" formatCode="0">
                  <c:v>706.25</c:v>
                </c:pt>
                <c:pt idx="375" formatCode="0">
                  <c:v>756.25</c:v>
                </c:pt>
                <c:pt idx="376" formatCode="0">
                  <c:v>806.25</c:v>
                </c:pt>
                <c:pt idx="377" formatCode="0">
                  <c:v>831.25</c:v>
                </c:pt>
                <c:pt idx="378" formatCode="0">
                  <c:v>862.5</c:v>
                </c:pt>
                <c:pt idx="379" formatCode="0">
                  <c:v>900</c:v>
                </c:pt>
                <c:pt idx="380" formatCode="0">
                  <c:v>937.5</c:v>
                </c:pt>
                <c:pt idx="381" formatCode="0">
                  <c:v>975</c:v>
                </c:pt>
                <c:pt idx="382" formatCode="0">
                  <c:v>1012.5</c:v>
                </c:pt>
                <c:pt idx="383" formatCode="0">
                  <c:v>1062.5</c:v>
                </c:pt>
                <c:pt idx="384" formatCode="0">
                  <c:v>1093.75</c:v>
                </c:pt>
                <c:pt idx="385" formatCode="0">
                  <c:v>1118.75</c:v>
                </c:pt>
                <c:pt idx="386" formatCode="0">
                  <c:v>1085.4166666666667</c:v>
                </c:pt>
                <c:pt idx="387" formatCode="0">
                  <c:v>1035.4166666666667</c:v>
                </c:pt>
                <c:pt idx="388" formatCode="0">
                  <c:v>985.41666666666674</c:v>
                </c:pt>
                <c:pt idx="389" formatCode="0">
                  <c:v>935.41666666666674</c:v>
                </c:pt>
                <c:pt idx="390" formatCode="0">
                  <c:v>897.91666666666674</c:v>
                </c:pt>
                <c:pt idx="391" formatCode="0">
                  <c:v>931.25000000000011</c:v>
                </c:pt>
                <c:pt idx="392" formatCode="0">
                  <c:v>981.25000000000011</c:v>
                </c:pt>
                <c:pt idx="393" formatCode="0">
                  <c:v>1006.2500000000001</c:v>
                </c:pt>
                <c:pt idx="394" formatCode="0">
                  <c:v>1018.7500000000001</c:v>
                </c:pt>
                <c:pt idx="395" formatCode="0">
                  <c:v>1043.75</c:v>
                </c:pt>
                <c:pt idx="396" formatCode="0">
                  <c:v>1081.25</c:v>
                </c:pt>
                <c:pt idx="397" formatCode="0">
                  <c:v>1106.25</c:v>
                </c:pt>
                <c:pt idx="398" formatCode="0">
                  <c:v>1131.25</c:v>
                </c:pt>
                <c:pt idx="399" formatCode="0">
                  <c:v>1156.25</c:v>
                </c:pt>
                <c:pt idx="400" formatCode="0">
                  <c:v>1181.25</c:v>
                </c:pt>
                <c:pt idx="401" formatCode="0">
                  <c:v>1168.75</c:v>
                </c:pt>
                <c:pt idx="402" formatCode="0">
                  <c:v>1181.25</c:v>
                </c:pt>
                <c:pt idx="403" formatCode="0">
                  <c:v>1156.25</c:v>
                </c:pt>
                <c:pt idx="404" formatCode="0">
                  <c:v>1143.75</c:v>
                </c:pt>
                <c:pt idx="405" formatCode="0">
                  <c:v>1106.25</c:v>
                </c:pt>
                <c:pt idx="406" formatCode="0">
                  <c:v>1068.75</c:v>
                </c:pt>
                <c:pt idx="407" formatCode="0">
                  <c:v>1056.25</c:v>
                </c:pt>
                <c:pt idx="408" formatCode="0">
                  <c:v>1056.25</c:v>
                </c:pt>
                <c:pt idx="409" formatCode="0">
                  <c:v>1056.25</c:v>
                </c:pt>
                <c:pt idx="410" formatCode="0">
                  <c:v>1068.75</c:v>
                </c:pt>
                <c:pt idx="411" formatCode="0">
                  <c:v>1081.25</c:v>
                </c:pt>
                <c:pt idx="412" formatCode="0">
                  <c:v>1081.25</c:v>
                </c:pt>
                <c:pt idx="413" formatCode="0">
                  <c:v>1093.75</c:v>
                </c:pt>
                <c:pt idx="414" formatCode="0">
                  <c:v>1118.75</c:v>
                </c:pt>
                <c:pt idx="415" formatCode="0">
                  <c:v>1118.75</c:v>
                </c:pt>
                <c:pt idx="416" formatCode="0">
                  <c:v>1168.75</c:v>
                </c:pt>
                <c:pt idx="417" formatCode="0">
                  <c:v>1193.75</c:v>
                </c:pt>
                <c:pt idx="418" formatCode="0">
                  <c:v>1206.25</c:v>
                </c:pt>
                <c:pt idx="419" formatCode="0">
                  <c:v>1218.75</c:v>
                </c:pt>
                <c:pt idx="420" formatCode="0">
                  <c:v>1231.25</c:v>
                </c:pt>
                <c:pt idx="421" formatCode="0">
                  <c:v>1256.25</c:v>
                </c:pt>
                <c:pt idx="422" formatCode="0">
                  <c:v>1256.25</c:v>
                </c:pt>
                <c:pt idx="423" formatCode="0">
                  <c:v>1243.75</c:v>
                </c:pt>
                <c:pt idx="424" formatCode="0">
                  <c:v>1237.5</c:v>
                </c:pt>
                <c:pt idx="425" formatCode="0">
                  <c:v>1262.5</c:v>
                </c:pt>
                <c:pt idx="426" formatCode="0">
                  <c:v>1250</c:v>
                </c:pt>
                <c:pt idx="427" formatCode="0">
                  <c:v>1212.5</c:v>
                </c:pt>
                <c:pt idx="428" formatCode="0">
                  <c:v>1250</c:v>
                </c:pt>
                <c:pt idx="429" formatCode="0">
                  <c:v>1262.5</c:v>
                </c:pt>
                <c:pt idx="430" formatCode="0">
                  <c:v>1262.5</c:v>
                </c:pt>
                <c:pt idx="431" formatCode="0">
                  <c:v>1250</c:v>
                </c:pt>
                <c:pt idx="432" formatCode="0">
                  <c:v>1300</c:v>
                </c:pt>
                <c:pt idx="433" formatCode="0">
                  <c:v>1300</c:v>
                </c:pt>
                <c:pt idx="434" formatCode="0">
                  <c:v>1312.5</c:v>
                </c:pt>
                <c:pt idx="435" formatCode="0">
                  <c:v>1312.5</c:v>
                </c:pt>
                <c:pt idx="436" formatCode="0">
                  <c:v>1337.5</c:v>
                </c:pt>
                <c:pt idx="437" formatCode="0">
                  <c:v>1300</c:v>
                </c:pt>
                <c:pt idx="438" formatCode="0">
                  <c:v>1300</c:v>
                </c:pt>
                <c:pt idx="439" formatCode="0">
                  <c:v>1300</c:v>
                </c:pt>
                <c:pt idx="440" formatCode="0">
                  <c:v>1275</c:v>
                </c:pt>
                <c:pt idx="441" formatCode="0">
                  <c:v>1250</c:v>
                </c:pt>
                <c:pt idx="442" formatCode="0">
                  <c:v>1237.5</c:v>
                </c:pt>
                <c:pt idx="443" formatCode="0">
                  <c:v>1212.5</c:v>
                </c:pt>
                <c:pt idx="444" formatCode="0">
                  <c:v>1187.5</c:v>
                </c:pt>
                <c:pt idx="445" formatCode="0">
                  <c:v>1187.5</c:v>
                </c:pt>
                <c:pt idx="446" formatCode="0">
                  <c:v>1187.5</c:v>
                </c:pt>
                <c:pt idx="447" formatCode="0">
                  <c:v>1200</c:v>
                </c:pt>
                <c:pt idx="448" formatCode="0">
                  <c:v>1181.25</c:v>
                </c:pt>
                <c:pt idx="449" formatCode="0">
                  <c:v>1156.25</c:v>
                </c:pt>
                <c:pt idx="450" formatCode="0">
                  <c:v>1143.75</c:v>
                </c:pt>
                <c:pt idx="451" formatCode="0">
                  <c:v>1118.75</c:v>
                </c:pt>
                <c:pt idx="452" formatCode="0">
                  <c:v>1156.25</c:v>
                </c:pt>
                <c:pt idx="453" formatCode="0">
                  <c:v>1193.75</c:v>
                </c:pt>
                <c:pt idx="454" formatCode="0">
                  <c:v>1231.25</c:v>
                </c:pt>
                <c:pt idx="455" formatCode="0">
                  <c:v>1281.25</c:v>
                </c:pt>
                <c:pt idx="456" formatCode="0">
                  <c:v>1331.25</c:v>
                </c:pt>
                <c:pt idx="457" formatCode="0">
                  <c:v>1356.25</c:v>
                </c:pt>
                <c:pt idx="458" formatCode="0">
                  <c:v>1393.75</c:v>
                </c:pt>
                <c:pt idx="459" formatCode="0">
                  <c:v>1431.25</c:v>
                </c:pt>
                <c:pt idx="460" formatCode="0">
                  <c:v>1456.25</c:v>
                </c:pt>
                <c:pt idx="461" formatCode="0">
                  <c:v>1493.75</c:v>
                </c:pt>
                <c:pt idx="462" formatCode="0">
                  <c:v>1531.25</c:v>
                </c:pt>
                <c:pt idx="463" formatCode="0">
                  <c:v>1543.75</c:v>
                </c:pt>
                <c:pt idx="464" formatCode="0">
                  <c:v>1525</c:v>
                </c:pt>
                <c:pt idx="465" formatCode="0">
                  <c:v>1518.75</c:v>
                </c:pt>
                <c:pt idx="466" formatCode="0">
                  <c:v>1543.75</c:v>
                </c:pt>
                <c:pt idx="467" formatCode="0">
                  <c:v>1568.75</c:v>
                </c:pt>
                <c:pt idx="468" formatCode="0">
                  <c:v>1593.75</c:v>
                </c:pt>
                <c:pt idx="469" formatCode="0">
                  <c:v>1606.25</c:v>
                </c:pt>
                <c:pt idx="470" formatCode="0">
                  <c:v>1631.25</c:v>
                </c:pt>
                <c:pt idx="471" formatCode="0">
                  <c:v>1656.25</c:v>
                </c:pt>
                <c:pt idx="472" formatCode="0">
                  <c:v>1668.75</c:v>
                </c:pt>
                <c:pt idx="473" formatCode="0">
                  <c:v>1693.75</c:v>
                </c:pt>
                <c:pt idx="474" formatCode="0">
                  <c:v>1731.25</c:v>
                </c:pt>
                <c:pt idx="475" formatCode="0">
                  <c:v>1743.75</c:v>
                </c:pt>
                <c:pt idx="476" formatCode="0">
                  <c:v>1743.75</c:v>
                </c:pt>
                <c:pt idx="477" formatCode="0">
                  <c:v>1756.25</c:v>
                </c:pt>
                <c:pt idx="478" formatCode="0">
                  <c:v>1712.5</c:v>
                </c:pt>
                <c:pt idx="479" formatCode="0">
                  <c:v>1668.75</c:v>
                </c:pt>
                <c:pt idx="480" formatCode="0">
                  <c:v>1631.25</c:v>
                </c:pt>
                <c:pt idx="481" formatCode="0">
                  <c:v>1606.25</c:v>
                </c:pt>
                <c:pt idx="482" formatCode="0">
                  <c:v>1593.75</c:v>
                </c:pt>
                <c:pt idx="483" formatCode="0">
                  <c:v>1593.75</c:v>
                </c:pt>
                <c:pt idx="484" formatCode="0">
                  <c:v>1581.25</c:v>
                </c:pt>
                <c:pt idx="485" formatCode="0">
                  <c:v>1593.75</c:v>
                </c:pt>
                <c:pt idx="486" formatCode="0">
                  <c:v>1556.25</c:v>
                </c:pt>
                <c:pt idx="487" formatCode="0">
                  <c:v>1531.25</c:v>
                </c:pt>
                <c:pt idx="488" formatCode="0">
                  <c:v>1543.75</c:v>
                </c:pt>
                <c:pt idx="489" formatCode="0">
                  <c:v>1518.75</c:v>
                </c:pt>
                <c:pt idx="490" formatCode="0">
                  <c:v>1481.25</c:v>
                </c:pt>
                <c:pt idx="491" formatCode="0">
                  <c:v>1443.75</c:v>
                </c:pt>
                <c:pt idx="492" formatCode="0">
                  <c:v>1406.25</c:v>
                </c:pt>
                <c:pt idx="493" formatCode="0">
                  <c:v>1393.75</c:v>
                </c:pt>
                <c:pt idx="494" formatCode="0">
                  <c:v>1381.25</c:v>
                </c:pt>
                <c:pt idx="495" formatCode="0">
                  <c:v>1381.25</c:v>
                </c:pt>
                <c:pt idx="496" formatCode="0">
                  <c:v>1331.25</c:v>
                </c:pt>
                <c:pt idx="497" formatCode="0">
                  <c:v>1281.25</c:v>
                </c:pt>
                <c:pt idx="498" formatCode="0">
                  <c:v>1243.75</c:v>
                </c:pt>
                <c:pt idx="499" formatCode="0">
                  <c:v>1193.75</c:v>
                </c:pt>
                <c:pt idx="500" formatCode="0">
                  <c:v>1143.75</c:v>
                </c:pt>
                <c:pt idx="501" formatCode="0">
                  <c:v>1168.75</c:v>
                </c:pt>
                <c:pt idx="502" formatCode="0">
                  <c:v>1218.75</c:v>
                </c:pt>
                <c:pt idx="503" formatCode="0">
                  <c:v>1256.25</c:v>
                </c:pt>
                <c:pt idx="504" formatCode="0">
                  <c:v>1293.75</c:v>
                </c:pt>
                <c:pt idx="505" formatCode="0">
                  <c:v>1331.25</c:v>
                </c:pt>
                <c:pt idx="506" formatCode="0">
                  <c:v>1356.25</c:v>
                </c:pt>
                <c:pt idx="507" formatCode="0">
                  <c:v>1393.75</c:v>
                </c:pt>
                <c:pt idx="508" formatCode="0">
                  <c:v>1443.75</c:v>
                </c:pt>
                <c:pt idx="509" formatCode="0">
                  <c:v>1481.25</c:v>
                </c:pt>
                <c:pt idx="510" formatCode="0">
                  <c:v>1518.75</c:v>
                </c:pt>
                <c:pt idx="511" formatCode="0">
                  <c:v>1568.75</c:v>
                </c:pt>
                <c:pt idx="512" formatCode="0">
                  <c:v>1593.75</c:v>
                </c:pt>
                <c:pt idx="513" formatCode="0">
                  <c:v>1618.75</c:v>
                </c:pt>
                <c:pt idx="514" formatCode="0">
                  <c:v>1643.75</c:v>
                </c:pt>
                <c:pt idx="515" formatCode="0">
                  <c:v>1668.75</c:v>
                </c:pt>
                <c:pt idx="516" formatCode="0">
                  <c:v>1681.25</c:v>
                </c:pt>
                <c:pt idx="517" formatCode="0">
                  <c:v>1693.75</c:v>
                </c:pt>
                <c:pt idx="518" formatCode="0">
                  <c:v>1731.25</c:v>
                </c:pt>
                <c:pt idx="519" formatCode="0">
                  <c:v>1768.75</c:v>
                </c:pt>
                <c:pt idx="520" formatCode="0">
                  <c:v>1806.25</c:v>
                </c:pt>
                <c:pt idx="521" formatCode="0">
                  <c:v>1818.75</c:v>
                </c:pt>
                <c:pt idx="522" formatCode="0">
                  <c:v>1831.25</c:v>
                </c:pt>
                <c:pt idx="523" formatCode="0">
                  <c:v>1843.75</c:v>
                </c:pt>
                <c:pt idx="524" formatCode="0">
                  <c:v>1856.25</c:v>
                </c:pt>
                <c:pt idx="525" formatCode="0">
                  <c:v>1831.25</c:v>
                </c:pt>
                <c:pt idx="526" formatCode="0">
                  <c:v>1831.25</c:v>
                </c:pt>
                <c:pt idx="527" formatCode="0">
                  <c:v>1806.25</c:v>
                </c:pt>
                <c:pt idx="528" formatCode="0">
                  <c:v>1781.25</c:v>
                </c:pt>
                <c:pt idx="529" formatCode="0">
                  <c:v>1756.25</c:v>
                </c:pt>
                <c:pt idx="530" formatCode="0">
                  <c:v>1756.25</c:v>
                </c:pt>
                <c:pt idx="531" formatCode="0">
                  <c:v>1743.75</c:v>
                </c:pt>
                <c:pt idx="532" formatCode="0">
                  <c:v>1743.75</c:v>
                </c:pt>
                <c:pt idx="533" formatCode="0">
                  <c:v>1718.75</c:v>
                </c:pt>
                <c:pt idx="534" formatCode="0">
                  <c:v>1693.75</c:v>
                </c:pt>
                <c:pt idx="535" formatCode="0">
                  <c:v>1668.75</c:v>
                </c:pt>
                <c:pt idx="536" formatCode="0">
                  <c:v>1650</c:v>
                </c:pt>
                <c:pt idx="537" formatCode="0">
                  <c:v>1637.5</c:v>
                </c:pt>
                <c:pt idx="538" formatCode="0">
                  <c:v>1606.25</c:v>
                </c:pt>
                <c:pt idx="539" formatCode="0">
                  <c:v>1593.75</c:v>
                </c:pt>
                <c:pt idx="540" formatCode="0">
                  <c:v>1556.25</c:v>
                </c:pt>
                <c:pt idx="541" formatCode="0">
                  <c:v>1568.75</c:v>
                </c:pt>
                <c:pt idx="542" formatCode="0">
                  <c:v>1581.25</c:v>
                </c:pt>
                <c:pt idx="543" formatCode="0">
                  <c:v>1593.75</c:v>
                </c:pt>
                <c:pt idx="544" formatCode="0">
                  <c:v>1606.25</c:v>
                </c:pt>
                <c:pt idx="545" formatCode="0">
                  <c:v>1631.25</c:v>
                </c:pt>
                <c:pt idx="546" formatCode="0">
                  <c:v>1631.25</c:v>
                </c:pt>
                <c:pt idx="547" formatCode="0">
                  <c:v>1612.5</c:v>
                </c:pt>
                <c:pt idx="548" formatCode="0">
                  <c:v>1612.5</c:v>
                </c:pt>
                <c:pt idx="549" formatCode="0">
                  <c:v>1650</c:v>
                </c:pt>
                <c:pt idx="550" formatCode="0">
                  <c:v>1675</c:v>
                </c:pt>
                <c:pt idx="551" formatCode="0">
                  <c:v>1712.5</c:v>
                </c:pt>
                <c:pt idx="552" formatCode="0">
                  <c:v>1750</c:v>
                </c:pt>
                <c:pt idx="553" formatCode="0">
                  <c:v>1762.5</c:v>
                </c:pt>
                <c:pt idx="554" formatCode="0">
                  <c:v>1781.25</c:v>
                </c:pt>
                <c:pt idx="555" formatCode="0">
                  <c:v>1750</c:v>
                </c:pt>
                <c:pt idx="556" formatCode="0">
                  <c:v>1737.5</c:v>
                </c:pt>
                <c:pt idx="557" formatCode="0">
                  <c:v>1700</c:v>
                </c:pt>
                <c:pt idx="558" formatCode="0">
                  <c:v>1650</c:v>
                </c:pt>
                <c:pt idx="559" formatCode="0">
                  <c:v>1612.5</c:v>
                </c:pt>
                <c:pt idx="560" formatCode="0">
                  <c:v>1600</c:v>
                </c:pt>
                <c:pt idx="561" formatCode="0">
                  <c:v>1600</c:v>
                </c:pt>
                <c:pt idx="562" formatCode="0">
                  <c:v>1612.5</c:v>
                </c:pt>
                <c:pt idx="563" formatCode="0">
                  <c:v>1625</c:v>
                </c:pt>
                <c:pt idx="564" formatCode="0">
                  <c:v>1650</c:v>
                </c:pt>
                <c:pt idx="565" formatCode="0">
                  <c:v>1687.5</c:v>
                </c:pt>
                <c:pt idx="566" formatCode="0">
                  <c:v>1725</c:v>
                </c:pt>
              </c:numCache>
            </c:numRef>
          </c:val>
          <c:smooth val="0"/>
          <c:extLst>
            <c:ext xmlns:c16="http://schemas.microsoft.com/office/drawing/2014/chart" uri="{C3380CC4-5D6E-409C-BE32-E72D297353CC}">
              <c16:uniqueId val="{00000002-FC8F-42B9-BDCE-D32A8FF9B34F}"/>
            </c:ext>
          </c:extLst>
        </c:ser>
        <c:ser>
          <c:idx val="2"/>
          <c:order val="2"/>
          <c:tx>
            <c:strRef>
              <c:f>DI元データ!$L$3</c:f>
              <c:strCache>
                <c:ptCount val="1"/>
                <c:pt idx="0">
                  <c:v>遅行指数</c:v>
                </c:pt>
              </c:strCache>
            </c:strRef>
          </c:tx>
          <c:spPr>
            <a:ln w="12700">
              <a:solidFill>
                <a:srgbClr val="008000"/>
              </a:solidFill>
              <a:prstDash val="solid"/>
            </a:ln>
          </c:spPr>
          <c:marker>
            <c:symbol val="none"/>
          </c:marker>
          <c:cat>
            <c:strRef>
              <c:f>DI元データ!$B$5:$B$580</c:f>
              <c:strCache>
                <c:ptCount val="56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pt idx="564">
                  <c:v>8</c:v>
                </c:pt>
              </c:strCache>
            </c:strRef>
          </c:cat>
          <c:val>
            <c:numRef>
              <c:f>DI元データ!$L$5:$L$580</c:f>
              <c:numCache>
                <c:formatCode>0</c:formatCode>
                <c:ptCount val="576"/>
                <c:pt idx="0">
                  <c:v>-500</c:v>
                </c:pt>
                <c:pt idx="1">
                  <c:v>-475</c:v>
                </c:pt>
                <c:pt idx="2">
                  <c:v>-475</c:v>
                </c:pt>
                <c:pt idx="3">
                  <c:v>-463</c:v>
                </c:pt>
                <c:pt idx="4">
                  <c:v>-488</c:v>
                </c:pt>
                <c:pt idx="5">
                  <c:v>-488</c:v>
                </c:pt>
                <c:pt idx="6">
                  <c:v>-475</c:v>
                </c:pt>
                <c:pt idx="7">
                  <c:v>-463</c:v>
                </c:pt>
                <c:pt idx="8">
                  <c:v>-450</c:v>
                </c:pt>
                <c:pt idx="9">
                  <c:v>-400</c:v>
                </c:pt>
                <c:pt idx="10">
                  <c:v>-375</c:v>
                </c:pt>
                <c:pt idx="11">
                  <c:v>-363</c:v>
                </c:pt>
                <c:pt idx="12">
                  <c:v>-325</c:v>
                </c:pt>
                <c:pt idx="13">
                  <c:v>-294</c:v>
                </c:pt>
                <c:pt idx="14">
                  <c:v>-275</c:v>
                </c:pt>
                <c:pt idx="15">
                  <c:v>-275</c:v>
                </c:pt>
                <c:pt idx="16">
                  <c:v>-250</c:v>
                </c:pt>
                <c:pt idx="17">
                  <c:v>-237</c:v>
                </c:pt>
                <c:pt idx="18">
                  <c:v>-225</c:v>
                </c:pt>
                <c:pt idx="19">
                  <c:v>-225</c:v>
                </c:pt>
                <c:pt idx="20">
                  <c:v>-225</c:v>
                </c:pt>
                <c:pt idx="21">
                  <c:v>-225</c:v>
                </c:pt>
                <c:pt idx="22">
                  <c:v>-237</c:v>
                </c:pt>
                <c:pt idx="23">
                  <c:v>-250</c:v>
                </c:pt>
                <c:pt idx="24">
                  <c:v>-262</c:v>
                </c:pt>
                <c:pt idx="25">
                  <c:v>-287</c:v>
                </c:pt>
                <c:pt idx="26">
                  <c:v>-312</c:v>
                </c:pt>
                <c:pt idx="27">
                  <c:v>-325</c:v>
                </c:pt>
                <c:pt idx="28">
                  <c:v>-362</c:v>
                </c:pt>
                <c:pt idx="29">
                  <c:v>-400</c:v>
                </c:pt>
                <c:pt idx="30">
                  <c:v>-419</c:v>
                </c:pt>
                <c:pt idx="31">
                  <c:v>-431</c:v>
                </c:pt>
                <c:pt idx="32">
                  <c:v>-469</c:v>
                </c:pt>
                <c:pt idx="33">
                  <c:v>-494</c:v>
                </c:pt>
                <c:pt idx="34">
                  <c:v>-506</c:v>
                </c:pt>
                <c:pt idx="35">
                  <c:v>-519</c:v>
                </c:pt>
                <c:pt idx="36">
                  <c:v>-531</c:v>
                </c:pt>
                <c:pt idx="37">
                  <c:v>-556</c:v>
                </c:pt>
                <c:pt idx="38">
                  <c:v>-581</c:v>
                </c:pt>
                <c:pt idx="39">
                  <c:v>-606</c:v>
                </c:pt>
                <c:pt idx="40">
                  <c:v>-619</c:v>
                </c:pt>
                <c:pt idx="41">
                  <c:v>-656</c:v>
                </c:pt>
                <c:pt idx="42">
                  <c:v>-681</c:v>
                </c:pt>
                <c:pt idx="43">
                  <c:v>-706</c:v>
                </c:pt>
                <c:pt idx="44">
                  <c:v>-719</c:v>
                </c:pt>
                <c:pt idx="45">
                  <c:v>-706</c:v>
                </c:pt>
                <c:pt idx="46">
                  <c:v>-744</c:v>
                </c:pt>
                <c:pt idx="47">
                  <c:v>-756</c:v>
                </c:pt>
                <c:pt idx="48">
                  <c:v>-756</c:v>
                </c:pt>
                <c:pt idx="49">
                  <c:v>-775</c:v>
                </c:pt>
                <c:pt idx="50">
                  <c:v>-769</c:v>
                </c:pt>
                <c:pt idx="51">
                  <c:v>-769</c:v>
                </c:pt>
                <c:pt idx="52">
                  <c:v>-769</c:v>
                </c:pt>
                <c:pt idx="53">
                  <c:v>-769</c:v>
                </c:pt>
                <c:pt idx="54">
                  <c:v>-756</c:v>
                </c:pt>
                <c:pt idx="55">
                  <c:v>-769</c:v>
                </c:pt>
                <c:pt idx="56">
                  <c:v>-806</c:v>
                </c:pt>
                <c:pt idx="57">
                  <c:v>-844</c:v>
                </c:pt>
                <c:pt idx="58">
                  <c:v>-869</c:v>
                </c:pt>
                <c:pt idx="59">
                  <c:v>-887</c:v>
                </c:pt>
                <c:pt idx="60">
                  <c:v>-887</c:v>
                </c:pt>
                <c:pt idx="61">
                  <c:v>-875</c:v>
                </c:pt>
                <c:pt idx="62">
                  <c:v>-887</c:v>
                </c:pt>
                <c:pt idx="63">
                  <c:v>-862</c:v>
                </c:pt>
                <c:pt idx="64">
                  <c:v>-850</c:v>
                </c:pt>
                <c:pt idx="65">
                  <c:v>-837</c:v>
                </c:pt>
                <c:pt idx="66">
                  <c:v>-862</c:v>
                </c:pt>
                <c:pt idx="67">
                  <c:v>-862</c:v>
                </c:pt>
                <c:pt idx="68">
                  <c:v>-850</c:v>
                </c:pt>
                <c:pt idx="69">
                  <c:v>-837</c:v>
                </c:pt>
                <c:pt idx="70">
                  <c:v>-825</c:v>
                </c:pt>
                <c:pt idx="71">
                  <c:v>-812</c:v>
                </c:pt>
                <c:pt idx="72">
                  <c:v>-787</c:v>
                </c:pt>
                <c:pt idx="73">
                  <c:v>-775</c:v>
                </c:pt>
                <c:pt idx="74">
                  <c:v>-775</c:v>
                </c:pt>
                <c:pt idx="75">
                  <c:v>-812</c:v>
                </c:pt>
                <c:pt idx="76">
                  <c:v>-837</c:v>
                </c:pt>
                <c:pt idx="77">
                  <c:v>-850</c:v>
                </c:pt>
                <c:pt idx="78">
                  <c:v>-850</c:v>
                </c:pt>
                <c:pt idx="79">
                  <c:v>-850</c:v>
                </c:pt>
                <c:pt idx="80">
                  <c:v>-837</c:v>
                </c:pt>
                <c:pt idx="81">
                  <c:v>-850</c:v>
                </c:pt>
                <c:pt idx="82">
                  <c:v>-843</c:v>
                </c:pt>
                <c:pt idx="83">
                  <c:v>-856</c:v>
                </c:pt>
                <c:pt idx="84">
                  <c:v>-881</c:v>
                </c:pt>
                <c:pt idx="85">
                  <c:v>-893</c:v>
                </c:pt>
                <c:pt idx="86">
                  <c:v>-918</c:v>
                </c:pt>
                <c:pt idx="87">
                  <c:v>-943</c:v>
                </c:pt>
                <c:pt idx="88">
                  <c:v>-956</c:v>
                </c:pt>
                <c:pt idx="89">
                  <c:v>-968</c:v>
                </c:pt>
                <c:pt idx="90">
                  <c:v>-993</c:v>
                </c:pt>
                <c:pt idx="91">
                  <c:v>-1043</c:v>
                </c:pt>
                <c:pt idx="92">
                  <c:v>-1056</c:v>
                </c:pt>
                <c:pt idx="93">
                  <c:v>-1081</c:v>
                </c:pt>
                <c:pt idx="94">
                  <c:v>-1118</c:v>
                </c:pt>
                <c:pt idx="95">
                  <c:v>-1156</c:v>
                </c:pt>
                <c:pt idx="96">
                  <c:v>-1181</c:v>
                </c:pt>
                <c:pt idx="97">
                  <c:v>-1218</c:v>
                </c:pt>
                <c:pt idx="98">
                  <c:v>-1218</c:v>
                </c:pt>
                <c:pt idx="99">
                  <c:v>-1243</c:v>
                </c:pt>
                <c:pt idx="100">
                  <c:v>-1250</c:v>
                </c:pt>
                <c:pt idx="101">
                  <c:v>-1237</c:v>
                </c:pt>
                <c:pt idx="102">
                  <c:v>-1262</c:v>
                </c:pt>
                <c:pt idx="103">
                  <c:v>-1262</c:v>
                </c:pt>
                <c:pt idx="104">
                  <c:v>-1275</c:v>
                </c:pt>
                <c:pt idx="105">
                  <c:v>-1287</c:v>
                </c:pt>
                <c:pt idx="106">
                  <c:v>-1287</c:v>
                </c:pt>
                <c:pt idx="107">
                  <c:v>-1287</c:v>
                </c:pt>
                <c:pt idx="108">
                  <c:v>-1251.2857142857142</c:v>
                </c:pt>
                <c:pt idx="109">
                  <c:v>-1215.5714285714287</c:v>
                </c:pt>
                <c:pt idx="110">
                  <c:v>-1194.1428571428573</c:v>
                </c:pt>
                <c:pt idx="111">
                  <c:v>-1172.7142857142858</c:v>
                </c:pt>
                <c:pt idx="112">
                  <c:v>-1137</c:v>
                </c:pt>
                <c:pt idx="113">
                  <c:v>-1172.7142857142858</c:v>
                </c:pt>
                <c:pt idx="114">
                  <c:v>-1165.5714285714287</c:v>
                </c:pt>
                <c:pt idx="115">
                  <c:v>-1144.1428571428573</c:v>
                </c:pt>
                <c:pt idx="116">
                  <c:v>-1108.4285714285716</c:v>
                </c:pt>
                <c:pt idx="117">
                  <c:v>-1101.2857142857144</c:v>
                </c:pt>
                <c:pt idx="118">
                  <c:v>-1079.8571428571431</c:v>
                </c:pt>
                <c:pt idx="119">
                  <c:v>-1072.7142857142858</c:v>
                </c:pt>
                <c:pt idx="120">
                  <c:v>-1065.5714285714289</c:v>
                </c:pt>
                <c:pt idx="121">
                  <c:v>-1044.1428571428573</c:v>
                </c:pt>
                <c:pt idx="122">
                  <c:v>-1008.4285714285716</c:v>
                </c:pt>
                <c:pt idx="123">
                  <c:v>-1029.8571428571431</c:v>
                </c:pt>
                <c:pt idx="124">
                  <c:v>-1015.5714285714287</c:v>
                </c:pt>
                <c:pt idx="125">
                  <c:v>-965.57142857142867</c:v>
                </c:pt>
                <c:pt idx="126">
                  <c:v>-944.14285714285722</c:v>
                </c:pt>
                <c:pt idx="127">
                  <c:v>-937</c:v>
                </c:pt>
                <c:pt idx="128">
                  <c:v>-901.28571428571433</c:v>
                </c:pt>
                <c:pt idx="129">
                  <c:v>-865.57142857142867</c:v>
                </c:pt>
                <c:pt idx="130">
                  <c:v>-872.71428571428578</c:v>
                </c:pt>
                <c:pt idx="131">
                  <c:v>-851.28571428571433</c:v>
                </c:pt>
                <c:pt idx="132">
                  <c:v>-829.85714285714289</c:v>
                </c:pt>
                <c:pt idx="133">
                  <c:v>-808.42857142857144</c:v>
                </c:pt>
                <c:pt idx="134">
                  <c:v>-815.57142857142867</c:v>
                </c:pt>
                <c:pt idx="135">
                  <c:v>-779.85714285714289</c:v>
                </c:pt>
                <c:pt idx="136">
                  <c:v>-772.71428571428578</c:v>
                </c:pt>
                <c:pt idx="137">
                  <c:v>-751.28571428571422</c:v>
                </c:pt>
                <c:pt idx="138">
                  <c:v>-772.71428571428578</c:v>
                </c:pt>
                <c:pt idx="139">
                  <c:v>-779.85714285714289</c:v>
                </c:pt>
                <c:pt idx="140">
                  <c:v>-815.57142857142867</c:v>
                </c:pt>
                <c:pt idx="141">
                  <c:v>-808.42857142857144</c:v>
                </c:pt>
                <c:pt idx="142">
                  <c:v>-801.28571428571422</c:v>
                </c:pt>
                <c:pt idx="143">
                  <c:v>-751.28571428571422</c:v>
                </c:pt>
                <c:pt idx="144">
                  <c:v>-715.57142857142856</c:v>
                </c:pt>
                <c:pt idx="145">
                  <c:v>-679.85714285714289</c:v>
                </c:pt>
                <c:pt idx="146">
                  <c:v>-658.42857142857133</c:v>
                </c:pt>
                <c:pt idx="147">
                  <c:v>-679.85714285714278</c:v>
                </c:pt>
                <c:pt idx="148">
                  <c:v>-672.71428571428567</c:v>
                </c:pt>
                <c:pt idx="149">
                  <c:v>-665.57142857142856</c:v>
                </c:pt>
                <c:pt idx="150">
                  <c:v>-651.28571428571422</c:v>
                </c:pt>
                <c:pt idx="151">
                  <c:v>-644.14285714285711</c:v>
                </c:pt>
                <c:pt idx="152">
                  <c:v>-622.71428571428567</c:v>
                </c:pt>
                <c:pt idx="153">
                  <c:v>-615.57142857142844</c:v>
                </c:pt>
                <c:pt idx="154">
                  <c:v>-608.42857142857133</c:v>
                </c:pt>
                <c:pt idx="155">
                  <c:v>-608.42857142857133</c:v>
                </c:pt>
                <c:pt idx="156">
                  <c:v>-608.42857142857133</c:v>
                </c:pt>
                <c:pt idx="157">
                  <c:v>-586.99999999999989</c:v>
                </c:pt>
                <c:pt idx="158">
                  <c:v>-579.85714285714278</c:v>
                </c:pt>
                <c:pt idx="159">
                  <c:v>-579.85714285714278</c:v>
                </c:pt>
                <c:pt idx="160">
                  <c:v>-586.99999999999989</c:v>
                </c:pt>
                <c:pt idx="161">
                  <c:v>-594.14285714285711</c:v>
                </c:pt>
                <c:pt idx="162">
                  <c:v>-615.57142857142844</c:v>
                </c:pt>
                <c:pt idx="163">
                  <c:v>-636.99999999999989</c:v>
                </c:pt>
                <c:pt idx="164">
                  <c:v>-658.42857142857133</c:v>
                </c:pt>
                <c:pt idx="165">
                  <c:v>-679.85714285714278</c:v>
                </c:pt>
                <c:pt idx="166">
                  <c:v>-672.71428571428555</c:v>
                </c:pt>
                <c:pt idx="167">
                  <c:v>-708.42857142857133</c:v>
                </c:pt>
                <c:pt idx="168">
                  <c:v>-729.85714285714278</c:v>
                </c:pt>
                <c:pt idx="169">
                  <c:v>-765.57142857142844</c:v>
                </c:pt>
                <c:pt idx="170">
                  <c:v>-758.42857142857133</c:v>
                </c:pt>
                <c:pt idx="171">
                  <c:v>-765.57142857142844</c:v>
                </c:pt>
                <c:pt idx="172">
                  <c:v>-744.142857142857</c:v>
                </c:pt>
                <c:pt idx="173">
                  <c:v>-736.99999999999989</c:v>
                </c:pt>
                <c:pt idx="174">
                  <c:v>-729.85714285714266</c:v>
                </c:pt>
                <c:pt idx="175">
                  <c:v>-736.99999999999989</c:v>
                </c:pt>
                <c:pt idx="176">
                  <c:v>-744.142857142857</c:v>
                </c:pt>
                <c:pt idx="177">
                  <c:v>-736.99999999999989</c:v>
                </c:pt>
                <c:pt idx="178">
                  <c:v>-744.142857142857</c:v>
                </c:pt>
                <c:pt idx="179">
                  <c:v>-751.28571428571411</c:v>
                </c:pt>
                <c:pt idx="180">
                  <c:v>-758.42857142857133</c:v>
                </c:pt>
                <c:pt idx="181">
                  <c:v>-751.28571428571411</c:v>
                </c:pt>
                <c:pt idx="182">
                  <c:v>-772.71428571428555</c:v>
                </c:pt>
                <c:pt idx="183">
                  <c:v>-779.85714285714266</c:v>
                </c:pt>
                <c:pt idx="184">
                  <c:v>-772.71428571428555</c:v>
                </c:pt>
                <c:pt idx="185">
                  <c:v>-808.42857142857133</c:v>
                </c:pt>
                <c:pt idx="186">
                  <c:v>-815.57142857142844</c:v>
                </c:pt>
                <c:pt idx="187">
                  <c:v>-808.42857142857133</c:v>
                </c:pt>
                <c:pt idx="188">
                  <c:v>-836.99999999999977</c:v>
                </c:pt>
                <c:pt idx="189">
                  <c:v>-815.57142857142844</c:v>
                </c:pt>
                <c:pt idx="190">
                  <c:v>-794.14285714285688</c:v>
                </c:pt>
                <c:pt idx="191">
                  <c:v>-772.71428571428555</c:v>
                </c:pt>
                <c:pt idx="192">
                  <c:v>-751.28571428571399</c:v>
                </c:pt>
                <c:pt idx="193">
                  <c:v>-715.57142857142833</c:v>
                </c:pt>
                <c:pt idx="194">
                  <c:v>-722.71428571428544</c:v>
                </c:pt>
                <c:pt idx="195">
                  <c:v>-772.71428571428544</c:v>
                </c:pt>
                <c:pt idx="196">
                  <c:v>-779.85714285714266</c:v>
                </c:pt>
                <c:pt idx="197">
                  <c:v>-772.71428571428544</c:v>
                </c:pt>
                <c:pt idx="198">
                  <c:v>-779.85714285714266</c:v>
                </c:pt>
                <c:pt idx="199">
                  <c:v>-786.99999999999977</c:v>
                </c:pt>
                <c:pt idx="200">
                  <c:v>-765.57142857142833</c:v>
                </c:pt>
                <c:pt idx="201">
                  <c:v>-772.71428571428555</c:v>
                </c:pt>
                <c:pt idx="202">
                  <c:v>-794.14285714285688</c:v>
                </c:pt>
                <c:pt idx="203">
                  <c:v>-815.57142857142844</c:v>
                </c:pt>
                <c:pt idx="204">
                  <c:v>-822.71428571428555</c:v>
                </c:pt>
                <c:pt idx="205">
                  <c:v>-829.85714285714266</c:v>
                </c:pt>
                <c:pt idx="206">
                  <c:v>-794.142857142857</c:v>
                </c:pt>
                <c:pt idx="207">
                  <c:v>-744.142857142857</c:v>
                </c:pt>
                <c:pt idx="208">
                  <c:v>-708.42857142857133</c:v>
                </c:pt>
                <c:pt idx="209">
                  <c:v>-679.85714285714266</c:v>
                </c:pt>
                <c:pt idx="210">
                  <c:v>-672.71428571428555</c:v>
                </c:pt>
                <c:pt idx="211">
                  <c:v>-665.57142857142844</c:v>
                </c:pt>
                <c:pt idx="212">
                  <c:v>-644.142857142857</c:v>
                </c:pt>
                <c:pt idx="213">
                  <c:v>-636.99999999999989</c:v>
                </c:pt>
                <c:pt idx="214">
                  <c:v>-615.57142857142844</c:v>
                </c:pt>
                <c:pt idx="215">
                  <c:v>-579.85714285714266</c:v>
                </c:pt>
                <c:pt idx="216">
                  <c:v>-551.28571428571411</c:v>
                </c:pt>
                <c:pt idx="217">
                  <c:v>-515.57142857142844</c:v>
                </c:pt>
                <c:pt idx="218">
                  <c:v>-479.85714285714272</c:v>
                </c:pt>
                <c:pt idx="219">
                  <c:v>-472.71428571428561</c:v>
                </c:pt>
                <c:pt idx="220">
                  <c:v>-465.57142857142844</c:v>
                </c:pt>
                <c:pt idx="221">
                  <c:v>-429.85714285714272</c:v>
                </c:pt>
                <c:pt idx="222">
                  <c:v>-394.142857142857</c:v>
                </c:pt>
                <c:pt idx="223">
                  <c:v>-386.99999999999989</c:v>
                </c:pt>
                <c:pt idx="224">
                  <c:v>-379.85714285714278</c:v>
                </c:pt>
                <c:pt idx="225">
                  <c:v>-358.42857142857133</c:v>
                </c:pt>
                <c:pt idx="226">
                  <c:v>-365.57142857142844</c:v>
                </c:pt>
                <c:pt idx="227">
                  <c:v>-365.57142857142844</c:v>
                </c:pt>
                <c:pt idx="228">
                  <c:v>-386.99999999999989</c:v>
                </c:pt>
                <c:pt idx="229">
                  <c:v>-408.42857142857133</c:v>
                </c:pt>
                <c:pt idx="230">
                  <c:v>-415.57142857142844</c:v>
                </c:pt>
                <c:pt idx="231">
                  <c:v>-436.99999999999989</c:v>
                </c:pt>
                <c:pt idx="232">
                  <c:v>-472.71428571428561</c:v>
                </c:pt>
                <c:pt idx="233">
                  <c:v>-479.85714285714278</c:v>
                </c:pt>
                <c:pt idx="234">
                  <c:v>-486.99999999999989</c:v>
                </c:pt>
                <c:pt idx="235">
                  <c:v>-508.42857142857133</c:v>
                </c:pt>
                <c:pt idx="236">
                  <c:v>-515.57142857142844</c:v>
                </c:pt>
                <c:pt idx="237">
                  <c:v>-522.71428571428567</c:v>
                </c:pt>
                <c:pt idx="238">
                  <c:v>-529.85714285714278</c:v>
                </c:pt>
                <c:pt idx="239">
                  <c:v>-536.99999999999989</c:v>
                </c:pt>
                <c:pt idx="240">
                  <c:v>-529.85714285714278</c:v>
                </c:pt>
                <c:pt idx="241">
                  <c:v>-536.99999999999989</c:v>
                </c:pt>
                <c:pt idx="242">
                  <c:v>-544.14285714285711</c:v>
                </c:pt>
                <c:pt idx="243">
                  <c:v>-536.99999999999989</c:v>
                </c:pt>
                <c:pt idx="244">
                  <c:v>-544.14285714285711</c:v>
                </c:pt>
                <c:pt idx="245">
                  <c:v>-544.14285714285711</c:v>
                </c:pt>
                <c:pt idx="246">
                  <c:v>-536.99999999999989</c:v>
                </c:pt>
                <c:pt idx="247">
                  <c:v>-558.42857142857133</c:v>
                </c:pt>
                <c:pt idx="248">
                  <c:v>-579.85714285714278</c:v>
                </c:pt>
                <c:pt idx="249">
                  <c:v>-572.71428571428567</c:v>
                </c:pt>
                <c:pt idx="250">
                  <c:v>-594.14285714285711</c:v>
                </c:pt>
                <c:pt idx="251">
                  <c:v>-629.85714285714278</c:v>
                </c:pt>
                <c:pt idx="252">
                  <c:v>-622.71428571428567</c:v>
                </c:pt>
                <c:pt idx="253">
                  <c:v>-644.14285714285711</c:v>
                </c:pt>
                <c:pt idx="254">
                  <c:v>-651.28571428571422</c:v>
                </c:pt>
                <c:pt idx="255">
                  <c:v>-644.14285714285711</c:v>
                </c:pt>
                <c:pt idx="256">
                  <c:v>-615.57142857142844</c:v>
                </c:pt>
                <c:pt idx="257">
                  <c:v>-608.42857142857133</c:v>
                </c:pt>
                <c:pt idx="258">
                  <c:v>-586.99999999999989</c:v>
                </c:pt>
                <c:pt idx="259">
                  <c:v>-565.57142857142844</c:v>
                </c:pt>
                <c:pt idx="260">
                  <c:v>-558.42857142857133</c:v>
                </c:pt>
                <c:pt idx="261">
                  <c:v>-579.85714285714278</c:v>
                </c:pt>
                <c:pt idx="262">
                  <c:v>-594.142857142857</c:v>
                </c:pt>
                <c:pt idx="263">
                  <c:v>-601.28571428571422</c:v>
                </c:pt>
                <c:pt idx="264">
                  <c:v>-608.42857142857133</c:v>
                </c:pt>
                <c:pt idx="265">
                  <c:v>-615.57142857142844</c:v>
                </c:pt>
                <c:pt idx="266">
                  <c:v>-622.71428571428555</c:v>
                </c:pt>
                <c:pt idx="267">
                  <c:v>-644.142857142857</c:v>
                </c:pt>
                <c:pt idx="268">
                  <c:v>-636.99999999999989</c:v>
                </c:pt>
                <c:pt idx="269">
                  <c:v>-644.142857142857</c:v>
                </c:pt>
                <c:pt idx="270">
                  <c:v>-665.57142857142844</c:v>
                </c:pt>
                <c:pt idx="271">
                  <c:v>-701.28571428571411</c:v>
                </c:pt>
                <c:pt idx="272">
                  <c:v>-736.99999999999989</c:v>
                </c:pt>
                <c:pt idx="273">
                  <c:v>-779.85714285714266</c:v>
                </c:pt>
                <c:pt idx="274">
                  <c:v>-815.57142857142844</c:v>
                </c:pt>
                <c:pt idx="275">
                  <c:v>-829.85714285714266</c:v>
                </c:pt>
                <c:pt idx="276">
                  <c:v>-836.99999999999989</c:v>
                </c:pt>
                <c:pt idx="277">
                  <c:v>-858.42857142857133</c:v>
                </c:pt>
                <c:pt idx="278">
                  <c:v>-851.28571428571422</c:v>
                </c:pt>
                <c:pt idx="279">
                  <c:v>-815.57142857142844</c:v>
                </c:pt>
                <c:pt idx="280">
                  <c:v>-794.142857142857</c:v>
                </c:pt>
                <c:pt idx="281">
                  <c:v>-786.99999999999977</c:v>
                </c:pt>
                <c:pt idx="282">
                  <c:v>-794.142857142857</c:v>
                </c:pt>
                <c:pt idx="283">
                  <c:v>-786.99999999999977</c:v>
                </c:pt>
                <c:pt idx="284">
                  <c:v>-765.57142857142844</c:v>
                </c:pt>
                <c:pt idx="285">
                  <c:v>-758.42857142857122</c:v>
                </c:pt>
                <c:pt idx="286">
                  <c:v>-729.85714285714266</c:v>
                </c:pt>
                <c:pt idx="287">
                  <c:v>-722.71428571428555</c:v>
                </c:pt>
                <c:pt idx="288">
                  <c:v>-715.57142857142844</c:v>
                </c:pt>
                <c:pt idx="289">
                  <c:v>-708.42857142857122</c:v>
                </c:pt>
                <c:pt idx="290">
                  <c:v>-701.28571428571411</c:v>
                </c:pt>
                <c:pt idx="291">
                  <c:v>-708.42857142857122</c:v>
                </c:pt>
                <c:pt idx="292">
                  <c:v>-744.142857142857</c:v>
                </c:pt>
                <c:pt idx="293">
                  <c:v>-736.99999999999977</c:v>
                </c:pt>
                <c:pt idx="294">
                  <c:v>-715.57142857142844</c:v>
                </c:pt>
                <c:pt idx="295">
                  <c:v>-722.71428571428555</c:v>
                </c:pt>
                <c:pt idx="296">
                  <c:v>-715.57142857142844</c:v>
                </c:pt>
                <c:pt idx="297">
                  <c:v>-672.71428571428555</c:v>
                </c:pt>
                <c:pt idx="298">
                  <c:v>-651.28571428571411</c:v>
                </c:pt>
                <c:pt idx="299">
                  <c:v>-658.42857142857122</c:v>
                </c:pt>
                <c:pt idx="300">
                  <c:v>-651.28571428571411</c:v>
                </c:pt>
                <c:pt idx="301">
                  <c:v>-629.85714285714266</c:v>
                </c:pt>
                <c:pt idx="302">
                  <c:v>-636.99999999999977</c:v>
                </c:pt>
                <c:pt idx="303">
                  <c:v>-629.85714285714266</c:v>
                </c:pt>
                <c:pt idx="304">
                  <c:v>-608.42857142857122</c:v>
                </c:pt>
                <c:pt idx="305">
                  <c:v>-586.99999999999977</c:v>
                </c:pt>
                <c:pt idx="306">
                  <c:v>-579.85714285714266</c:v>
                </c:pt>
                <c:pt idx="307">
                  <c:v>-572.71428571428555</c:v>
                </c:pt>
                <c:pt idx="308">
                  <c:v>-565.57142857142844</c:v>
                </c:pt>
                <c:pt idx="309">
                  <c:v>-558.42857142857122</c:v>
                </c:pt>
                <c:pt idx="310">
                  <c:v>-551.28571428571411</c:v>
                </c:pt>
                <c:pt idx="311">
                  <c:v>-558.42857142857122</c:v>
                </c:pt>
                <c:pt idx="312">
                  <c:v>-565.57142857142844</c:v>
                </c:pt>
                <c:pt idx="313">
                  <c:v>-586.99999999999977</c:v>
                </c:pt>
                <c:pt idx="314">
                  <c:v>-579.85714285714266</c:v>
                </c:pt>
                <c:pt idx="315">
                  <c:v>-572.71428571428555</c:v>
                </c:pt>
                <c:pt idx="316">
                  <c:v>-579.85714285714266</c:v>
                </c:pt>
                <c:pt idx="317">
                  <c:v>-572.71428571428555</c:v>
                </c:pt>
                <c:pt idx="318">
                  <c:v>-586.99999999999977</c:v>
                </c:pt>
                <c:pt idx="319">
                  <c:v>-594.14285714285688</c:v>
                </c:pt>
                <c:pt idx="320">
                  <c:v>-601.28571428571411</c:v>
                </c:pt>
                <c:pt idx="321">
                  <c:v>-608.42857142857122</c:v>
                </c:pt>
                <c:pt idx="322">
                  <c:v>-601.28571428571411</c:v>
                </c:pt>
                <c:pt idx="323">
                  <c:v>-565.57142857142833</c:v>
                </c:pt>
                <c:pt idx="324">
                  <c:v>-558.42857142857122</c:v>
                </c:pt>
                <c:pt idx="325">
                  <c:v>-522.71428571428555</c:v>
                </c:pt>
                <c:pt idx="326">
                  <c:v>-501.28571428571411</c:v>
                </c:pt>
                <c:pt idx="327">
                  <c:v>-465.57142857142838</c:v>
                </c:pt>
                <c:pt idx="328">
                  <c:v>-429.85714285714266</c:v>
                </c:pt>
                <c:pt idx="329">
                  <c:v>-408.42857142857122</c:v>
                </c:pt>
                <c:pt idx="330">
                  <c:v>-394.14285714285694</c:v>
                </c:pt>
                <c:pt idx="331">
                  <c:v>-394.14285714285694</c:v>
                </c:pt>
                <c:pt idx="332">
                  <c:v>-379.85714285714266</c:v>
                </c:pt>
                <c:pt idx="333">
                  <c:v>-379.85714285714266</c:v>
                </c:pt>
                <c:pt idx="334">
                  <c:v>-372.7142857142855</c:v>
                </c:pt>
                <c:pt idx="335">
                  <c:v>-351.28571428571405</c:v>
                </c:pt>
                <c:pt idx="336">
                  <c:v>-358.42857142857122</c:v>
                </c:pt>
                <c:pt idx="337">
                  <c:v>-365.57142857142833</c:v>
                </c:pt>
                <c:pt idx="338">
                  <c:v>-358.42857142857122</c:v>
                </c:pt>
                <c:pt idx="339">
                  <c:v>-394.14285714285688</c:v>
                </c:pt>
                <c:pt idx="340">
                  <c:v>-429.85714285714266</c:v>
                </c:pt>
                <c:pt idx="341">
                  <c:v>-415.57142857142833</c:v>
                </c:pt>
                <c:pt idx="342">
                  <c:v>-408.42857142857122</c:v>
                </c:pt>
                <c:pt idx="343">
                  <c:v>-401.28571428571405</c:v>
                </c:pt>
                <c:pt idx="344">
                  <c:v>-379.85714285714261</c:v>
                </c:pt>
                <c:pt idx="345">
                  <c:v>-372.71428571428544</c:v>
                </c:pt>
                <c:pt idx="346">
                  <c:v>-365.57142857142833</c:v>
                </c:pt>
                <c:pt idx="347">
                  <c:v>-358.42857142857122</c:v>
                </c:pt>
                <c:pt idx="348">
                  <c:v>-365.57142857142833</c:v>
                </c:pt>
                <c:pt idx="349">
                  <c:v>-344.14285714285688</c:v>
                </c:pt>
                <c:pt idx="350">
                  <c:v>-336.99999999999977</c:v>
                </c:pt>
                <c:pt idx="351">
                  <c:v>-344.14285714285688</c:v>
                </c:pt>
                <c:pt idx="352">
                  <c:v>-351.28571428571399</c:v>
                </c:pt>
                <c:pt idx="353">
                  <c:v>-372.71428571428544</c:v>
                </c:pt>
                <c:pt idx="354">
                  <c:v>-365.57142857142833</c:v>
                </c:pt>
                <c:pt idx="355">
                  <c:v>-386.99999999999972</c:v>
                </c:pt>
                <c:pt idx="356">
                  <c:v>-422.71428571428544</c:v>
                </c:pt>
                <c:pt idx="357">
                  <c:v>-444.14285714285688</c:v>
                </c:pt>
                <c:pt idx="358">
                  <c:v>-444.14285714285688</c:v>
                </c:pt>
                <c:pt idx="359">
                  <c:v>-451.28571428571399</c:v>
                </c:pt>
                <c:pt idx="360">
                  <c:v>-486.99999999999972</c:v>
                </c:pt>
                <c:pt idx="361">
                  <c:v>-522.71428571428544</c:v>
                </c:pt>
                <c:pt idx="362">
                  <c:v>-558.4285714285711</c:v>
                </c:pt>
                <c:pt idx="363">
                  <c:v>-594.14285714285688</c:v>
                </c:pt>
                <c:pt idx="364">
                  <c:v>-615.57142857142833</c:v>
                </c:pt>
                <c:pt idx="365">
                  <c:v>-665.57142857142833</c:v>
                </c:pt>
                <c:pt idx="366">
                  <c:v>-686.99999999999977</c:v>
                </c:pt>
                <c:pt idx="367">
                  <c:v>-708.4285714285711</c:v>
                </c:pt>
                <c:pt idx="368">
                  <c:v>-744.14285714285688</c:v>
                </c:pt>
                <c:pt idx="369">
                  <c:v>-736.99999999999977</c:v>
                </c:pt>
                <c:pt idx="370">
                  <c:v>-729.85714285714266</c:v>
                </c:pt>
                <c:pt idx="371">
                  <c:v>-694.14285714285688</c:v>
                </c:pt>
                <c:pt idx="372">
                  <c:v>-672.71428571428544</c:v>
                </c:pt>
                <c:pt idx="373">
                  <c:v>-636.99999999999977</c:v>
                </c:pt>
                <c:pt idx="374">
                  <c:v>-629.85714285714255</c:v>
                </c:pt>
                <c:pt idx="375">
                  <c:v>-608.4285714285711</c:v>
                </c:pt>
                <c:pt idx="376">
                  <c:v>-586.99999999999977</c:v>
                </c:pt>
                <c:pt idx="377">
                  <c:v>-579.85714285714255</c:v>
                </c:pt>
                <c:pt idx="378">
                  <c:v>-558.4285714285711</c:v>
                </c:pt>
                <c:pt idx="379">
                  <c:v>-551.28571428571399</c:v>
                </c:pt>
                <c:pt idx="380">
                  <c:v>-536.99999999999966</c:v>
                </c:pt>
                <c:pt idx="381">
                  <c:v>-501.28571428571399</c:v>
                </c:pt>
                <c:pt idx="382">
                  <c:v>-465.57142857142827</c:v>
                </c:pt>
                <c:pt idx="383">
                  <c:v>-444.14285714285688</c:v>
                </c:pt>
                <c:pt idx="384">
                  <c:v>-408.42857142857116</c:v>
                </c:pt>
                <c:pt idx="385">
                  <c:v>-401.28571428571399</c:v>
                </c:pt>
                <c:pt idx="386">
                  <c:v>-401.28571428571399</c:v>
                </c:pt>
                <c:pt idx="387">
                  <c:v>-401.28571428571399</c:v>
                </c:pt>
                <c:pt idx="388">
                  <c:v>-408.42857142857116</c:v>
                </c:pt>
                <c:pt idx="389">
                  <c:v>-401.28571428571399</c:v>
                </c:pt>
                <c:pt idx="390">
                  <c:v>-408.42857142857116</c:v>
                </c:pt>
                <c:pt idx="391">
                  <c:v>-358.42857142857116</c:v>
                </c:pt>
                <c:pt idx="392">
                  <c:v>-325.09523809523785</c:v>
                </c:pt>
                <c:pt idx="393">
                  <c:v>-317.95238095238068</c:v>
                </c:pt>
                <c:pt idx="394">
                  <c:v>-296.52380952380923</c:v>
                </c:pt>
                <c:pt idx="395">
                  <c:v>-289.38095238095207</c:v>
                </c:pt>
                <c:pt idx="396">
                  <c:v>-296.52380952380923</c:v>
                </c:pt>
                <c:pt idx="397">
                  <c:v>-303.6666666666664</c:v>
                </c:pt>
                <c:pt idx="398">
                  <c:v>-296.52380952380923</c:v>
                </c:pt>
                <c:pt idx="399">
                  <c:v>-282.23809523809496</c:v>
                </c:pt>
                <c:pt idx="400">
                  <c:v>-260.80952380952351</c:v>
                </c:pt>
                <c:pt idx="401">
                  <c:v>-239.38095238095207</c:v>
                </c:pt>
                <c:pt idx="402">
                  <c:v>-232.2380952380949</c:v>
                </c:pt>
                <c:pt idx="403">
                  <c:v>-225.09523809523773</c:v>
                </c:pt>
                <c:pt idx="404">
                  <c:v>-210.80952380952345</c:v>
                </c:pt>
                <c:pt idx="405">
                  <c:v>-217.95238095238062</c:v>
                </c:pt>
                <c:pt idx="406">
                  <c:v>-210.80952380952345</c:v>
                </c:pt>
                <c:pt idx="407">
                  <c:v>-203.66666666666629</c:v>
                </c:pt>
                <c:pt idx="408">
                  <c:v>-239.38095238095201</c:v>
                </c:pt>
                <c:pt idx="409">
                  <c:v>-246.52380952380915</c:v>
                </c:pt>
                <c:pt idx="410">
                  <c:v>-225.09523809523773</c:v>
                </c:pt>
                <c:pt idx="411">
                  <c:v>-217.95238095238057</c:v>
                </c:pt>
                <c:pt idx="412">
                  <c:v>-196.52380952380912</c:v>
                </c:pt>
                <c:pt idx="413">
                  <c:v>-146.52380952380912</c:v>
                </c:pt>
                <c:pt idx="414">
                  <c:v>-125.09523809523768</c:v>
                </c:pt>
                <c:pt idx="415">
                  <c:v>-117.95238095238051</c:v>
                </c:pt>
                <c:pt idx="416">
                  <c:v>-82.238095238094786</c:v>
                </c:pt>
                <c:pt idx="417">
                  <c:v>-60.809523809523341</c:v>
                </c:pt>
                <c:pt idx="418">
                  <c:v>-25.095238095237619</c:v>
                </c:pt>
                <c:pt idx="419">
                  <c:v>10.619047619048104</c:v>
                </c:pt>
                <c:pt idx="420">
                  <c:v>32.047619047619492</c:v>
                </c:pt>
                <c:pt idx="421">
                  <c:v>60.619047619048047</c:v>
                </c:pt>
                <c:pt idx="422">
                  <c:v>53.476190476190936</c:v>
                </c:pt>
                <c:pt idx="423">
                  <c:v>60.619047619048047</c:v>
                </c:pt>
                <c:pt idx="424">
                  <c:v>53.476190476190936</c:v>
                </c:pt>
                <c:pt idx="425">
                  <c:v>46.333333333333826</c:v>
                </c:pt>
                <c:pt idx="426">
                  <c:v>53.476190476190936</c:v>
                </c:pt>
                <c:pt idx="427">
                  <c:v>74.904761904762381</c:v>
                </c:pt>
                <c:pt idx="428">
                  <c:v>124.90476190476238</c:v>
                </c:pt>
                <c:pt idx="429">
                  <c:v>117.76190476190527</c:v>
                </c:pt>
                <c:pt idx="430">
                  <c:v>124.90476190476238</c:v>
                </c:pt>
                <c:pt idx="431">
                  <c:v>103.47619047619094</c:v>
                </c:pt>
                <c:pt idx="432">
                  <c:v>82.047619047619492</c:v>
                </c:pt>
                <c:pt idx="433">
                  <c:v>60.619047619048047</c:v>
                </c:pt>
                <c:pt idx="434">
                  <c:v>39.190476190476602</c:v>
                </c:pt>
                <c:pt idx="435">
                  <c:v>46.333333333333712</c:v>
                </c:pt>
                <c:pt idx="436">
                  <c:v>53.476190476190823</c:v>
                </c:pt>
                <c:pt idx="437">
                  <c:v>74.904761904762267</c:v>
                </c:pt>
                <c:pt idx="438">
                  <c:v>67.761904761905157</c:v>
                </c:pt>
                <c:pt idx="439">
                  <c:v>60.619047619048047</c:v>
                </c:pt>
                <c:pt idx="440">
                  <c:v>10.619047619048047</c:v>
                </c:pt>
                <c:pt idx="441">
                  <c:v>3.4761904761908795</c:v>
                </c:pt>
                <c:pt idx="442">
                  <c:v>-17.952380952380565</c:v>
                </c:pt>
                <c:pt idx="443">
                  <c:v>3.4761904761908795</c:v>
                </c:pt>
                <c:pt idx="444">
                  <c:v>24.904761904762267</c:v>
                </c:pt>
                <c:pt idx="445">
                  <c:v>60.619047619047933</c:v>
                </c:pt>
                <c:pt idx="446">
                  <c:v>53.476190476190823</c:v>
                </c:pt>
                <c:pt idx="447">
                  <c:v>74.904761904762267</c:v>
                </c:pt>
                <c:pt idx="448">
                  <c:v>67.761904761905157</c:v>
                </c:pt>
                <c:pt idx="449">
                  <c:v>46.333333333333712</c:v>
                </c:pt>
                <c:pt idx="450">
                  <c:v>24.904761904762267</c:v>
                </c:pt>
                <c:pt idx="451">
                  <c:v>3.4761904761908227</c:v>
                </c:pt>
                <c:pt idx="452">
                  <c:v>-17.952380952380622</c:v>
                </c:pt>
                <c:pt idx="453">
                  <c:v>-25.095238095237789</c:v>
                </c:pt>
                <c:pt idx="454">
                  <c:v>10.619047619047933</c:v>
                </c:pt>
                <c:pt idx="455">
                  <c:v>3.4761904761907658</c:v>
                </c:pt>
                <c:pt idx="456">
                  <c:v>24.904761904762154</c:v>
                </c:pt>
                <c:pt idx="457">
                  <c:v>46.333333333333599</c:v>
                </c:pt>
                <c:pt idx="458">
                  <c:v>39.190476190476488</c:v>
                </c:pt>
                <c:pt idx="459">
                  <c:v>46.333333333333599</c:v>
                </c:pt>
                <c:pt idx="460">
                  <c:v>46.333333333333599</c:v>
                </c:pt>
                <c:pt idx="461">
                  <c:v>53.476190476190709</c:v>
                </c:pt>
                <c:pt idx="462">
                  <c:v>89.190476190476375</c:v>
                </c:pt>
                <c:pt idx="463">
                  <c:v>96.333333333333485</c:v>
                </c:pt>
                <c:pt idx="464">
                  <c:v>103.4761904761906</c:v>
                </c:pt>
                <c:pt idx="465">
                  <c:v>96.333333333333485</c:v>
                </c:pt>
                <c:pt idx="466">
                  <c:v>103.4761904761906</c:v>
                </c:pt>
                <c:pt idx="467">
                  <c:v>103.4761904761906</c:v>
                </c:pt>
                <c:pt idx="468">
                  <c:v>103.4761904761906</c:v>
                </c:pt>
                <c:pt idx="469">
                  <c:v>110.61904761904771</c:v>
                </c:pt>
                <c:pt idx="470">
                  <c:v>117.76190476190482</c:v>
                </c:pt>
                <c:pt idx="471">
                  <c:v>110.61904761904771</c:v>
                </c:pt>
                <c:pt idx="472">
                  <c:v>103.4761904761906</c:v>
                </c:pt>
                <c:pt idx="473">
                  <c:v>82.04761904761915</c:v>
                </c:pt>
                <c:pt idx="474">
                  <c:v>103.4761904761906</c:v>
                </c:pt>
                <c:pt idx="475">
                  <c:v>110.61904761904771</c:v>
                </c:pt>
                <c:pt idx="476">
                  <c:v>132.04761904761915</c:v>
                </c:pt>
                <c:pt idx="477">
                  <c:v>110.61904761904771</c:v>
                </c:pt>
                <c:pt idx="478">
                  <c:v>74.90476190476204</c:v>
                </c:pt>
                <c:pt idx="479">
                  <c:v>39.190476190476375</c:v>
                </c:pt>
                <c:pt idx="480">
                  <c:v>3.4761904761906521</c:v>
                </c:pt>
                <c:pt idx="481">
                  <c:v>-3.6666666666665151</c:v>
                </c:pt>
                <c:pt idx="482">
                  <c:v>-10.809523809523682</c:v>
                </c:pt>
                <c:pt idx="483">
                  <c:v>-17.95238095238085</c:v>
                </c:pt>
                <c:pt idx="484">
                  <c:v>-3.6666666666665719</c:v>
                </c:pt>
                <c:pt idx="485">
                  <c:v>32.04761904761915</c:v>
                </c:pt>
                <c:pt idx="486">
                  <c:v>39.190476190476261</c:v>
                </c:pt>
                <c:pt idx="487">
                  <c:v>60.619047619047706</c:v>
                </c:pt>
                <c:pt idx="488">
                  <c:v>96.333333333333371</c:v>
                </c:pt>
                <c:pt idx="489">
                  <c:v>82.047619047619037</c:v>
                </c:pt>
                <c:pt idx="490">
                  <c:v>74.904761904761926</c:v>
                </c:pt>
                <c:pt idx="491">
                  <c:v>96.333333333333371</c:v>
                </c:pt>
                <c:pt idx="492">
                  <c:v>74.904761904761926</c:v>
                </c:pt>
                <c:pt idx="493">
                  <c:v>53.476190476190482</c:v>
                </c:pt>
                <c:pt idx="494">
                  <c:v>60.619047619047592</c:v>
                </c:pt>
                <c:pt idx="495">
                  <c:v>39.190476190476147</c:v>
                </c:pt>
                <c:pt idx="496">
                  <c:v>17.761904761904702</c:v>
                </c:pt>
                <c:pt idx="497">
                  <c:v>10.619047619047535</c:v>
                </c:pt>
                <c:pt idx="498">
                  <c:v>3.4761904761903679</c:v>
                </c:pt>
                <c:pt idx="499">
                  <c:v>-3.6666666666667993</c:v>
                </c:pt>
                <c:pt idx="500">
                  <c:v>-10.809523809523967</c:v>
                </c:pt>
                <c:pt idx="501">
                  <c:v>-3.6666666666667993</c:v>
                </c:pt>
                <c:pt idx="502">
                  <c:v>3.4761904761903679</c:v>
                </c:pt>
                <c:pt idx="503">
                  <c:v>-32.238095238095354</c:v>
                </c:pt>
                <c:pt idx="504">
                  <c:v>-39.380952380952522</c:v>
                </c:pt>
                <c:pt idx="505">
                  <c:v>-46.523809523809689</c:v>
                </c:pt>
                <c:pt idx="506">
                  <c:v>-39.380952380952522</c:v>
                </c:pt>
                <c:pt idx="507">
                  <c:v>-3.6666666666667993</c:v>
                </c:pt>
                <c:pt idx="508">
                  <c:v>32.047619047618923</c:v>
                </c:pt>
                <c:pt idx="509">
                  <c:v>53.476190476190368</c:v>
                </c:pt>
                <c:pt idx="510">
                  <c:v>74.904761904761813</c:v>
                </c:pt>
                <c:pt idx="511">
                  <c:v>53.476190476190368</c:v>
                </c:pt>
                <c:pt idx="512">
                  <c:v>32.047619047618923</c:v>
                </c:pt>
                <c:pt idx="513">
                  <c:v>39.190476190476033</c:v>
                </c:pt>
                <c:pt idx="514">
                  <c:v>46.333333333333144</c:v>
                </c:pt>
                <c:pt idx="515">
                  <c:v>53.476190476190254</c:v>
                </c:pt>
                <c:pt idx="516">
                  <c:v>60.619047619047365</c:v>
                </c:pt>
                <c:pt idx="517">
                  <c:v>67.761904761904475</c:v>
                </c:pt>
                <c:pt idx="518">
                  <c:v>74.904761904761585</c:v>
                </c:pt>
                <c:pt idx="519">
                  <c:v>96.33333333333303</c:v>
                </c:pt>
                <c:pt idx="520">
                  <c:v>132.0476190476187</c:v>
                </c:pt>
                <c:pt idx="521">
                  <c:v>139.19047619047581</c:v>
                </c:pt>
                <c:pt idx="522">
                  <c:v>174.90476190476147</c:v>
                </c:pt>
                <c:pt idx="523">
                  <c:v>210.61904761904714</c:v>
                </c:pt>
                <c:pt idx="524">
                  <c:v>246.3333333333328</c:v>
                </c:pt>
                <c:pt idx="525">
                  <c:v>246.3333333333328</c:v>
                </c:pt>
                <c:pt idx="526">
                  <c:v>267.76190476190425</c:v>
                </c:pt>
                <c:pt idx="527">
                  <c:v>260.61904761904714</c:v>
                </c:pt>
                <c:pt idx="528">
                  <c:v>296.3333333333328</c:v>
                </c:pt>
                <c:pt idx="529">
                  <c:v>303.47619047618991</c:v>
                </c:pt>
                <c:pt idx="530">
                  <c:v>310.61904761904702</c:v>
                </c:pt>
                <c:pt idx="531">
                  <c:v>317.76190476190413</c:v>
                </c:pt>
                <c:pt idx="532">
                  <c:v>282.04761904761847</c:v>
                </c:pt>
                <c:pt idx="533">
                  <c:v>246.3333333333328</c:v>
                </c:pt>
                <c:pt idx="534">
                  <c:v>232.04761904761847</c:v>
                </c:pt>
                <c:pt idx="535">
                  <c:v>253.47619047618991</c:v>
                </c:pt>
                <c:pt idx="536">
                  <c:v>282.04761904761847</c:v>
                </c:pt>
                <c:pt idx="537">
                  <c:v>324.90476190476136</c:v>
                </c:pt>
                <c:pt idx="538">
                  <c:v>346.3333333333328</c:v>
                </c:pt>
                <c:pt idx="539">
                  <c:v>382.04761904761847</c:v>
                </c:pt>
                <c:pt idx="540">
                  <c:v>360.61904761904702</c:v>
                </c:pt>
                <c:pt idx="541">
                  <c:v>353.47619047618991</c:v>
                </c:pt>
                <c:pt idx="542">
                  <c:v>332.04761904761847</c:v>
                </c:pt>
                <c:pt idx="543">
                  <c:v>310.61904761904702</c:v>
                </c:pt>
                <c:pt idx="544">
                  <c:v>289.19047619047558</c:v>
                </c:pt>
                <c:pt idx="545">
                  <c:v>324.90476190476124</c:v>
                </c:pt>
                <c:pt idx="546">
                  <c:v>303.4761904761898</c:v>
                </c:pt>
                <c:pt idx="547">
                  <c:v>310.61904761904691</c:v>
                </c:pt>
                <c:pt idx="548">
                  <c:v>317.76190476190402</c:v>
                </c:pt>
                <c:pt idx="549">
                  <c:v>324.90476190476113</c:v>
                </c:pt>
                <c:pt idx="550">
                  <c:v>346.33333333333258</c:v>
                </c:pt>
                <c:pt idx="551">
                  <c:v>382.04761904761824</c:v>
                </c:pt>
                <c:pt idx="552">
                  <c:v>374.90476190476113</c:v>
                </c:pt>
                <c:pt idx="553">
                  <c:v>410.6190476190468</c:v>
                </c:pt>
                <c:pt idx="554">
                  <c:v>403.47619047618969</c:v>
                </c:pt>
                <c:pt idx="555">
                  <c:v>382.04761904761824</c:v>
                </c:pt>
                <c:pt idx="556">
                  <c:v>353.47619047618969</c:v>
                </c:pt>
                <c:pt idx="557">
                  <c:v>310.6190476190468</c:v>
                </c:pt>
                <c:pt idx="558">
                  <c:v>303.47619047618969</c:v>
                </c:pt>
                <c:pt idx="559">
                  <c:v>267.76190476190402</c:v>
                </c:pt>
                <c:pt idx="560">
                  <c:v>260.61904761904691</c:v>
                </c:pt>
                <c:pt idx="561">
                  <c:v>267.76190476190402</c:v>
                </c:pt>
                <c:pt idx="562">
                  <c:v>274.90476190476113</c:v>
                </c:pt>
                <c:pt idx="563">
                  <c:v>282.04761904761824</c:v>
                </c:pt>
                <c:pt idx="564">
                  <c:v>267.76190476190391</c:v>
                </c:pt>
                <c:pt idx="565">
                  <c:v>246.33333333333246</c:v>
                </c:pt>
                <c:pt idx="566">
                  <c:v>210.6190476190468</c:v>
                </c:pt>
              </c:numCache>
            </c:numRef>
          </c:val>
          <c:smooth val="0"/>
          <c:extLst>
            <c:ext xmlns:c16="http://schemas.microsoft.com/office/drawing/2014/chart" uri="{C3380CC4-5D6E-409C-BE32-E72D297353CC}">
              <c16:uniqueId val="{00000003-FC8F-42B9-BDCE-D32A8FF9B34F}"/>
            </c:ext>
          </c:extLst>
        </c:ser>
        <c:ser>
          <c:idx val="4"/>
          <c:order val="4"/>
          <c:tx>
            <c:strRef>
              <c:f>DI元データ!$P$2</c:f>
              <c:strCache>
                <c:ptCount val="1"/>
                <c:pt idx="0">
                  <c:v>目盛り</c:v>
                </c:pt>
              </c:strCache>
            </c:strRef>
          </c:tx>
          <c:spPr>
            <a:ln w="25400">
              <a:solidFill>
                <a:srgbClr val="000000"/>
              </a:solidFill>
              <a:prstDash val="solid"/>
            </a:ln>
          </c:spPr>
          <c:marker>
            <c:symbol val="none"/>
          </c:marker>
          <c:cat>
            <c:strRef>
              <c:f>DI元データ!$B$5:$B$580</c:f>
              <c:strCache>
                <c:ptCount val="56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pt idx="564">
                  <c:v>8</c:v>
                </c:pt>
              </c:strCache>
            </c:strRef>
          </c:cat>
          <c:val>
            <c:numRef>
              <c:f>DI元データ!$P$5:$P$580</c:f>
              <c:numCache>
                <c:formatCode>General</c:formatCode>
                <c:ptCount val="5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numCache>
            </c:numRef>
          </c:val>
          <c:smooth val="0"/>
          <c:extLst>
            <c:ext xmlns:c16="http://schemas.microsoft.com/office/drawing/2014/chart" uri="{C3380CC4-5D6E-409C-BE32-E72D297353CC}">
              <c16:uniqueId val="{00000004-FC8F-42B9-BDCE-D32A8FF9B34F}"/>
            </c:ext>
          </c:extLst>
        </c:ser>
        <c:dLbls>
          <c:showLegendKey val="0"/>
          <c:showVal val="0"/>
          <c:showCatName val="0"/>
          <c:showSerName val="0"/>
          <c:showPercent val="0"/>
          <c:showBubbleSize val="0"/>
        </c:dLbls>
        <c:marker val="1"/>
        <c:smooth val="0"/>
        <c:axId val="566335064"/>
        <c:axId val="1"/>
      </c:lineChart>
      <c:catAx>
        <c:axId val="5663350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HGSｺﾞｼｯｸM"/>
                <a:ea typeface="HGSｺﾞｼｯｸM"/>
                <a:cs typeface="HGSｺﾞｼｯｸM"/>
              </a:defRPr>
            </a:pPr>
            <a:endParaRPr lang="ja-JP"/>
          </a:p>
        </c:txPr>
        <c:crossAx val="1"/>
        <c:crossesAt val="-3000"/>
        <c:auto val="1"/>
        <c:lblAlgn val="ctr"/>
        <c:lblOffset val="100"/>
        <c:tickLblSkip val="12"/>
        <c:tickMarkSkip val="12"/>
        <c:noMultiLvlLbl val="0"/>
      </c:catAx>
      <c:valAx>
        <c:axId val="1"/>
        <c:scaling>
          <c:orientation val="minMax"/>
          <c:max val="3000"/>
          <c:min val="-200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sz="1100" b="0" i="0" u="none" strike="noStrike" baseline="0">
                <a:solidFill>
                  <a:srgbClr val="000000"/>
                </a:solidFill>
                <a:latin typeface="HGSｺﾞｼｯｸM"/>
                <a:ea typeface="HGSｺﾞｼｯｸM"/>
                <a:cs typeface="HGSｺﾞｼｯｸM"/>
              </a:defRPr>
            </a:pPr>
            <a:endParaRPr lang="ja-JP"/>
          </a:p>
        </c:txPr>
        <c:crossAx val="566335064"/>
        <c:crosses val="autoZero"/>
        <c:crossBetween val="between"/>
        <c:majorUnit val="200"/>
        <c:minorUnit val="100"/>
      </c:valAx>
      <c:spPr>
        <a:noFill/>
        <a:ln w="12700">
          <a:solidFill>
            <a:srgbClr val="000000"/>
          </a:solidFill>
          <a:prstDash val="solid"/>
        </a:ln>
      </c:spPr>
    </c:plotArea>
    <c:plotVisOnly val="0"/>
    <c:dispBlanksAs val="gap"/>
    <c:showDLblsOverMax val="0"/>
  </c:chart>
  <c:spPr>
    <a:solidFill>
      <a:srgbClr val="FFFFFF"/>
    </a:solidFill>
    <a:ln w="9525">
      <a:noFill/>
    </a:ln>
  </c:spPr>
  <c:txPr>
    <a:bodyPr/>
    <a:lstStyle/>
    <a:p>
      <a:pPr>
        <a:defRPr sz="12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559864137412664E-2"/>
          <c:y val="8.5295271464883943E-2"/>
          <c:w val="0.89837857344283301"/>
          <c:h val="0.80617788836164506"/>
        </c:manualLayout>
      </c:layout>
      <c:lineChart>
        <c:grouping val="standard"/>
        <c:varyColors val="0"/>
        <c:ser>
          <c:idx val="2"/>
          <c:order val="0"/>
          <c:tx>
            <c:strRef>
              <c:f>グラフデータ!$U$9</c:f>
              <c:strCache>
                <c:ptCount val="1"/>
                <c:pt idx="0">
                  <c:v>同・７か月後方移動平均</c:v>
                </c:pt>
              </c:strCache>
            </c:strRef>
          </c:tx>
          <c:spPr>
            <a:ln w="25400">
              <a:solidFill>
                <a:srgbClr val="99CCFF"/>
              </a:solidFill>
              <a:prstDash val="sysDash"/>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グラフデータ!$U$364:$U$411</c:f>
              <c:numCache>
                <c:formatCode>0.00</c:formatCode>
                <c:ptCount val="48"/>
                <c:pt idx="0">
                  <c:v>121.51428571428572</c:v>
                </c:pt>
                <c:pt idx="1">
                  <c:v>122.67142857142858</c:v>
                </c:pt>
                <c:pt idx="2">
                  <c:v>123.32857142857144</c:v>
                </c:pt>
                <c:pt idx="3">
                  <c:v>124.71428571428571</c:v>
                </c:pt>
                <c:pt idx="4">
                  <c:v>125.38571428571429</c:v>
                </c:pt>
                <c:pt idx="5">
                  <c:v>127.65714285714286</c:v>
                </c:pt>
                <c:pt idx="6">
                  <c:v>128.28571428571428</c:v>
                </c:pt>
                <c:pt idx="7">
                  <c:v>129.1</c:v>
                </c:pt>
                <c:pt idx="8">
                  <c:v>130.55714285714288</c:v>
                </c:pt>
                <c:pt idx="9">
                  <c:v>132.25714285714287</c:v>
                </c:pt>
                <c:pt idx="10">
                  <c:v>133.52857142857141</c:v>
                </c:pt>
                <c:pt idx="11">
                  <c:v>134.80000000000001</c:v>
                </c:pt>
                <c:pt idx="12">
                  <c:v>133.05714285714285</c:v>
                </c:pt>
                <c:pt idx="13">
                  <c:v>132.35714285714283</c:v>
                </c:pt>
                <c:pt idx="14">
                  <c:v>132.29999999999998</c:v>
                </c:pt>
                <c:pt idx="15">
                  <c:v>132.07142857142858</c:v>
                </c:pt>
                <c:pt idx="16">
                  <c:v>132.28571428571431</c:v>
                </c:pt>
                <c:pt idx="17">
                  <c:v>131.92857142857144</c:v>
                </c:pt>
                <c:pt idx="18">
                  <c:v>131.91428571428568</c:v>
                </c:pt>
                <c:pt idx="19">
                  <c:v>133.58571428571429</c:v>
                </c:pt>
                <c:pt idx="20">
                  <c:v>135.94285714285715</c:v>
                </c:pt>
                <c:pt idx="21">
                  <c:v>137.48571428571429</c:v>
                </c:pt>
                <c:pt idx="22">
                  <c:v>138.08571428571426</c:v>
                </c:pt>
                <c:pt idx="23">
                  <c:v>138.95714285714286</c:v>
                </c:pt>
                <c:pt idx="24">
                  <c:v>140.71428571428572</c:v>
                </c:pt>
                <c:pt idx="25">
                  <c:v>142.28571428571428</c:v>
                </c:pt>
                <c:pt idx="26">
                  <c:v>143.50000000000003</c:v>
                </c:pt>
                <c:pt idx="27">
                  <c:v>145.6</c:v>
                </c:pt>
                <c:pt idx="28">
                  <c:v>146.27142857142857</c:v>
                </c:pt>
                <c:pt idx="29">
                  <c:v>148.04285714285714</c:v>
                </c:pt>
                <c:pt idx="30">
                  <c:v>148.9</c:v>
                </c:pt>
                <c:pt idx="31">
                  <c:v>148.65714285714284</c:v>
                </c:pt>
                <c:pt idx="32">
                  <c:v>148.95714285714286</c:v>
                </c:pt>
                <c:pt idx="33">
                  <c:v>149.2571428571429</c:v>
                </c:pt>
                <c:pt idx="34">
                  <c:v>148.72857142857146</c:v>
                </c:pt>
                <c:pt idx="35">
                  <c:v>149.8857142857143</c:v>
                </c:pt>
                <c:pt idx="36">
                  <c:v>150.70000000000002</c:v>
                </c:pt>
                <c:pt idx="37">
                  <c:v>151.87142857142857</c:v>
                </c:pt>
                <c:pt idx="38">
                  <c:v>153.45714285714286</c:v>
                </c:pt>
              </c:numCache>
            </c:numRef>
          </c:val>
          <c:smooth val="0"/>
          <c:extLst>
            <c:ext xmlns:c16="http://schemas.microsoft.com/office/drawing/2014/chart" uri="{C3380CC4-5D6E-409C-BE32-E72D297353CC}">
              <c16:uniqueId val="{00000000-F941-4A17-AC97-C1D7612FF79A}"/>
            </c:ext>
          </c:extLst>
        </c:ser>
        <c:ser>
          <c:idx val="1"/>
          <c:order val="1"/>
          <c:tx>
            <c:strRef>
              <c:f>グラフデータ!$M$5</c:f>
              <c:strCache>
                <c:ptCount val="1"/>
                <c:pt idx="0">
                  <c:v>同・３か月後方移動平均</c:v>
                </c:pt>
              </c:strCache>
            </c:strRef>
          </c:tx>
          <c:spPr>
            <a:ln w="25400">
              <a:solidFill>
                <a:srgbClr val="FF99CC"/>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グラフデータ!$M$364:$M$411</c:f>
              <c:numCache>
                <c:formatCode>0.00</c:formatCode>
                <c:ptCount val="48"/>
                <c:pt idx="0">
                  <c:v>123.86666666666667</c:v>
                </c:pt>
                <c:pt idx="1">
                  <c:v>125.66666666666667</c:v>
                </c:pt>
                <c:pt idx="2">
                  <c:v>124.83333333333333</c:v>
                </c:pt>
                <c:pt idx="3">
                  <c:v>125.89999999999999</c:v>
                </c:pt>
                <c:pt idx="4">
                  <c:v>126.16666666666667</c:v>
                </c:pt>
                <c:pt idx="5">
                  <c:v>131.53333333333333</c:v>
                </c:pt>
                <c:pt idx="6">
                  <c:v>131.79999999999998</c:v>
                </c:pt>
                <c:pt idx="7">
                  <c:v>132.53333333333333</c:v>
                </c:pt>
                <c:pt idx="8">
                  <c:v>132.43333333333334</c:v>
                </c:pt>
                <c:pt idx="9">
                  <c:v>134.1</c:v>
                </c:pt>
                <c:pt idx="10">
                  <c:v>136.23333333333335</c:v>
                </c:pt>
                <c:pt idx="11">
                  <c:v>136.06666666666666</c:v>
                </c:pt>
                <c:pt idx="12">
                  <c:v>133.4</c:v>
                </c:pt>
                <c:pt idx="13">
                  <c:v>129.06666666666669</c:v>
                </c:pt>
                <c:pt idx="14">
                  <c:v>126.7</c:v>
                </c:pt>
                <c:pt idx="15">
                  <c:v>130.13333333333333</c:v>
                </c:pt>
                <c:pt idx="16">
                  <c:v>133.93333333333331</c:v>
                </c:pt>
                <c:pt idx="17">
                  <c:v>135.36666666666667</c:v>
                </c:pt>
                <c:pt idx="18">
                  <c:v>135.69999999999999</c:v>
                </c:pt>
                <c:pt idx="19">
                  <c:v>136.43333333333331</c:v>
                </c:pt>
                <c:pt idx="20">
                  <c:v>138.43333333333331</c:v>
                </c:pt>
                <c:pt idx="21">
                  <c:v>139.70000000000002</c:v>
                </c:pt>
                <c:pt idx="22">
                  <c:v>140.63333333333333</c:v>
                </c:pt>
                <c:pt idx="23">
                  <c:v>140.96666666666667</c:v>
                </c:pt>
                <c:pt idx="24">
                  <c:v>142.9</c:v>
                </c:pt>
                <c:pt idx="25">
                  <c:v>145.5</c:v>
                </c:pt>
                <c:pt idx="26">
                  <c:v>147.03333333333333</c:v>
                </c:pt>
                <c:pt idx="27">
                  <c:v>149.83333333333331</c:v>
                </c:pt>
                <c:pt idx="28">
                  <c:v>148.99999999999997</c:v>
                </c:pt>
                <c:pt idx="29">
                  <c:v>151.23333333333332</c:v>
                </c:pt>
                <c:pt idx="30">
                  <c:v>148.66666666666666</c:v>
                </c:pt>
                <c:pt idx="31">
                  <c:v>148.46666666666667</c:v>
                </c:pt>
                <c:pt idx="32">
                  <c:v>147.63333333333335</c:v>
                </c:pt>
                <c:pt idx="33" formatCode="0.0">
                  <c:v>147.86666666666665</c:v>
                </c:pt>
                <c:pt idx="34" formatCode="0.0">
                  <c:v>150</c:v>
                </c:pt>
                <c:pt idx="35" formatCode="0.0">
                  <c:v>151.16666666666666</c:v>
                </c:pt>
                <c:pt idx="36">
                  <c:v>154.6</c:v>
                </c:pt>
                <c:pt idx="37">
                  <c:v>156</c:v>
                </c:pt>
                <c:pt idx="38">
                  <c:v>156.79999999999998</c:v>
                </c:pt>
              </c:numCache>
            </c:numRef>
          </c:val>
          <c:smooth val="0"/>
          <c:extLst>
            <c:ext xmlns:c16="http://schemas.microsoft.com/office/drawing/2014/chart" uri="{C3380CC4-5D6E-409C-BE32-E72D297353CC}">
              <c16:uniqueId val="{00000001-F941-4A17-AC97-C1D7612FF79A}"/>
            </c:ext>
          </c:extLst>
        </c:ser>
        <c:ser>
          <c:idx val="0"/>
          <c:order val="2"/>
          <c:tx>
            <c:strRef>
              <c:f>グラフデータ!$D$2</c:f>
              <c:strCache>
                <c:ptCount val="1"/>
                <c:pt idx="0">
                  <c:v>先行指数</c:v>
                </c:pt>
              </c:strCache>
            </c:strRef>
          </c:tx>
          <c:spPr>
            <a:ln w="25400">
              <a:solidFill>
                <a:srgbClr val="0000FF"/>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グラフデータ!$D$364:$D$411</c:f>
              <c:numCache>
                <c:formatCode>0.0</c:formatCode>
                <c:ptCount val="48"/>
                <c:pt idx="0">
                  <c:v>124.9</c:v>
                </c:pt>
                <c:pt idx="1">
                  <c:v>127.6</c:v>
                </c:pt>
                <c:pt idx="2">
                  <c:v>122</c:v>
                </c:pt>
                <c:pt idx="3">
                  <c:v>128.1</c:v>
                </c:pt>
                <c:pt idx="4">
                  <c:v>128.4</c:v>
                </c:pt>
                <c:pt idx="5">
                  <c:v>138.1</c:v>
                </c:pt>
                <c:pt idx="6" formatCode="0.00">
                  <c:v>128.9</c:v>
                </c:pt>
                <c:pt idx="7" formatCode="0.00">
                  <c:v>130.6</c:v>
                </c:pt>
                <c:pt idx="8" formatCode="0.00">
                  <c:v>137.80000000000001</c:v>
                </c:pt>
                <c:pt idx="9">
                  <c:v>133.9</c:v>
                </c:pt>
                <c:pt idx="10">
                  <c:v>137</c:v>
                </c:pt>
                <c:pt idx="11">
                  <c:v>137.30000000000001</c:v>
                </c:pt>
                <c:pt idx="12">
                  <c:v>125.9</c:v>
                </c:pt>
                <c:pt idx="13">
                  <c:v>124</c:v>
                </c:pt>
                <c:pt idx="14">
                  <c:v>130.19999999999999</c:v>
                </c:pt>
                <c:pt idx="15">
                  <c:v>136.19999999999999</c:v>
                </c:pt>
                <c:pt idx="16">
                  <c:v>135.4</c:v>
                </c:pt>
                <c:pt idx="17">
                  <c:v>134.5</c:v>
                </c:pt>
                <c:pt idx="18">
                  <c:v>137.19999999999999</c:v>
                </c:pt>
                <c:pt idx="19">
                  <c:v>137.6</c:v>
                </c:pt>
                <c:pt idx="20">
                  <c:v>140.5</c:v>
                </c:pt>
                <c:pt idx="21">
                  <c:v>141</c:v>
                </c:pt>
                <c:pt idx="22">
                  <c:v>140.4</c:v>
                </c:pt>
                <c:pt idx="23">
                  <c:v>141.5</c:v>
                </c:pt>
                <c:pt idx="24">
                  <c:v>146.80000000000001</c:v>
                </c:pt>
                <c:pt idx="25">
                  <c:v>148.19999999999999</c:v>
                </c:pt>
                <c:pt idx="26">
                  <c:v>146.1</c:v>
                </c:pt>
                <c:pt idx="27">
                  <c:v>155.19999999999999</c:v>
                </c:pt>
                <c:pt idx="28">
                  <c:v>145.69999999999999</c:v>
                </c:pt>
                <c:pt idx="29">
                  <c:v>152.80000000000001</c:v>
                </c:pt>
                <c:pt idx="30">
                  <c:v>147.5</c:v>
                </c:pt>
                <c:pt idx="31">
                  <c:v>145.1</c:v>
                </c:pt>
                <c:pt idx="32">
                  <c:v>150.30000000000001</c:v>
                </c:pt>
                <c:pt idx="33">
                  <c:v>148.19999999999999</c:v>
                </c:pt>
                <c:pt idx="34">
                  <c:v>151.5</c:v>
                </c:pt>
                <c:pt idx="35">
                  <c:v>153.80000000000001</c:v>
                </c:pt>
                <c:pt idx="36">
                  <c:v>158.5</c:v>
                </c:pt>
                <c:pt idx="37">
                  <c:v>155.69999999999999</c:v>
                </c:pt>
                <c:pt idx="38">
                  <c:v>156.19999999999999</c:v>
                </c:pt>
              </c:numCache>
            </c:numRef>
          </c:val>
          <c:smooth val="0"/>
          <c:extLst>
            <c:ext xmlns:c16="http://schemas.microsoft.com/office/drawing/2014/chart" uri="{C3380CC4-5D6E-409C-BE32-E72D297353CC}">
              <c16:uniqueId val="{00000002-F941-4A17-AC97-C1D7612FF79A}"/>
            </c:ext>
          </c:extLst>
        </c:ser>
        <c:ser>
          <c:idx val="3"/>
          <c:order val="3"/>
          <c:tx>
            <c:v>目盛</c:v>
          </c:tx>
          <c:spPr>
            <a:ln w="25400">
              <a:solidFill>
                <a:srgbClr val="000000"/>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グラフデータ!$H$364:$H$411</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F941-4A17-AC97-C1D7612FF79A}"/>
            </c:ext>
          </c:extLst>
        </c:ser>
        <c:dLbls>
          <c:showLegendKey val="0"/>
          <c:showVal val="0"/>
          <c:showCatName val="0"/>
          <c:showSerName val="0"/>
          <c:showPercent val="0"/>
          <c:showBubbleSize val="0"/>
        </c:dLbls>
        <c:smooth val="0"/>
        <c:axId val="567096856"/>
        <c:axId val="1"/>
      </c:lineChart>
      <c:catAx>
        <c:axId val="567096856"/>
        <c:scaling>
          <c:orientation val="minMax"/>
        </c:scaling>
        <c:delete val="0"/>
        <c:axPos val="b"/>
        <c:numFmt formatCode="General" sourceLinked="0"/>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45"/>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7096856"/>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1050"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79970972423801E-2"/>
          <c:y val="8.5146838105981754E-2"/>
          <c:w val="0.89985486211901311"/>
          <c:h val="0.83727724137548731"/>
        </c:manualLayout>
      </c:layout>
      <c:lineChart>
        <c:grouping val="standard"/>
        <c:varyColors val="0"/>
        <c:ser>
          <c:idx val="2"/>
          <c:order val="0"/>
          <c:tx>
            <c:strRef>
              <c:f>グラフデータ!$V$9</c:f>
              <c:strCache>
                <c:ptCount val="1"/>
                <c:pt idx="0">
                  <c:v>同・７か月後方移動平均</c:v>
                </c:pt>
              </c:strCache>
            </c:strRef>
          </c:tx>
          <c:spPr>
            <a:ln w="25400">
              <a:solidFill>
                <a:srgbClr val="99CCFF"/>
              </a:solidFill>
              <a:prstDash val="sysDash"/>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グラフデータ!$V$364:$V$411</c:f>
              <c:numCache>
                <c:formatCode>0.00</c:formatCode>
                <c:ptCount val="48"/>
                <c:pt idx="0">
                  <c:v>153.77142857142857</c:v>
                </c:pt>
                <c:pt idx="1">
                  <c:v>152.48571428571427</c:v>
                </c:pt>
                <c:pt idx="2">
                  <c:v>150.97142857142856</c:v>
                </c:pt>
                <c:pt idx="3">
                  <c:v>148.25714285714284</c:v>
                </c:pt>
                <c:pt idx="4">
                  <c:v>146.95714285714283</c:v>
                </c:pt>
                <c:pt idx="5">
                  <c:v>144.97142857142859</c:v>
                </c:pt>
                <c:pt idx="6">
                  <c:v>143.04285714285714</c:v>
                </c:pt>
                <c:pt idx="7">
                  <c:v>140.04285714285714</c:v>
                </c:pt>
                <c:pt idx="8">
                  <c:v>137.14285714285714</c:v>
                </c:pt>
                <c:pt idx="9">
                  <c:v>134.85714285714286</c:v>
                </c:pt>
                <c:pt idx="10">
                  <c:v>132.71428571428572</c:v>
                </c:pt>
                <c:pt idx="11">
                  <c:v>131.22857142857143</c:v>
                </c:pt>
                <c:pt idx="12">
                  <c:v>128.9</c:v>
                </c:pt>
                <c:pt idx="13">
                  <c:v>127.92857142857143</c:v>
                </c:pt>
                <c:pt idx="14">
                  <c:v>128.14285714285714</c:v>
                </c:pt>
                <c:pt idx="15">
                  <c:v>128.98571428571429</c:v>
                </c:pt>
                <c:pt idx="16">
                  <c:v>130.01428571428571</c:v>
                </c:pt>
                <c:pt idx="17">
                  <c:v>131.28571428571428</c:v>
                </c:pt>
                <c:pt idx="18">
                  <c:v>131.49999999999997</c:v>
                </c:pt>
                <c:pt idx="19">
                  <c:v>132.72857142857143</c:v>
                </c:pt>
                <c:pt idx="20">
                  <c:v>134.12857142857143</c:v>
                </c:pt>
                <c:pt idx="21">
                  <c:v>136.49999999999997</c:v>
                </c:pt>
                <c:pt idx="22">
                  <c:v>137.44285714285712</c:v>
                </c:pt>
                <c:pt idx="23">
                  <c:v>138.07142857142858</c:v>
                </c:pt>
                <c:pt idx="24">
                  <c:v>139.87142857142857</c:v>
                </c:pt>
                <c:pt idx="25">
                  <c:v>142.54285714285714</c:v>
                </c:pt>
                <c:pt idx="26">
                  <c:v>145.32857142857142</c:v>
                </c:pt>
                <c:pt idx="27">
                  <c:v>145.48571428571429</c:v>
                </c:pt>
                <c:pt idx="28">
                  <c:v>144.31428571428572</c:v>
                </c:pt>
                <c:pt idx="29">
                  <c:v>143.8857142857143</c:v>
                </c:pt>
                <c:pt idx="30">
                  <c:v>142.95714285714286</c:v>
                </c:pt>
                <c:pt idx="31">
                  <c:v>140.88571428571427</c:v>
                </c:pt>
                <c:pt idx="32">
                  <c:v>138.48571428571429</c:v>
                </c:pt>
                <c:pt idx="33">
                  <c:v>135.71428571428572</c:v>
                </c:pt>
                <c:pt idx="34">
                  <c:v>135.55714285714285</c:v>
                </c:pt>
                <c:pt idx="35">
                  <c:v>134.22857142857143</c:v>
                </c:pt>
                <c:pt idx="36">
                  <c:v>134.58571428571429</c:v>
                </c:pt>
                <c:pt idx="37">
                  <c:v>136.12857142857143</c:v>
                </c:pt>
                <c:pt idx="38">
                  <c:v>137.94285714285715</c:v>
                </c:pt>
              </c:numCache>
            </c:numRef>
          </c:val>
          <c:smooth val="0"/>
          <c:extLst>
            <c:ext xmlns:c16="http://schemas.microsoft.com/office/drawing/2014/chart" uri="{C3380CC4-5D6E-409C-BE32-E72D297353CC}">
              <c16:uniqueId val="{00000000-5BBE-4D12-87E4-02334B15D862}"/>
            </c:ext>
          </c:extLst>
        </c:ser>
        <c:ser>
          <c:idx val="1"/>
          <c:order val="1"/>
          <c:tx>
            <c:strRef>
              <c:f>グラフデータ!$N$5</c:f>
              <c:strCache>
                <c:ptCount val="1"/>
                <c:pt idx="0">
                  <c:v>同・３か月後方移動平均</c:v>
                </c:pt>
              </c:strCache>
            </c:strRef>
          </c:tx>
          <c:spPr>
            <a:ln w="25400">
              <a:solidFill>
                <a:srgbClr val="FF99CC"/>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グラフデータ!$N$364:$N$411</c:f>
              <c:numCache>
                <c:formatCode>0.00</c:formatCode>
                <c:ptCount val="48"/>
                <c:pt idx="0">
                  <c:v>151.43333333333331</c:v>
                </c:pt>
                <c:pt idx="1">
                  <c:v>149.70000000000002</c:v>
                </c:pt>
                <c:pt idx="2">
                  <c:v>148.33333333333334</c:v>
                </c:pt>
                <c:pt idx="3">
                  <c:v>145.03333333333333</c:v>
                </c:pt>
                <c:pt idx="4">
                  <c:v>141.70000000000002</c:v>
                </c:pt>
                <c:pt idx="5">
                  <c:v>140.29999999999998</c:v>
                </c:pt>
                <c:pt idx="6">
                  <c:v>138.43333333333331</c:v>
                </c:pt>
                <c:pt idx="7">
                  <c:v>135.29999999999998</c:v>
                </c:pt>
                <c:pt idx="8">
                  <c:v>131.43333333333334</c:v>
                </c:pt>
                <c:pt idx="9">
                  <c:v>129.23333333333332</c:v>
                </c:pt>
                <c:pt idx="10">
                  <c:v>127.93333333333334</c:v>
                </c:pt>
                <c:pt idx="11">
                  <c:v>127.90000000000002</c:v>
                </c:pt>
                <c:pt idx="12">
                  <c:v>126.39999999999999</c:v>
                </c:pt>
                <c:pt idx="13">
                  <c:v>127.26666666666665</c:v>
                </c:pt>
                <c:pt idx="14">
                  <c:v>128.1</c:v>
                </c:pt>
                <c:pt idx="15">
                  <c:v>131.63333333333333</c:v>
                </c:pt>
                <c:pt idx="16">
                  <c:v>134.1</c:v>
                </c:pt>
                <c:pt idx="17">
                  <c:v>135.26666666666665</c:v>
                </c:pt>
                <c:pt idx="18">
                  <c:v>133.76666666666665</c:v>
                </c:pt>
                <c:pt idx="19">
                  <c:v>132.73333333333335</c:v>
                </c:pt>
                <c:pt idx="20">
                  <c:v>133.9</c:v>
                </c:pt>
                <c:pt idx="21">
                  <c:v>139.76666666666668</c:v>
                </c:pt>
                <c:pt idx="22">
                  <c:v>142.63333333333333</c:v>
                </c:pt>
                <c:pt idx="23">
                  <c:v>143.29999999999998</c:v>
                </c:pt>
                <c:pt idx="24">
                  <c:v>143.13333333333333</c:v>
                </c:pt>
                <c:pt idx="25">
                  <c:v>145.66666666666666</c:v>
                </c:pt>
                <c:pt idx="26">
                  <c:v>149.66666666666666</c:v>
                </c:pt>
                <c:pt idx="27">
                  <c:v>147</c:v>
                </c:pt>
                <c:pt idx="28">
                  <c:v>143.9</c:v>
                </c:pt>
                <c:pt idx="29">
                  <c:v>139.26666666666668</c:v>
                </c:pt>
                <c:pt idx="30">
                  <c:v>137.4</c:v>
                </c:pt>
                <c:pt idx="31">
                  <c:v>135.13333333333333</c:v>
                </c:pt>
                <c:pt idx="32">
                  <c:v>133.06666666666666</c:v>
                </c:pt>
                <c:pt idx="33" formatCode="0.0">
                  <c:v>132.76666666666668</c:v>
                </c:pt>
                <c:pt idx="34" formatCode="0.0">
                  <c:v>134.56666666666669</c:v>
                </c:pt>
                <c:pt idx="35" formatCode="0.0">
                  <c:v>133.96666666666667</c:v>
                </c:pt>
                <c:pt idx="36">
                  <c:v>136.63333333333333</c:v>
                </c:pt>
                <c:pt idx="37">
                  <c:v>138.73333333333332</c:v>
                </c:pt>
                <c:pt idx="38">
                  <c:v>143.79999999999998</c:v>
                </c:pt>
              </c:numCache>
            </c:numRef>
          </c:val>
          <c:smooth val="0"/>
          <c:extLst>
            <c:ext xmlns:c16="http://schemas.microsoft.com/office/drawing/2014/chart" uri="{C3380CC4-5D6E-409C-BE32-E72D297353CC}">
              <c16:uniqueId val="{00000001-5BBE-4D12-87E4-02334B15D862}"/>
            </c:ext>
          </c:extLst>
        </c:ser>
        <c:ser>
          <c:idx val="0"/>
          <c:order val="2"/>
          <c:tx>
            <c:strRef>
              <c:f>グラフデータ!$E$2</c:f>
              <c:strCache>
                <c:ptCount val="1"/>
                <c:pt idx="0">
                  <c:v>一致指数</c:v>
                </c:pt>
              </c:strCache>
            </c:strRef>
          </c:tx>
          <c:spPr>
            <a:ln w="25400">
              <a:solidFill>
                <a:srgbClr val="0000FF"/>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グラフデータ!$E$364:$E$411</c:f>
              <c:numCache>
                <c:formatCode>0.0</c:formatCode>
                <c:ptCount val="48"/>
                <c:pt idx="0">
                  <c:v>150.9</c:v>
                </c:pt>
                <c:pt idx="1">
                  <c:v>149.30000000000001</c:v>
                </c:pt>
                <c:pt idx="2">
                  <c:v>144.80000000000001</c:v>
                </c:pt>
                <c:pt idx="3">
                  <c:v>141</c:v>
                </c:pt>
                <c:pt idx="4">
                  <c:v>139.30000000000001</c:v>
                </c:pt>
                <c:pt idx="5">
                  <c:v>140.6</c:v>
                </c:pt>
                <c:pt idx="6">
                  <c:v>135.4</c:v>
                </c:pt>
                <c:pt idx="7">
                  <c:v>129.9</c:v>
                </c:pt>
                <c:pt idx="8">
                  <c:v>129</c:v>
                </c:pt>
                <c:pt idx="9">
                  <c:v>128.80000000000001</c:v>
                </c:pt>
                <c:pt idx="10">
                  <c:v>126</c:v>
                </c:pt>
                <c:pt idx="11">
                  <c:v>128.9</c:v>
                </c:pt>
                <c:pt idx="12">
                  <c:v>124.3</c:v>
                </c:pt>
                <c:pt idx="13">
                  <c:v>128.6</c:v>
                </c:pt>
                <c:pt idx="14">
                  <c:v>131.4</c:v>
                </c:pt>
                <c:pt idx="15">
                  <c:v>134.9</c:v>
                </c:pt>
                <c:pt idx="16">
                  <c:v>136</c:v>
                </c:pt>
                <c:pt idx="17">
                  <c:v>134.9</c:v>
                </c:pt>
                <c:pt idx="18">
                  <c:v>130.4</c:v>
                </c:pt>
                <c:pt idx="19">
                  <c:v>132.9</c:v>
                </c:pt>
                <c:pt idx="20">
                  <c:v>138.4</c:v>
                </c:pt>
                <c:pt idx="21">
                  <c:v>148</c:v>
                </c:pt>
                <c:pt idx="22">
                  <c:v>141.5</c:v>
                </c:pt>
                <c:pt idx="23">
                  <c:v>140.4</c:v>
                </c:pt>
                <c:pt idx="24">
                  <c:v>147.5</c:v>
                </c:pt>
                <c:pt idx="25">
                  <c:v>149.1</c:v>
                </c:pt>
                <c:pt idx="26">
                  <c:v>152.4</c:v>
                </c:pt>
                <c:pt idx="27">
                  <c:v>139.5</c:v>
                </c:pt>
                <c:pt idx="28">
                  <c:v>139.80000000000001</c:v>
                </c:pt>
                <c:pt idx="29">
                  <c:v>138.5</c:v>
                </c:pt>
                <c:pt idx="30">
                  <c:v>133.9</c:v>
                </c:pt>
                <c:pt idx="31">
                  <c:v>133</c:v>
                </c:pt>
                <c:pt idx="32">
                  <c:v>132.30000000000001</c:v>
                </c:pt>
                <c:pt idx="33">
                  <c:v>133</c:v>
                </c:pt>
                <c:pt idx="34">
                  <c:v>138.4</c:v>
                </c:pt>
                <c:pt idx="35">
                  <c:v>130.5</c:v>
                </c:pt>
                <c:pt idx="36">
                  <c:v>141</c:v>
                </c:pt>
                <c:pt idx="37">
                  <c:v>144.69999999999999</c:v>
                </c:pt>
                <c:pt idx="38">
                  <c:v>145.69999999999999</c:v>
                </c:pt>
              </c:numCache>
            </c:numRef>
          </c:val>
          <c:smooth val="0"/>
          <c:extLst>
            <c:ext xmlns:c16="http://schemas.microsoft.com/office/drawing/2014/chart" uri="{C3380CC4-5D6E-409C-BE32-E72D297353CC}">
              <c16:uniqueId val="{00000002-5BBE-4D12-87E4-02334B15D862}"/>
            </c:ext>
          </c:extLst>
        </c:ser>
        <c:ser>
          <c:idx val="3"/>
          <c:order val="3"/>
          <c:tx>
            <c:v>目盛</c:v>
          </c:tx>
          <c:spPr>
            <a:ln w="25400">
              <a:solidFill>
                <a:srgbClr val="000000"/>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グラフデータ!$H$364:$H$411</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5BBE-4D12-87E4-02334B15D862}"/>
            </c:ext>
          </c:extLst>
        </c:ser>
        <c:dLbls>
          <c:showLegendKey val="0"/>
          <c:showVal val="0"/>
          <c:showCatName val="0"/>
          <c:showSerName val="0"/>
          <c:showPercent val="0"/>
          <c:showBubbleSize val="0"/>
        </c:dLbls>
        <c:smooth val="0"/>
        <c:axId val="567096200"/>
        <c:axId val="1"/>
      </c:lineChart>
      <c:catAx>
        <c:axId val="567096200"/>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5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7096200"/>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1025"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93133079861148E-2"/>
          <c:y val="5.4151791596689022E-2"/>
          <c:w val="0.89613101460891853"/>
          <c:h val="0.86642866554702436"/>
        </c:manualLayout>
      </c:layout>
      <c:lineChart>
        <c:grouping val="standard"/>
        <c:varyColors val="0"/>
        <c:ser>
          <c:idx val="2"/>
          <c:order val="0"/>
          <c:tx>
            <c:strRef>
              <c:f>グラフデータ!$W$9</c:f>
              <c:strCache>
                <c:ptCount val="1"/>
                <c:pt idx="0">
                  <c:v>同・７か月後方移動平均</c:v>
                </c:pt>
              </c:strCache>
            </c:strRef>
          </c:tx>
          <c:spPr>
            <a:ln w="25400">
              <a:solidFill>
                <a:srgbClr val="99CCFF"/>
              </a:solidFill>
              <a:prstDash val="sysDash"/>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グラフデータ!$W$364:$W$411</c:f>
              <c:numCache>
                <c:formatCode>0.00</c:formatCode>
                <c:ptCount val="48"/>
                <c:pt idx="0">
                  <c:v>121.14285714285714</c:v>
                </c:pt>
                <c:pt idx="1">
                  <c:v>121.84285714285714</c:v>
                </c:pt>
                <c:pt idx="2">
                  <c:v>122.82857142857142</c:v>
                </c:pt>
                <c:pt idx="3">
                  <c:v>123.48571428571429</c:v>
                </c:pt>
                <c:pt idx="4">
                  <c:v>123.98571428571428</c:v>
                </c:pt>
                <c:pt idx="5">
                  <c:v>123.82857142857142</c:v>
                </c:pt>
                <c:pt idx="6">
                  <c:v>123.55714285714284</c:v>
                </c:pt>
                <c:pt idx="7">
                  <c:v>123.60000000000001</c:v>
                </c:pt>
                <c:pt idx="8">
                  <c:v>123.71428571428574</c:v>
                </c:pt>
                <c:pt idx="9">
                  <c:v>124.48571428571429</c:v>
                </c:pt>
                <c:pt idx="10">
                  <c:v>124.55714285714286</c:v>
                </c:pt>
                <c:pt idx="11">
                  <c:v>125.18571428571428</c:v>
                </c:pt>
                <c:pt idx="12">
                  <c:v>125.01428571428572</c:v>
                </c:pt>
                <c:pt idx="13">
                  <c:v>125.31428571428572</c:v>
                </c:pt>
                <c:pt idx="14">
                  <c:v>124.91428571428571</c:v>
                </c:pt>
                <c:pt idx="15">
                  <c:v>124.22857142857141</c:v>
                </c:pt>
                <c:pt idx="16">
                  <c:v>123.32857142857142</c:v>
                </c:pt>
                <c:pt idx="17">
                  <c:v>123.77142857142859</c:v>
                </c:pt>
                <c:pt idx="18">
                  <c:v>122.65714285714286</c:v>
                </c:pt>
                <c:pt idx="19">
                  <c:v>123.51428571428571</c:v>
                </c:pt>
                <c:pt idx="20">
                  <c:v>123.14285714285714</c:v>
                </c:pt>
                <c:pt idx="21">
                  <c:v>123.08571428571429</c:v>
                </c:pt>
                <c:pt idx="22">
                  <c:v>124.11428571428573</c:v>
                </c:pt>
                <c:pt idx="23">
                  <c:v>124.7</c:v>
                </c:pt>
                <c:pt idx="24">
                  <c:v>124.92857142857143</c:v>
                </c:pt>
                <c:pt idx="25">
                  <c:v>126.3142857142857</c:v>
                </c:pt>
                <c:pt idx="26">
                  <c:v>126.77142857142857</c:v>
                </c:pt>
                <c:pt idx="27">
                  <c:v>127.12857142857142</c:v>
                </c:pt>
                <c:pt idx="28">
                  <c:v>127.1</c:v>
                </c:pt>
                <c:pt idx="29">
                  <c:v>126.15714285714287</c:v>
                </c:pt>
                <c:pt idx="30">
                  <c:v>125.72857142857141</c:v>
                </c:pt>
                <c:pt idx="31">
                  <c:v>124.21428571428569</c:v>
                </c:pt>
                <c:pt idx="32">
                  <c:v>123.01428571428572</c:v>
                </c:pt>
                <c:pt idx="33">
                  <c:v>122.1857142857143</c:v>
                </c:pt>
                <c:pt idx="34">
                  <c:v>122.04285714285716</c:v>
                </c:pt>
                <c:pt idx="35">
                  <c:v>121.9142857142857</c:v>
                </c:pt>
                <c:pt idx="36">
                  <c:v>120.79999999999998</c:v>
                </c:pt>
                <c:pt idx="37">
                  <c:v>119.17142857142858</c:v>
                </c:pt>
                <c:pt idx="38">
                  <c:v>118.94285714285715</c:v>
                </c:pt>
              </c:numCache>
            </c:numRef>
          </c:val>
          <c:smooth val="0"/>
          <c:extLst>
            <c:ext xmlns:c16="http://schemas.microsoft.com/office/drawing/2014/chart" uri="{C3380CC4-5D6E-409C-BE32-E72D297353CC}">
              <c16:uniqueId val="{00000000-95F1-409F-AD44-B3F6421EFA54}"/>
            </c:ext>
          </c:extLst>
        </c:ser>
        <c:ser>
          <c:idx val="1"/>
          <c:order val="1"/>
          <c:tx>
            <c:strRef>
              <c:f>グラフデータ!$O$5</c:f>
              <c:strCache>
                <c:ptCount val="1"/>
                <c:pt idx="0">
                  <c:v>同・３か月後方移動平均</c:v>
                </c:pt>
              </c:strCache>
            </c:strRef>
          </c:tx>
          <c:spPr>
            <a:ln w="25400">
              <a:solidFill>
                <a:srgbClr val="FF99CC"/>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グラフデータ!$O$364:$O$411</c:f>
              <c:numCache>
                <c:formatCode>0.00</c:formatCode>
                <c:ptCount val="48"/>
                <c:pt idx="0">
                  <c:v>124.2</c:v>
                </c:pt>
                <c:pt idx="1">
                  <c:v>125.86666666666667</c:v>
                </c:pt>
                <c:pt idx="2">
                  <c:v>125.43333333333332</c:v>
                </c:pt>
                <c:pt idx="3">
                  <c:v>124.5</c:v>
                </c:pt>
                <c:pt idx="4">
                  <c:v>123.13333333333333</c:v>
                </c:pt>
                <c:pt idx="5">
                  <c:v>121.7</c:v>
                </c:pt>
                <c:pt idx="6">
                  <c:v>121.7</c:v>
                </c:pt>
                <c:pt idx="7">
                  <c:v>123.3</c:v>
                </c:pt>
                <c:pt idx="8">
                  <c:v>125.60000000000001</c:v>
                </c:pt>
                <c:pt idx="9">
                  <c:v>127.60000000000001</c:v>
                </c:pt>
                <c:pt idx="10">
                  <c:v>126.73333333333333</c:v>
                </c:pt>
                <c:pt idx="11">
                  <c:v>126.56666666666666</c:v>
                </c:pt>
                <c:pt idx="12">
                  <c:v>122.93333333333332</c:v>
                </c:pt>
                <c:pt idx="13">
                  <c:v>123.46666666666665</c:v>
                </c:pt>
                <c:pt idx="14">
                  <c:v>122.66666666666667</c:v>
                </c:pt>
                <c:pt idx="15">
                  <c:v>123.76666666666665</c:v>
                </c:pt>
                <c:pt idx="16">
                  <c:v>122.96666666666665</c:v>
                </c:pt>
                <c:pt idx="17">
                  <c:v>124.06666666666668</c:v>
                </c:pt>
                <c:pt idx="18">
                  <c:v>122.90000000000002</c:v>
                </c:pt>
                <c:pt idx="19">
                  <c:v>123.36666666666667</c:v>
                </c:pt>
                <c:pt idx="20">
                  <c:v>122</c:v>
                </c:pt>
                <c:pt idx="21">
                  <c:v>123.66666666666667</c:v>
                </c:pt>
                <c:pt idx="22">
                  <c:v>125.16666666666667</c:v>
                </c:pt>
                <c:pt idx="23">
                  <c:v>126.60000000000001</c:v>
                </c:pt>
                <c:pt idx="24">
                  <c:v>128.36666666666665</c:v>
                </c:pt>
                <c:pt idx="25">
                  <c:v>128.03333333333333</c:v>
                </c:pt>
                <c:pt idx="26">
                  <c:v>128.19999999999999</c:v>
                </c:pt>
                <c:pt idx="27">
                  <c:v>127.13333333333333</c:v>
                </c:pt>
                <c:pt idx="28">
                  <c:v>125.5</c:v>
                </c:pt>
                <c:pt idx="29">
                  <c:v>123.73333333333333</c:v>
                </c:pt>
                <c:pt idx="30">
                  <c:v>123.33333333333333</c:v>
                </c:pt>
                <c:pt idx="31">
                  <c:v>121.63333333333333</c:v>
                </c:pt>
                <c:pt idx="32">
                  <c:v>120.69999999999999</c:v>
                </c:pt>
                <c:pt idx="33" formatCode="0.0">
                  <c:v>119.93333333333334</c:v>
                </c:pt>
                <c:pt idx="34" formatCode="0.0">
                  <c:v>122.06666666666666</c:v>
                </c:pt>
                <c:pt idx="35" formatCode="0.0">
                  <c:v>122.93333333333334</c:v>
                </c:pt>
                <c:pt idx="36">
                  <c:v>120.5</c:v>
                </c:pt>
                <c:pt idx="37">
                  <c:v>116.63333333333333</c:v>
                </c:pt>
                <c:pt idx="38">
                  <c:v>114.7</c:v>
                </c:pt>
              </c:numCache>
            </c:numRef>
          </c:val>
          <c:smooth val="0"/>
          <c:extLst>
            <c:ext xmlns:c16="http://schemas.microsoft.com/office/drawing/2014/chart" uri="{C3380CC4-5D6E-409C-BE32-E72D297353CC}">
              <c16:uniqueId val="{00000001-95F1-409F-AD44-B3F6421EFA54}"/>
            </c:ext>
          </c:extLst>
        </c:ser>
        <c:ser>
          <c:idx val="0"/>
          <c:order val="2"/>
          <c:tx>
            <c:strRef>
              <c:f>グラフデータ!$F$2</c:f>
              <c:strCache>
                <c:ptCount val="1"/>
                <c:pt idx="0">
                  <c:v>遅行指数</c:v>
                </c:pt>
              </c:strCache>
            </c:strRef>
          </c:tx>
          <c:spPr>
            <a:ln w="25400">
              <a:solidFill>
                <a:srgbClr val="0000FF"/>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グラフデータ!$F$364:$F$411</c:f>
              <c:numCache>
                <c:formatCode>0.0</c:formatCode>
                <c:ptCount val="48"/>
                <c:pt idx="0">
                  <c:v>126.3</c:v>
                </c:pt>
                <c:pt idx="1">
                  <c:v>125.9</c:v>
                </c:pt>
                <c:pt idx="2">
                  <c:v>124.1</c:v>
                </c:pt>
                <c:pt idx="3">
                  <c:v>123.5</c:v>
                </c:pt>
                <c:pt idx="4">
                  <c:v>121.8</c:v>
                </c:pt>
                <c:pt idx="5">
                  <c:v>119.8</c:v>
                </c:pt>
                <c:pt idx="6">
                  <c:v>123.5</c:v>
                </c:pt>
                <c:pt idx="7">
                  <c:v>126.6</c:v>
                </c:pt>
                <c:pt idx="8">
                  <c:v>126.7</c:v>
                </c:pt>
                <c:pt idx="9">
                  <c:v>129.5</c:v>
                </c:pt>
                <c:pt idx="10">
                  <c:v>124</c:v>
                </c:pt>
                <c:pt idx="11">
                  <c:v>126.2</c:v>
                </c:pt>
                <c:pt idx="12">
                  <c:v>118.6</c:v>
                </c:pt>
                <c:pt idx="13">
                  <c:v>125.6</c:v>
                </c:pt>
                <c:pt idx="14">
                  <c:v>123.8</c:v>
                </c:pt>
                <c:pt idx="15">
                  <c:v>121.9</c:v>
                </c:pt>
                <c:pt idx="16">
                  <c:v>123.2</c:v>
                </c:pt>
                <c:pt idx="17">
                  <c:v>127.1</c:v>
                </c:pt>
                <c:pt idx="18">
                  <c:v>118.4</c:v>
                </c:pt>
                <c:pt idx="19">
                  <c:v>124.6</c:v>
                </c:pt>
                <c:pt idx="20">
                  <c:v>123</c:v>
                </c:pt>
                <c:pt idx="21">
                  <c:v>123.4</c:v>
                </c:pt>
                <c:pt idx="22">
                  <c:v>129.1</c:v>
                </c:pt>
                <c:pt idx="23">
                  <c:v>127.3</c:v>
                </c:pt>
                <c:pt idx="24">
                  <c:v>128.69999999999999</c:v>
                </c:pt>
                <c:pt idx="25">
                  <c:v>128.1</c:v>
                </c:pt>
                <c:pt idx="26">
                  <c:v>127.8</c:v>
                </c:pt>
                <c:pt idx="27">
                  <c:v>125.5</c:v>
                </c:pt>
                <c:pt idx="28">
                  <c:v>123.2</c:v>
                </c:pt>
                <c:pt idx="29">
                  <c:v>122.5</c:v>
                </c:pt>
                <c:pt idx="30">
                  <c:v>124.3</c:v>
                </c:pt>
                <c:pt idx="31">
                  <c:v>118.1</c:v>
                </c:pt>
                <c:pt idx="32">
                  <c:v>119.7</c:v>
                </c:pt>
                <c:pt idx="33">
                  <c:v>122</c:v>
                </c:pt>
                <c:pt idx="34">
                  <c:v>124.5</c:v>
                </c:pt>
                <c:pt idx="35">
                  <c:v>122.3</c:v>
                </c:pt>
                <c:pt idx="36">
                  <c:v>114.7</c:v>
                </c:pt>
                <c:pt idx="37">
                  <c:v>112.9</c:v>
                </c:pt>
                <c:pt idx="38">
                  <c:v>116.5</c:v>
                </c:pt>
              </c:numCache>
            </c:numRef>
          </c:val>
          <c:smooth val="0"/>
          <c:extLst>
            <c:ext xmlns:c16="http://schemas.microsoft.com/office/drawing/2014/chart" uri="{C3380CC4-5D6E-409C-BE32-E72D297353CC}">
              <c16:uniqueId val="{00000002-95F1-409F-AD44-B3F6421EFA54}"/>
            </c:ext>
          </c:extLst>
        </c:ser>
        <c:ser>
          <c:idx val="3"/>
          <c:order val="3"/>
          <c:tx>
            <c:v>目盛</c:v>
          </c:tx>
          <c:spPr>
            <a:ln w="25400">
              <a:solidFill>
                <a:srgbClr val="000000"/>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グラフデータ!$H$364:$H$411</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95F1-409F-AD44-B3F6421EFA54}"/>
            </c:ext>
          </c:extLst>
        </c:ser>
        <c:dLbls>
          <c:showLegendKey val="0"/>
          <c:showVal val="0"/>
          <c:showCatName val="0"/>
          <c:showSerName val="0"/>
          <c:showPercent val="0"/>
          <c:showBubbleSize val="0"/>
        </c:dLbls>
        <c:smooth val="0"/>
        <c:axId val="556593672"/>
        <c:axId val="1"/>
      </c:lineChart>
      <c:catAx>
        <c:axId val="556593672"/>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6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56593672"/>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105104631899149E-2"/>
          <c:y val="5.0380020189258926E-2"/>
          <c:w val="0.8885116804653278"/>
          <c:h val="0.82107856191744344"/>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グラフデータ!$G$88:$G$411</c:f>
              <c:numCache>
                <c:formatCode>0.0</c:formatCode>
                <c:ptCount val="324"/>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CA6F-4A01-B18B-4962F2AFCF22}"/>
            </c:ext>
          </c:extLst>
        </c:ser>
        <c:dLbls>
          <c:showLegendKey val="0"/>
          <c:showVal val="0"/>
          <c:showCatName val="0"/>
          <c:showSerName val="0"/>
          <c:showPercent val="0"/>
          <c:showBubbleSize val="0"/>
        </c:dLbls>
        <c:gapWidth val="0"/>
        <c:axId val="556597608"/>
        <c:axId val="1"/>
      </c:barChart>
      <c:lineChart>
        <c:grouping val="standard"/>
        <c:varyColors val="0"/>
        <c:ser>
          <c:idx val="0"/>
          <c:order val="0"/>
          <c:tx>
            <c:strRef>
              <c:f>グラフデータ!$D$2</c:f>
              <c:strCache>
                <c:ptCount val="1"/>
                <c:pt idx="0">
                  <c:v>先行指数</c:v>
                </c:pt>
              </c:strCache>
            </c:strRef>
          </c:tx>
          <c:spPr>
            <a:ln w="12700">
              <a:solidFill>
                <a:srgbClr val="000080"/>
              </a:solidFill>
              <a:prstDash val="solid"/>
            </a:ln>
          </c:spPr>
          <c:marker>
            <c:symbol val="none"/>
          </c:marker>
          <c:cat>
            <c:strRef>
              <c:f>グラフデータ!$A$88:$A$411</c:f>
              <c:strCache>
                <c:ptCount val="313"/>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pt idx="312">
                  <c:v>8</c:v>
                </c:pt>
              </c:strCache>
            </c:strRef>
          </c:cat>
          <c:val>
            <c:numRef>
              <c:f>グラフデータ!$D$88:$D$411</c:f>
              <c:numCache>
                <c:formatCode>0.0</c:formatCode>
                <c:ptCount val="324"/>
                <c:pt idx="0">
                  <c:v>106.2</c:v>
                </c:pt>
                <c:pt idx="1">
                  <c:v>113.4</c:v>
                </c:pt>
                <c:pt idx="2">
                  <c:v>116.1</c:v>
                </c:pt>
                <c:pt idx="3">
                  <c:v>109.9</c:v>
                </c:pt>
                <c:pt idx="4">
                  <c:v>112.1</c:v>
                </c:pt>
                <c:pt idx="5">
                  <c:v>113.6</c:v>
                </c:pt>
                <c:pt idx="6">
                  <c:v>111.5</c:v>
                </c:pt>
                <c:pt idx="7">
                  <c:v>115.4</c:v>
                </c:pt>
                <c:pt idx="8">
                  <c:v>111.7</c:v>
                </c:pt>
                <c:pt idx="9">
                  <c:v>112.6</c:v>
                </c:pt>
                <c:pt idx="10">
                  <c:v>117</c:v>
                </c:pt>
                <c:pt idx="11">
                  <c:v>112.7</c:v>
                </c:pt>
                <c:pt idx="12">
                  <c:v>103.7</c:v>
                </c:pt>
                <c:pt idx="13">
                  <c:v>102.5</c:v>
                </c:pt>
                <c:pt idx="14">
                  <c:v>100.5</c:v>
                </c:pt>
                <c:pt idx="15">
                  <c:v>102.8</c:v>
                </c:pt>
                <c:pt idx="16">
                  <c:v>100.9</c:v>
                </c:pt>
                <c:pt idx="17">
                  <c:v>100.4</c:v>
                </c:pt>
                <c:pt idx="18">
                  <c:v>93.3</c:v>
                </c:pt>
                <c:pt idx="19">
                  <c:v>86.4</c:v>
                </c:pt>
                <c:pt idx="20">
                  <c:v>88.9</c:v>
                </c:pt>
                <c:pt idx="21">
                  <c:v>89.1</c:v>
                </c:pt>
                <c:pt idx="22">
                  <c:v>84.6</c:v>
                </c:pt>
                <c:pt idx="23">
                  <c:v>87.8</c:v>
                </c:pt>
                <c:pt idx="24">
                  <c:v>78.900000000000006</c:v>
                </c:pt>
                <c:pt idx="25">
                  <c:v>83.6</c:v>
                </c:pt>
                <c:pt idx="26">
                  <c:v>88.5</c:v>
                </c:pt>
                <c:pt idx="27">
                  <c:v>87.3</c:v>
                </c:pt>
                <c:pt idx="28">
                  <c:v>93.4</c:v>
                </c:pt>
                <c:pt idx="29">
                  <c:v>97.6</c:v>
                </c:pt>
                <c:pt idx="30">
                  <c:v>96.9</c:v>
                </c:pt>
                <c:pt idx="31">
                  <c:v>95.3</c:v>
                </c:pt>
                <c:pt idx="32">
                  <c:v>106.7</c:v>
                </c:pt>
                <c:pt idx="33">
                  <c:v>105.5</c:v>
                </c:pt>
                <c:pt idx="34">
                  <c:v>109.4</c:v>
                </c:pt>
                <c:pt idx="35">
                  <c:v>103</c:v>
                </c:pt>
                <c:pt idx="36">
                  <c:v>95.4</c:v>
                </c:pt>
                <c:pt idx="37">
                  <c:v>93.9</c:v>
                </c:pt>
                <c:pt idx="38">
                  <c:v>92.4</c:v>
                </c:pt>
                <c:pt idx="39">
                  <c:v>93</c:v>
                </c:pt>
                <c:pt idx="40">
                  <c:v>94.2</c:v>
                </c:pt>
                <c:pt idx="41">
                  <c:v>95.2</c:v>
                </c:pt>
                <c:pt idx="42">
                  <c:v>96.5</c:v>
                </c:pt>
                <c:pt idx="43">
                  <c:v>98.4</c:v>
                </c:pt>
                <c:pt idx="44">
                  <c:v>102.1</c:v>
                </c:pt>
                <c:pt idx="45">
                  <c:v>106.1</c:v>
                </c:pt>
                <c:pt idx="46">
                  <c:v>106.5</c:v>
                </c:pt>
                <c:pt idx="47">
                  <c:v>110.8</c:v>
                </c:pt>
                <c:pt idx="48">
                  <c:v>110.9</c:v>
                </c:pt>
                <c:pt idx="49">
                  <c:v>109.8</c:v>
                </c:pt>
                <c:pt idx="50">
                  <c:v>108.6</c:v>
                </c:pt>
                <c:pt idx="51">
                  <c:v>110.8</c:v>
                </c:pt>
                <c:pt idx="52">
                  <c:v>108.8</c:v>
                </c:pt>
                <c:pt idx="53">
                  <c:v>110.1</c:v>
                </c:pt>
                <c:pt idx="54">
                  <c:v>112.5</c:v>
                </c:pt>
                <c:pt idx="55">
                  <c:v>114.9</c:v>
                </c:pt>
                <c:pt idx="56">
                  <c:v>114.9</c:v>
                </c:pt>
                <c:pt idx="57">
                  <c:v>109.7</c:v>
                </c:pt>
                <c:pt idx="58">
                  <c:v>109.9</c:v>
                </c:pt>
                <c:pt idx="59">
                  <c:v>109.6</c:v>
                </c:pt>
                <c:pt idx="60">
                  <c:v>109.7</c:v>
                </c:pt>
                <c:pt idx="61">
                  <c:v>105.7</c:v>
                </c:pt>
                <c:pt idx="62">
                  <c:v>104.6</c:v>
                </c:pt>
                <c:pt idx="63">
                  <c:v>102.9</c:v>
                </c:pt>
                <c:pt idx="64">
                  <c:v>106.1</c:v>
                </c:pt>
                <c:pt idx="65">
                  <c:v>104.7</c:v>
                </c:pt>
                <c:pt idx="66">
                  <c:v>104.5</c:v>
                </c:pt>
                <c:pt idx="67">
                  <c:v>107.9</c:v>
                </c:pt>
                <c:pt idx="68">
                  <c:v>111.3</c:v>
                </c:pt>
                <c:pt idx="69">
                  <c:v>111.8</c:v>
                </c:pt>
                <c:pt idx="70">
                  <c:v>115.9</c:v>
                </c:pt>
                <c:pt idx="71">
                  <c:v>116.9</c:v>
                </c:pt>
                <c:pt idx="72">
                  <c:v>122.5</c:v>
                </c:pt>
                <c:pt idx="73">
                  <c:v>117.8</c:v>
                </c:pt>
                <c:pt idx="74">
                  <c:v>119.1</c:v>
                </c:pt>
                <c:pt idx="75">
                  <c:v>120.6</c:v>
                </c:pt>
                <c:pt idx="76">
                  <c:v>121.5</c:v>
                </c:pt>
                <c:pt idx="77">
                  <c:v>123.3</c:v>
                </c:pt>
                <c:pt idx="78">
                  <c:v>123.9</c:v>
                </c:pt>
                <c:pt idx="79">
                  <c:v>123.5</c:v>
                </c:pt>
                <c:pt idx="80">
                  <c:v>123</c:v>
                </c:pt>
                <c:pt idx="81">
                  <c:v>126.6</c:v>
                </c:pt>
                <c:pt idx="82">
                  <c:v>132.1</c:v>
                </c:pt>
                <c:pt idx="83">
                  <c:v>129.80000000000001</c:v>
                </c:pt>
                <c:pt idx="84">
                  <c:v>119.4</c:v>
                </c:pt>
                <c:pt idx="85">
                  <c:v>124.7</c:v>
                </c:pt>
                <c:pt idx="86">
                  <c:v>118.6</c:v>
                </c:pt>
                <c:pt idx="87">
                  <c:v>119.3</c:v>
                </c:pt>
                <c:pt idx="88">
                  <c:v>117.6</c:v>
                </c:pt>
                <c:pt idx="89">
                  <c:v>122.9</c:v>
                </c:pt>
                <c:pt idx="90">
                  <c:v>112.4</c:v>
                </c:pt>
                <c:pt idx="91">
                  <c:v>116.6</c:v>
                </c:pt>
                <c:pt idx="92">
                  <c:v>117.2</c:v>
                </c:pt>
                <c:pt idx="93">
                  <c:v>117</c:v>
                </c:pt>
                <c:pt idx="94">
                  <c:v>117</c:v>
                </c:pt>
                <c:pt idx="95">
                  <c:v>115.2</c:v>
                </c:pt>
                <c:pt idx="96">
                  <c:v>110</c:v>
                </c:pt>
                <c:pt idx="97">
                  <c:v>112.3</c:v>
                </c:pt>
                <c:pt idx="98">
                  <c:v>112.7</c:v>
                </c:pt>
                <c:pt idx="99">
                  <c:v>109.8</c:v>
                </c:pt>
                <c:pt idx="100">
                  <c:v>107.6</c:v>
                </c:pt>
                <c:pt idx="101">
                  <c:v>103.3</c:v>
                </c:pt>
                <c:pt idx="102">
                  <c:v>102.5</c:v>
                </c:pt>
                <c:pt idx="103">
                  <c:v>99.9</c:v>
                </c:pt>
                <c:pt idx="104">
                  <c:v>101.2</c:v>
                </c:pt>
                <c:pt idx="105">
                  <c:v>103.1</c:v>
                </c:pt>
                <c:pt idx="106">
                  <c:v>103</c:v>
                </c:pt>
                <c:pt idx="107">
                  <c:v>96.2</c:v>
                </c:pt>
                <c:pt idx="108">
                  <c:v>93.1</c:v>
                </c:pt>
                <c:pt idx="109">
                  <c:v>86.3</c:v>
                </c:pt>
                <c:pt idx="110">
                  <c:v>83.8</c:v>
                </c:pt>
                <c:pt idx="111">
                  <c:v>82.5</c:v>
                </c:pt>
                <c:pt idx="112">
                  <c:v>82.8</c:v>
                </c:pt>
                <c:pt idx="113">
                  <c:v>83.4</c:v>
                </c:pt>
                <c:pt idx="114">
                  <c:v>88.5</c:v>
                </c:pt>
                <c:pt idx="115">
                  <c:v>99.9</c:v>
                </c:pt>
                <c:pt idx="116">
                  <c:v>104.3</c:v>
                </c:pt>
                <c:pt idx="117">
                  <c:v>104.4</c:v>
                </c:pt>
                <c:pt idx="118">
                  <c:v>103</c:v>
                </c:pt>
                <c:pt idx="119">
                  <c:v>102</c:v>
                </c:pt>
                <c:pt idx="120">
                  <c:v>105.9</c:v>
                </c:pt>
                <c:pt idx="121">
                  <c:v>105.7</c:v>
                </c:pt>
                <c:pt idx="122">
                  <c:v>107.3</c:v>
                </c:pt>
                <c:pt idx="123">
                  <c:v>107</c:v>
                </c:pt>
                <c:pt idx="124">
                  <c:v>111</c:v>
                </c:pt>
                <c:pt idx="125" formatCode="General">
                  <c:v>116.8</c:v>
                </c:pt>
                <c:pt idx="126" formatCode="General">
                  <c:v>113</c:v>
                </c:pt>
                <c:pt idx="127" formatCode="General">
                  <c:v>116.3</c:v>
                </c:pt>
                <c:pt idx="128" formatCode="General">
                  <c:v>119.8</c:v>
                </c:pt>
                <c:pt idx="129" formatCode="General">
                  <c:v>112.7</c:v>
                </c:pt>
                <c:pt idx="130" formatCode="General">
                  <c:v>113.5</c:v>
                </c:pt>
                <c:pt idx="131" formatCode="General">
                  <c:v>116.6</c:v>
                </c:pt>
                <c:pt idx="132">
                  <c:v>114.2</c:v>
                </c:pt>
                <c:pt idx="133">
                  <c:v>114.3</c:v>
                </c:pt>
                <c:pt idx="134">
                  <c:v>83.7</c:v>
                </c:pt>
                <c:pt idx="135">
                  <c:v>88.7</c:v>
                </c:pt>
                <c:pt idx="136">
                  <c:v>96.5</c:v>
                </c:pt>
                <c:pt idx="137" formatCode="General">
                  <c:v>102.1</c:v>
                </c:pt>
                <c:pt idx="138" formatCode="General">
                  <c:v>110.4</c:v>
                </c:pt>
                <c:pt idx="139" formatCode="General">
                  <c:v>120.2</c:v>
                </c:pt>
                <c:pt idx="140" formatCode="General">
                  <c:v>120.8</c:v>
                </c:pt>
                <c:pt idx="141" formatCode="General">
                  <c:v>126.3</c:v>
                </c:pt>
                <c:pt idx="142" formatCode="General">
                  <c:v>131</c:v>
                </c:pt>
                <c:pt idx="143">
                  <c:v>134.9</c:v>
                </c:pt>
                <c:pt idx="144" formatCode="General">
                  <c:v>149.69999999999999</c:v>
                </c:pt>
                <c:pt idx="145" formatCode="General">
                  <c:v>152.19999999999999</c:v>
                </c:pt>
                <c:pt idx="146" formatCode="General">
                  <c:v>144.69999999999999</c:v>
                </c:pt>
                <c:pt idx="147" formatCode="General">
                  <c:v>160.9</c:v>
                </c:pt>
                <c:pt idx="148" formatCode="General">
                  <c:v>158.9</c:v>
                </c:pt>
                <c:pt idx="149" formatCode="General">
                  <c:v>158.9</c:v>
                </c:pt>
                <c:pt idx="150" formatCode="General">
                  <c:v>157.4</c:v>
                </c:pt>
                <c:pt idx="151">
                  <c:v>155.9</c:v>
                </c:pt>
                <c:pt idx="152">
                  <c:v>148.6</c:v>
                </c:pt>
                <c:pt idx="153">
                  <c:v>147.19999999999999</c:v>
                </c:pt>
                <c:pt idx="154">
                  <c:v>146.5</c:v>
                </c:pt>
                <c:pt idx="155">
                  <c:v>140.1</c:v>
                </c:pt>
                <c:pt idx="156">
                  <c:v>141.9</c:v>
                </c:pt>
                <c:pt idx="157">
                  <c:v>147.1</c:v>
                </c:pt>
                <c:pt idx="158">
                  <c:v>141.30000000000001</c:v>
                </c:pt>
                <c:pt idx="159">
                  <c:v>139.5</c:v>
                </c:pt>
                <c:pt idx="160">
                  <c:v>139.80000000000001</c:v>
                </c:pt>
                <c:pt idx="161">
                  <c:v>138.1</c:v>
                </c:pt>
                <c:pt idx="162">
                  <c:v>138.1</c:v>
                </c:pt>
                <c:pt idx="163">
                  <c:v>142.9</c:v>
                </c:pt>
                <c:pt idx="164">
                  <c:v>143.30000000000001</c:v>
                </c:pt>
                <c:pt idx="165">
                  <c:v>142</c:v>
                </c:pt>
                <c:pt idx="166">
                  <c:v>140.5</c:v>
                </c:pt>
                <c:pt idx="167">
                  <c:v>140.9</c:v>
                </c:pt>
                <c:pt idx="168">
                  <c:v>141.19999999999999</c:v>
                </c:pt>
                <c:pt idx="169">
                  <c:v>140.5</c:v>
                </c:pt>
                <c:pt idx="170">
                  <c:v>137.19999999999999</c:v>
                </c:pt>
                <c:pt idx="171">
                  <c:v>131.19999999999999</c:v>
                </c:pt>
                <c:pt idx="172">
                  <c:v>131.1</c:v>
                </c:pt>
                <c:pt idx="173">
                  <c:v>129.6</c:v>
                </c:pt>
                <c:pt idx="174">
                  <c:v>126.4</c:v>
                </c:pt>
                <c:pt idx="175">
                  <c:v>125.3</c:v>
                </c:pt>
                <c:pt idx="176">
                  <c:v>129.69999999999999</c:v>
                </c:pt>
                <c:pt idx="177">
                  <c:v>130.19999999999999</c:v>
                </c:pt>
                <c:pt idx="178">
                  <c:v>129</c:v>
                </c:pt>
                <c:pt idx="179">
                  <c:v>136.5</c:v>
                </c:pt>
                <c:pt idx="180">
                  <c:v>129.80000000000001</c:v>
                </c:pt>
                <c:pt idx="181">
                  <c:v>125.1</c:v>
                </c:pt>
                <c:pt idx="182">
                  <c:v>123.8</c:v>
                </c:pt>
                <c:pt idx="183">
                  <c:v>119.9</c:v>
                </c:pt>
                <c:pt idx="184">
                  <c:v>123</c:v>
                </c:pt>
                <c:pt idx="185">
                  <c:v>121.8</c:v>
                </c:pt>
                <c:pt idx="186">
                  <c:v>121.7</c:v>
                </c:pt>
                <c:pt idx="187">
                  <c:v>122.3</c:v>
                </c:pt>
                <c:pt idx="188">
                  <c:v>119.5</c:v>
                </c:pt>
                <c:pt idx="189">
                  <c:v>116.9</c:v>
                </c:pt>
                <c:pt idx="190">
                  <c:v>114.3</c:v>
                </c:pt>
                <c:pt idx="191">
                  <c:v>115.4</c:v>
                </c:pt>
                <c:pt idx="192">
                  <c:v>114.8</c:v>
                </c:pt>
                <c:pt idx="193">
                  <c:v>112.7</c:v>
                </c:pt>
                <c:pt idx="194">
                  <c:v>110.2</c:v>
                </c:pt>
                <c:pt idx="195">
                  <c:v>111.5</c:v>
                </c:pt>
                <c:pt idx="196">
                  <c:v>110.8</c:v>
                </c:pt>
                <c:pt idx="197">
                  <c:v>106.6</c:v>
                </c:pt>
                <c:pt idx="198">
                  <c:v>108.3</c:v>
                </c:pt>
                <c:pt idx="199">
                  <c:v>106.1</c:v>
                </c:pt>
                <c:pt idx="200">
                  <c:v>108.9</c:v>
                </c:pt>
                <c:pt idx="201">
                  <c:v>110.3</c:v>
                </c:pt>
                <c:pt idx="202">
                  <c:v>111.7</c:v>
                </c:pt>
                <c:pt idx="203">
                  <c:v>116.5</c:v>
                </c:pt>
                <c:pt idx="204">
                  <c:v>111.4</c:v>
                </c:pt>
                <c:pt idx="205">
                  <c:v>113</c:v>
                </c:pt>
                <c:pt idx="206">
                  <c:v>110.6</c:v>
                </c:pt>
                <c:pt idx="207">
                  <c:v>113.9</c:v>
                </c:pt>
                <c:pt idx="208">
                  <c:v>112.5</c:v>
                </c:pt>
                <c:pt idx="209">
                  <c:v>114.6</c:v>
                </c:pt>
                <c:pt idx="210">
                  <c:v>114.9</c:v>
                </c:pt>
                <c:pt idx="211">
                  <c:v>109.2</c:v>
                </c:pt>
                <c:pt idx="212">
                  <c:v>110.7</c:v>
                </c:pt>
                <c:pt idx="213">
                  <c:v>109</c:v>
                </c:pt>
                <c:pt idx="214">
                  <c:v>112.5</c:v>
                </c:pt>
                <c:pt idx="215">
                  <c:v>114.5</c:v>
                </c:pt>
                <c:pt idx="216">
                  <c:v>115</c:v>
                </c:pt>
                <c:pt idx="217">
                  <c:v>115.3</c:v>
                </c:pt>
                <c:pt idx="218">
                  <c:v>118.3</c:v>
                </c:pt>
                <c:pt idx="219">
                  <c:v>121.1</c:v>
                </c:pt>
                <c:pt idx="220">
                  <c:v>119.6</c:v>
                </c:pt>
                <c:pt idx="221">
                  <c:v>119.7</c:v>
                </c:pt>
                <c:pt idx="222">
                  <c:v>123.2</c:v>
                </c:pt>
                <c:pt idx="223">
                  <c:v>122.5</c:v>
                </c:pt>
                <c:pt idx="224">
                  <c:v>123.2</c:v>
                </c:pt>
                <c:pt idx="225">
                  <c:v>125.1</c:v>
                </c:pt>
                <c:pt idx="226">
                  <c:v>129.19999999999999</c:v>
                </c:pt>
                <c:pt idx="227">
                  <c:v>125.9</c:v>
                </c:pt>
                <c:pt idx="228">
                  <c:v>125.7</c:v>
                </c:pt>
                <c:pt idx="229">
                  <c:v>124.5</c:v>
                </c:pt>
                <c:pt idx="230">
                  <c:v>120.7</c:v>
                </c:pt>
                <c:pt idx="231">
                  <c:v>122.2</c:v>
                </c:pt>
                <c:pt idx="232">
                  <c:v>126.5</c:v>
                </c:pt>
                <c:pt idx="233">
                  <c:v>125.4</c:v>
                </c:pt>
                <c:pt idx="234">
                  <c:v>123.1</c:v>
                </c:pt>
                <c:pt idx="235">
                  <c:v>118.4</c:v>
                </c:pt>
                <c:pt idx="236">
                  <c:v>117.2</c:v>
                </c:pt>
                <c:pt idx="237">
                  <c:v>114.1</c:v>
                </c:pt>
                <c:pt idx="238">
                  <c:v>119.8</c:v>
                </c:pt>
                <c:pt idx="239">
                  <c:v>113.2</c:v>
                </c:pt>
                <c:pt idx="240">
                  <c:v>112.2</c:v>
                </c:pt>
                <c:pt idx="241">
                  <c:v>113</c:v>
                </c:pt>
                <c:pt idx="242">
                  <c:v>107.3</c:v>
                </c:pt>
                <c:pt idx="243">
                  <c:v>97.6</c:v>
                </c:pt>
                <c:pt idx="244">
                  <c:v>88.9</c:v>
                </c:pt>
                <c:pt idx="245">
                  <c:v>86.7</c:v>
                </c:pt>
                <c:pt idx="246">
                  <c:v>91.8</c:v>
                </c:pt>
                <c:pt idx="247">
                  <c:v>96.5</c:v>
                </c:pt>
                <c:pt idx="248">
                  <c:v>98.6</c:v>
                </c:pt>
                <c:pt idx="249">
                  <c:v>102.1</c:v>
                </c:pt>
                <c:pt idx="250">
                  <c:v>102.4</c:v>
                </c:pt>
                <c:pt idx="251">
                  <c:v>103.1</c:v>
                </c:pt>
                <c:pt idx="252">
                  <c:v>106.1</c:v>
                </c:pt>
                <c:pt idx="253">
                  <c:v>102.4</c:v>
                </c:pt>
                <c:pt idx="254">
                  <c:v>105</c:v>
                </c:pt>
                <c:pt idx="255">
                  <c:v>109.1</c:v>
                </c:pt>
                <c:pt idx="256">
                  <c:v>108.7</c:v>
                </c:pt>
                <c:pt idx="257">
                  <c:v>104.9</c:v>
                </c:pt>
                <c:pt idx="258">
                  <c:v>109.8</c:v>
                </c:pt>
                <c:pt idx="259">
                  <c:v>109.2</c:v>
                </c:pt>
                <c:pt idx="260">
                  <c:v>103.6</c:v>
                </c:pt>
                <c:pt idx="261">
                  <c:v>105.3</c:v>
                </c:pt>
                <c:pt idx="262">
                  <c:v>110.6</c:v>
                </c:pt>
                <c:pt idx="263">
                  <c:v>114.8</c:v>
                </c:pt>
                <c:pt idx="264">
                  <c:v>110.3</c:v>
                </c:pt>
                <c:pt idx="265">
                  <c:v>106</c:v>
                </c:pt>
                <c:pt idx="266">
                  <c:v>106.6</c:v>
                </c:pt>
                <c:pt idx="267">
                  <c:v>112</c:v>
                </c:pt>
                <c:pt idx="268">
                  <c:v>115.8</c:v>
                </c:pt>
                <c:pt idx="269">
                  <c:v>118</c:v>
                </c:pt>
                <c:pt idx="270">
                  <c:v>119.5</c:v>
                </c:pt>
                <c:pt idx="271">
                  <c:v>117.4</c:v>
                </c:pt>
                <c:pt idx="272">
                  <c:v>118.4</c:v>
                </c:pt>
                <c:pt idx="273">
                  <c:v>123.7</c:v>
                </c:pt>
                <c:pt idx="274">
                  <c:v>122.2</c:v>
                </c:pt>
                <c:pt idx="275">
                  <c:v>124.5</c:v>
                </c:pt>
                <c:pt idx="276">
                  <c:v>124.9</c:v>
                </c:pt>
                <c:pt idx="277">
                  <c:v>127.6</c:v>
                </c:pt>
                <c:pt idx="278">
                  <c:v>122</c:v>
                </c:pt>
                <c:pt idx="279">
                  <c:v>128.1</c:v>
                </c:pt>
                <c:pt idx="280">
                  <c:v>128.4</c:v>
                </c:pt>
                <c:pt idx="281">
                  <c:v>138.1</c:v>
                </c:pt>
                <c:pt idx="282" formatCode="0.00">
                  <c:v>128.9</c:v>
                </c:pt>
                <c:pt idx="283" formatCode="0.00">
                  <c:v>130.6</c:v>
                </c:pt>
                <c:pt idx="284" formatCode="0.00">
                  <c:v>137.80000000000001</c:v>
                </c:pt>
                <c:pt idx="285">
                  <c:v>133.9</c:v>
                </c:pt>
                <c:pt idx="286">
                  <c:v>137</c:v>
                </c:pt>
                <c:pt idx="287">
                  <c:v>137.30000000000001</c:v>
                </c:pt>
                <c:pt idx="288">
                  <c:v>125.9</c:v>
                </c:pt>
                <c:pt idx="289">
                  <c:v>124</c:v>
                </c:pt>
                <c:pt idx="290">
                  <c:v>130.19999999999999</c:v>
                </c:pt>
                <c:pt idx="291">
                  <c:v>136.19999999999999</c:v>
                </c:pt>
                <c:pt idx="292">
                  <c:v>135.4</c:v>
                </c:pt>
                <c:pt idx="293">
                  <c:v>134.5</c:v>
                </c:pt>
                <c:pt idx="294">
                  <c:v>137.19999999999999</c:v>
                </c:pt>
                <c:pt idx="295">
                  <c:v>137.6</c:v>
                </c:pt>
                <c:pt idx="296">
                  <c:v>140.5</c:v>
                </c:pt>
                <c:pt idx="297">
                  <c:v>141</c:v>
                </c:pt>
                <c:pt idx="298">
                  <c:v>140.4</c:v>
                </c:pt>
                <c:pt idx="299">
                  <c:v>141.5</c:v>
                </c:pt>
                <c:pt idx="300">
                  <c:v>146.80000000000001</c:v>
                </c:pt>
                <c:pt idx="301">
                  <c:v>148.19999999999999</c:v>
                </c:pt>
                <c:pt idx="302">
                  <c:v>146.1</c:v>
                </c:pt>
                <c:pt idx="303">
                  <c:v>155.19999999999999</c:v>
                </c:pt>
                <c:pt idx="304">
                  <c:v>145.69999999999999</c:v>
                </c:pt>
                <c:pt idx="305">
                  <c:v>152.80000000000001</c:v>
                </c:pt>
                <c:pt idx="306">
                  <c:v>147.5</c:v>
                </c:pt>
                <c:pt idx="307">
                  <c:v>145.1</c:v>
                </c:pt>
                <c:pt idx="308">
                  <c:v>150.30000000000001</c:v>
                </c:pt>
                <c:pt idx="309">
                  <c:v>148.19999999999999</c:v>
                </c:pt>
                <c:pt idx="310">
                  <c:v>151.5</c:v>
                </c:pt>
                <c:pt idx="311">
                  <c:v>153.80000000000001</c:v>
                </c:pt>
                <c:pt idx="312">
                  <c:v>158.5</c:v>
                </c:pt>
                <c:pt idx="313">
                  <c:v>155.69999999999999</c:v>
                </c:pt>
                <c:pt idx="314">
                  <c:v>156.19999999999999</c:v>
                </c:pt>
              </c:numCache>
            </c:numRef>
          </c:val>
          <c:smooth val="0"/>
          <c:extLst>
            <c:ext xmlns:c16="http://schemas.microsoft.com/office/drawing/2014/chart" uri="{C3380CC4-5D6E-409C-BE32-E72D297353CC}">
              <c16:uniqueId val="{00000001-CA6F-4A01-B18B-4962F2AFCF22}"/>
            </c:ext>
          </c:extLst>
        </c:ser>
        <c:ser>
          <c:idx val="2"/>
          <c:order val="2"/>
          <c:tx>
            <c:v>目盛</c:v>
          </c:tx>
          <c:spPr>
            <a:ln w="12700">
              <a:solidFill>
                <a:srgbClr val="000000"/>
              </a:solidFill>
              <a:prstDash val="solid"/>
            </a:ln>
          </c:spPr>
          <c:marker>
            <c:symbol val="none"/>
          </c:marker>
          <c:cat>
            <c:strRef>
              <c:f>グラフデータ!$A$88:$A$411</c:f>
              <c:strCache>
                <c:ptCount val="313"/>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pt idx="312">
                  <c:v>8</c:v>
                </c:pt>
              </c:strCache>
            </c:strRef>
          </c:cat>
          <c:val>
            <c:numRef>
              <c:f>グラフデータ!$H$88:$H$411</c:f>
              <c:numCache>
                <c:formatCode>0.0</c:formatCode>
                <c:ptCount val="3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pt idx="312">
                  <c:v>100</c:v>
                </c:pt>
                <c:pt idx="313">
                  <c:v>100</c:v>
                </c:pt>
                <c:pt idx="314">
                  <c:v>100</c:v>
                </c:pt>
                <c:pt idx="315">
                  <c:v>100</c:v>
                </c:pt>
                <c:pt idx="316">
                  <c:v>100</c:v>
                </c:pt>
                <c:pt idx="317">
                  <c:v>100</c:v>
                </c:pt>
                <c:pt idx="318">
                  <c:v>100</c:v>
                </c:pt>
                <c:pt idx="319">
                  <c:v>100</c:v>
                </c:pt>
                <c:pt idx="320">
                  <c:v>100</c:v>
                </c:pt>
                <c:pt idx="321">
                  <c:v>100</c:v>
                </c:pt>
                <c:pt idx="322">
                  <c:v>100</c:v>
                </c:pt>
                <c:pt idx="323">
                  <c:v>100</c:v>
                </c:pt>
              </c:numCache>
            </c:numRef>
          </c:val>
          <c:smooth val="0"/>
          <c:extLst>
            <c:ext xmlns:c16="http://schemas.microsoft.com/office/drawing/2014/chart" uri="{C3380CC4-5D6E-409C-BE32-E72D297353CC}">
              <c16:uniqueId val="{00000002-CA6F-4A01-B18B-4962F2AFCF22}"/>
            </c:ext>
          </c:extLst>
        </c:ser>
        <c:dLbls>
          <c:showLegendKey val="0"/>
          <c:showVal val="0"/>
          <c:showCatName val="0"/>
          <c:showSerName val="0"/>
          <c:showPercent val="0"/>
          <c:showBubbleSize val="0"/>
        </c:dLbls>
        <c:marker val="1"/>
        <c:smooth val="0"/>
        <c:axId val="556597608"/>
        <c:axId val="1"/>
      </c:lineChart>
      <c:catAx>
        <c:axId val="556597608"/>
        <c:scaling>
          <c:orientation val="minMax"/>
        </c:scaling>
        <c:delete val="0"/>
        <c:axPos val="b"/>
        <c:numFmt formatCode="[$-F400]h:mm:ss\ AM/PM" sourceLinked="0"/>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1"/>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7608"/>
        <c:crosses val="autoZero"/>
        <c:crossBetween val="midCat"/>
        <c:majorUnit val="10"/>
        <c:minorUnit val="1"/>
      </c:valAx>
      <c:spPr>
        <a:solidFill>
          <a:schemeClr val="bg1"/>
        </a:solidFill>
        <a:ln w="3175">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94964004333534E-2"/>
          <c:y val="5.3763440860215055E-2"/>
          <c:w val="0.8925206283042344"/>
          <c:h val="0.80688304324923987"/>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グラフデータ!$G$88:$G$411</c:f>
              <c:numCache>
                <c:formatCode>0.0</c:formatCode>
                <c:ptCount val="324"/>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5765-40D9-8186-8B0F419287BF}"/>
            </c:ext>
          </c:extLst>
        </c:ser>
        <c:dLbls>
          <c:showLegendKey val="0"/>
          <c:showVal val="0"/>
          <c:showCatName val="0"/>
          <c:showSerName val="0"/>
          <c:showPercent val="0"/>
          <c:showBubbleSize val="0"/>
        </c:dLbls>
        <c:gapWidth val="0"/>
        <c:axId val="556598920"/>
        <c:axId val="1"/>
      </c:barChart>
      <c:lineChart>
        <c:grouping val="standard"/>
        <c:varyColors val="0"/>
        <c:ser>
          <c:idx val="0"/>
          <c:order val="0"/>
          <c:tx>
            <c:strRef>
              <c:f>グラフデータ!$E$2</c:f>
              <c:strCache>
                <c:ptCount val="1"/>
                <c:pt idx="0">
                  <c:v>一致指数</c:v>
                </c:pt>
              </c:strCache>
            </c:strRef>
          </c:tx>
          <c:spPr>
            <a:ln w="12700">
              <a:solidFill>
                <a:srgbClr val="000080"/>
              </a:solidFill>
              <a:prstDash val="solid"/>
            </a:ln>
          </c:spPr>
          <c:marker>
            <c:symbol val="none"/>
          </c:marker>
          <c:cat>
            <c:strRef>
              <c:f>グラフデータ!$A$88:$A$411</c:f>
              <c:strCache>
                <c:ptCount val="313"/>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pt idx="312">
                  <c:v>8</c:v>
                </c:pt>
              </c:strCache>
            </c:strRef>
          </c:cat>
          <c:val>
            <c:numRef>
              <c:f>グラフデータ!$E$88:$E$411</c:f>
              <c:numCache>
                <c:formatCode>0.0</c:formatCode>
                <c:ptCount val="324"/>
                <c:pt idx="0">
                  <c:v>87.5</c:v>
                </c:pt>
                <c:pt idx="1">
                  <c:v>96.8</c:v>
                </c:pt>
                <c:pt idx="2">
                  <c:v>106.2</c:v>
                </c:pt>
                <c:pt idx="3">
                  <c:v>93.6</c:v>
                </c:pt>
                <c:pt idx="4">
                  <c:v>102.3</c:v>
                </c:pt>
                <c:pt idx="5">
                  <c:v>104.8</c:v>
                </c:pt>
                <c:pt idx="6">
                  <c:v>106.3</c:v>
                </c:pt>
                <c:pt idx="7">
                  <c:v>102.3</c:v>
                </c:pt>
                <c:pt idx="8">
                  <c:v>107.8</c:v>
                </c:pt>
                <c:pt idx="9">
                  <c:v>109</c:v>
                </c:pt>
                <c:pt idx="10">
                  <c:v>110.8</c:v>
                </c:pt>
                <c:pt idx="11">
                  <c:v>110.4</c:v>
                </c:pt>
                <c:pt idx="12">
                  <c:v>106.4</c:v>
                </c:pt>
                <c:pt idx="13">
                  <c:v>107</c:v>
                </c:pt>
                <c:pt idx="14">
                  <c:v>107</c:v>
                </c:pt>
                <c:pt idx="15">
                  <c:v>99.8</c:v>
                </c:pt>
                <c:pt idx="16">
                  <c:v>96</c:v>
                </c:pt>
                <c:pt idx="17">
                  <c:v>92</c:v>
                </c:pt>
                <c:pt idx="18">
                  <c:v>81.8</c:v>
                </c:pt>
                <c:pt idx="19">
                  <c:v>76.2</c:v>
                </c:pt>
                <c:pt idx="20">
                  <c:v>83.5</c:v>
                </c:pt>
                <c:pt idx="21">
                  <c:v>75.599999999999994</c:v>
                </c:pt>
                <c:pt idx="22">
                  <c:v>73</c:v>
                </c:pt>
                <c:pt idx="23">
                  <c:v>68.7</c:v>
                </c:pt>
                <c:pt idx="24">
                  <c:v>68.599999999999994</c:v>
                </c:pt>
                <c:pt idx="25">
                  <c:v>74.099999999999994</c:v>
                </c:pt>
                <c:pt idx="26">
                  <c:v>82.3</c:v>
                </c:pt>
                <c:pt idx="27">
                  <c:v>75.900000000000006</c:v>
                </c:pt>
                <c:pt idx="28">
                  <c:v>82.2</c:v>
                </c:pt>
                <c:pt idx="29">
                  <c:v>83.1</c:v>
                </c:pt>
                <c:pt idx="30">
                  <c:v>85.1</c:v>
                </c:pt>
                <c:pt idx="31">
                  <c:v>80.400000000000006</c:v>
                </c:pt>
                <c:pt idx="32">
                  <c:v>91.5</c:v>
                </c:pt>
                <c:pt idx="33">
                  <c:v>89.5</c:v>
                </c:pt>
                <c:pt idx="34">
                  <c:v>93.3</c:v>
                </c:pt>
                <c:pt idx="35">
                  <c:v>92.9</c:v>
                </c:pt>
                <c:pt idx="36">
                  <c:v>92.1</c:v>
                </c:pt>
                <c:pt idx="37">
                  <c:v>92.5</c:v>
                </c:pt>
                <c:pt idx="38">
                  <c:v>98.4</c:v>
                </c:pt>
                <c:pt idx="39">
                  <c:v>92.8</c:v>
                </c:pt>
                <c:pt idx="40">
                  <c:v>97.9</c:v>
                </c:pt>
                <c:pt idx="41">
                  <c:v>101.1</c:v>
                </c:pt>
                <c:pt idx="42">
                  <c:v>102.4</c:v>
                </c:pt>
                <c:pt idx="43">
                  <c:v>103.6</c:v>
                </c:pt>
                <c:pt idx="44">
                  <c:v>108.5</c:v>
                </c:pt>
                <c:pt idx="45">
                  <c:v>111.2</c:v>
                </c:pt>
                <c:pt idx="46">
                  <c:v>113</c:v>
                </c:pt>
                <c:pt idx="47">
                  <c:v>114.2</c:v>
                </c:pt>
                <c:pt idx="48">
                  <c:v>110.6</c:v>
                </c:pt>
                <c:pt idx="49">
                  <c:v>111.4</c:v>
                </c:pt>
                <c:pt idx="50">
                  <c:v>112.7</c:v>
                </c:pt>
                <c:pt idx="51">
                  <c:v>113.2</c:v>
                </c:pt>
                <c:pt idx="52">
                  <c:v>113.2</c:v>
                </c:pt>
                <c:pt idx="53">
                  <c:v>113.4</c:v>
                </c:pt>
                <c:pt idx="54">
                  <c:v>116.3</c:v>
                </c:pt>
                <c:pt idx="55">
                  <c:v>116.7</c:v>
                </c:pt>
                <c:pt idx="56">
                  <c:v>115.8</c:v>
                </c:pt>
                <c:pt idx="57">
                  <c:v>110.5</c:v>
                </c:pt>
                <c:pt idx="58">
                  <c:v>111.5</c:v>
                </c:pt>
                <c:pt idx="59">
                  <c:v>113.1</c:v>
                </c:pt>
                <c:pt idx="60">
                  <c:v>112.5</c:v>
                </c:pt>
                <c:pt idx="61">
                  <c:v>111.9</c:v>
                </c:pt>
                <c:pt idx="62">
                  <c:v>109</c:v>
                </c:pt>
                <c:pt idx="63">
                  <c:v>107.1</c:v>
                </c:pt>
                <c:pt idx="64">
                  <c:v>111.6</c:v>
                </c:pt>
                <c:pt idx="65">
                  <c:v>109.9</c:v>
                </c:pt>
                <c:pt idx="66">
                  <c:v>108.6</c:v>
                </c:pt>
                <c:pt idx="67">
                  <c:v>114</c:v>
                </c:pt>
                <c:pt idx="68">
                  <c:v>112.2</c:v>
                </c:pt>
                <c:pt idx="69">
                  <c:v>117.9</c:v>
                </c:pt>
                <c:pt idx="70">
                  <c:v>122.6</c:v>
                </c:pt>
                <c:pt idx="71">
                  <c:v>122.2</c:v>
                </c:pt>
                <c:pt idx="72">
                  <c:v>125.6</c:v>
                </c:pt>
                <c:pt idx="73">
                  <c:v>126.9</c:v>
                </c:pt>
                <c:pt idx="74">
                  <c:v>127.8</c:v>
                </c:pt>
                <c:pt idx="75">
                  <c:v>132.80000000000001</c:v>
                </c:pt>
                <c:pt idx="76">
                  <c:v>130.5</c:v>
                </c:pt>
                <c:pt idx="77">
                  <c:v>133.9</c:v>
                </c:pt>
                <c:pt idx="78">
                  <c:v>136</c:v>
                </c:pt>
                <c:pt idx="79">
                  <c:v>133.80000000000001</c:v>
                </c:pt>
                <c:pt idx="80">
                  <c:v>133.6</c:v>
                </c:pt>
                <c:pt idx="81">
                  <c:v>139.19999999999999</c:v>
                </c:pt>
                <c:pt idx="82">
                  <c:v>143.4</c:v>
                </c:pt>
                <c:pt idx="83">
                  <c:v>142.4</c:v>
                </c:pt>
                <c:pt idx="84">
                  <c:v>146.1</c:v>
                </c:pt>
                <c:pt idx="85">
                  <c:v>146.69999999999999</c:v>
                </c:pt>
                <c:pt idx="86">
                  <c:v>142.9</c:v>
                </c:pt>
                <c:pt idx="87">
                  <c:v>143.5</c:v>
                </c:pt>
                <c:pt idx="88">
                  <c:v>143.1</c:v>
                </c:pt>
                <c:pt idx="89">
                  <c:v>144.30000000000001</c:v>
                </c:pt>
                <c:pt idx="90">
                  <c:v>146</c:v>
                </c:pt>
                <c:pt idx="91">
                  <c:v>145.5</c:v>
                </c:pt>
                <c:pt idx="92">
                  <c:v>143.19999999999999</c:v>
                </c:pt>
                <c:pt idx="93">
                  <c:v>140.9</c:v>
                </c:pt>
                <c:pt idx="94">
                  <c:v>136.30000000000001</c:v>
                </c:pt>
                <c:pt idx="95">
                  <c:v>139.5</c:v>
                </c:pt>
                <c:pt idx="96">
                  <c:v>135.30000000000001</c:v>
                </c:pt>
                <c:pt idx="97">
                  <c:v>138.19999999999999</c:v>
                </c:pt>
                <c:pt idx="98">
                  <c:v>136</c:v>
                </c:pt>
                <c:pt idx="99">
                  <c:v>132</c:v>
                </c:pt>
                <c:pt idx="100">
                  <c:v>128.4</c:v>
                </c:pt>
                <c:pt idx="101">
                  <c:v>123.8</c:v>
                </c:pt>
                <c:pt idx="102">
                  <c:v>123.2</c:v>
                </c:pt>
                <c:pt idx="103">
                  <c:v>114.3</c:v>
                </c:pt>
                <c:pt idx="104">
                  <c:v>116.5</c:v>
                </c:pt>
                <c:pt idx="105">
                  <c:v>113.3</c:v>
                </c:pt>
                <c:pt idx="106">
                  <c:v>106.2</c:v>
                </c:pt>
                <c:pt idx="107">
                  <c:v>94.2</c:v>
                </c:pt>
                <c:pt idx="108">
                  <c:v>79.8</c:v>
                </c:pt>
                <c:pt idx="109">
                  <c:v>70.099999999999994</c:v>
                </c:pt>
                <c:pt idx="110">
                  <c:v>64.7</c:v>
                </c:pt>
                <c:pt idx="111">
                  <c:v>67.400000000000006</c:v>
                </c:pt>
                <c:pt idx="112">
                  <c:v>70.2</c:v>
                </c:pt>
                <c:pt idx="113">
                  <c:v>72.5</c:v>
                </c:pt>
                <c:pt idx="114">
                  <c:v>75.7</c:v>
                </c:pt>
                <c:pt idx="115">
                  <c:v>78.599999999999994</c:v>
                </c:pt>
                <c:pt idx="116">
                  <c:v>82.4</c:v>
                </c:pt>
                <c:pt idx="117">
                  <c:v>87</c:v>
                </c:pt>
                <c:pt idx="118">
                  <c:v>87.6</c:v>
                </c:pt>
                <c:pt idx="119">
                  <c:v>87.7</c:v>
                </c:pt>
                <c:pt idx="120">
                  <c:v>95.8</c:v>
                </c:pt>
                <c:pt idx="121">
                  <c:v>95.5</c:v>
                </c:pt>
                <c:pt idx="122">
                  <c:v>99.6</c:v>
                </c:pt>
                <c:pt idx="123">
                  <c:v>99.2</c:v>
                </c:pt>
                <c:pt idx="124" formatCode="General">
                  <c:v>103</c:v>
                </c:pt>
                <c:pt idx="125" formatCode="General">
                  <c:v>101.6</c:v>
                </c:pt>
                <c:pt idx="126" formatCode="General">
                  <c:v>103.6</c:v>
                </c:pt>
                <c:pt idx="127" formatCode="General">
                  <c:v>107.2</c:v>
                </c:pt>
                <c:pt idx="128" formatCode="General">
                  <c:v>107.9</c:v>
                </c:pt>
                <c:pt idx="129" formatCode="General">
                  <c:v>108.7</c:v>
                </c:pt>
                <c:pt idx="130" formatCode="General">
                  <c:v>113.1</c:v>
                </c:pt>
                <c:pt idx="131" formatCode="General">
                  <c:v>117.2</c:v>
                </c:pt>
                <c:pt idx="132">
                  <c:v>113.3</c:v>
                </c:pt>
                <c:pt idx="133">
                  <c:v>117.3</c:v>
                </c:pt>
                <c:pt idx="134">
                  <c:v>71.400000000000006</c:v>
                </c:pt>
                <c:pt idx="135">
                  <c:v>83.1</c:v>
                </c:pt>
                <c:pt idx="136" formatCode="General">
                  <c:v>96.4</c:v>
                </c:pt>
                <c:pt idx="137">
                  <c:v>99.9</c:v>
                </c:pt>
                <c:pt idx="138" formatCode="General">
                  <c:v>104.7</c:v>
                </c:pt>
                <c:pt idx="139" formatCode="General">
                  <c:v>112.4</c:v>
                </c:pt>
                <c:pt idx="140" formatCode="General">
                  <c:v>119.7</c:v>
                </c:pt>
                <c:pt idx="141" formatCode="General">
                  <c:v>120.6</c:v>
                </c:pt>
                <c:pt idx="142" formatCode="General">
                  <c:v>119.8</c:v>
                </c:pt>
                <c:pt idx="143" formatCode="General">
                  <c:v>128</c:v>
                </c:pt>
                <c:pt idx="144" formatCode="General">
                  <c:v>138.6</c:v>
                </c:pt>
                <c:pt idx="145" formatCode="General">
                  <c:v>144.9</c:v>
                </c:pt>
                <c:pt idx="146" formatCode="General">
                  <c:v>154.19999999999999</c:v>
                </c:pt>
                <c:pt idx="147" formatCode="General">
                  <c:v>151.80000000000001</c:v>
                </c:pt>
                <c:pt idx="148" formatCode="General">
                  <c:v>156.4</c:v>
                </c:pt>
                <c:pt idx="149" formatCode="General">
                  <c:v>157</c:v>
                </c:pt>
                <c:pt idx="150" formatCode="General">
                  <c:v>159.9</c:v>
                </c:pt>
                <c:pt idx="151">
                  <c:v>152.19999999999999</c:v>
                </c:pt>
                <c:pt idx="152">
                  <c:v>150.80000000000001</c:v>
                </c:pt>
                <c:pt idx="153">
                  <c:v>146.1</c:v>
                </c:pt>
                <c:pt idx="154">
                  <c:v>145</c:v>
                </c:pt>
                <c:pt idx="155">
                  <c:v>146.19999999999999</c:v>
                </c:pt>
                <c:pt idx="156">
                  <c:v>150.80000000000001</c:v>
                </c:pt>
                <c:pt idx="157">
                  <c:v>149.4</c:v>
                </c:pt>
                <c:pt idx="158">
                  <c:v>153.1</c:v>
                </c:pt>
                <c:pt idx="159">
                  <c:v>145.69999999999999</c:v>
                </c:pt>
                <c:pt idx="160">
                  <c:v>147.9</c:v>
                </c:pt>
                <c:pt idx="161">
                  <c:v>152.5</c:v>
                </c:pt>
                <c:pt idx="162">
                  <c:v>152.80000000000001</c:v>
                </c:pt>
                <c:pt idx="163">
                  <c:v>158</c:v>
                </c:pt>
                <c:pt idx="164">
                  <c:v>156.1</c:v>
                </c:pt>
                <c:pt idx="165">
                  <c:v>153</c:v>
                </c:pt>
                <c:pt idx="166">
                  <c:v>157.4</c:v>
                </c:pt>
                <c:pt idx="167">
                  <c:v>154</c:v>
                </c:pt>
                <c:pt idx="168">
                  <c:v>156.69999999999999</c:v>
                </c:pt>
                <c:pt idx="169">
                  <c:v>156</c:v>
                </c:pt>
                <c:pt idx="170">
                  <c:v>145.6</c:v>
                </c:pt>
                <c:pt idx="171">
                  <c:v>142.30000000000001</c:v>
                </c:pt>
                <c:pt idx="172">
                  <c:v>145.4</c:v>
                </c:pt>
                <c:pt idx="173">
                  <c:v>146.6</c:v>
                </c:pt>
                <c:pt idx="174">
                  <c:v>143.6</c:v>
                </c:pt>
                <c:pt idx="175">
                  <c:v>135.69999999999999</c:v>
                </c:pt>
                <c:pt idx="176">
                  <c:v>141.30000000000001</c:v>
                </c:pt>
                <c:pt idx="177">
                  <c:v>143.19999999999999</c:v>
                </c:pt>
                <c:pt idx="178">
                  <c:v>149.80000000000001</c:v>
                </c:pt>
                <c:pt idx="179">
                  <c:v>141.69999999999999</c:v>
                </c:pt>
                <c:pt idx="180">
                  <c:v>150.30000000000001</c:v>
                </c:pt>
                <c:pt idx="181">
                  <c:v>144.9</c:v>
                </c:pt>
                <c:pt idx="182">
                  <c:v>146</c:v>
                </c:pt>
                <c:pt idx="183">
                  <c:v>149.30000000000001</c:v>
                </c:pt>
                <c:pt idx="184">
                  <c:v>144</c:v>
                </c:pt>
                <c:pt idx="185">
                  <c:v>140.30000000000001</c:v>
                </c:pt>
                <c:pt idx="186">
                  <c:v>142.4</c:v>
                </c:pt>
                <c:pt idx="187">
                  <c:v>142.30000000000001</c:v>
                </c:pt>
                <c:pt idx="188">
                  <c:v>137.5</c:v>
                </c:pt>
                <c:pt idx="189">
                  <c:v>136.9</c:v>
                </c:pt>
                <c:pt idx="190">
                  <c:v>130.1</c:v>
                </c:pt>
                <c:pt idx="191">
                  <c:v>132.6</c:v>
                </c:pt>
                <c:pt idx="192">
                  <c:v>130.5</c:v>
                </c:pt>
                <c:pt idx="193">
                  <c:v>130.4</c:v>
                </c:pt>
                <c:pt idx="194">
                  <c:v>129.4</c:v>
                </c:pt>
                <c:pt idx="195">
                  <c:v>130.69999999999999</c:v>
                </c:pt>
                <c:pt idx="196">
                  <c:v>128.4</c:v>
                </c:pt>
                <c:pt idx="197">
                  <c:v>126.2</c:v>
                </c:pt>
                <c:pt idx="198">
                  <c:v>125.4</c:v>
                </c:pt>
                <c:pt idx="199">
                  <c:v>125</c:v>
                </c:pt>
                <c:pt idx="200">
                  <c:v>131.9</c:v>
                </c:pt>
                <c:pt idx="201">
                  <c:v>128.9</c:v>
                </c:pt>
                <c:pt idx="202">
                  <c:v>131.19999999999999</c:v>
                </c:pt>
                <c:pt idx="203">
                  <c:v>134.19999999999999</c:v>
                </c:pt>
                <c:pt idx="204">
                  <c:v>136.4</c:v>
                </c:pt>
                <c:pt idx="205">
                  <c:v>137.69999999999999</c:v>
                </c:pt>
                <c:pt idx="206">
                  <c:v>135.6</c:v>
                </c:pt>
                <c:pt idx="207">
                  <c:v>141.9</c:v>
                </c:pt>
                <c:pt idx="208">
                  <c:v>141.69999999999999</c:v>
                </c:pt>
                <c:pt idx="209">
                  <c:v>142.6</c:v>
                </c:pt>
                <c:pt idx="210">
                  <c:v>144</c:v>
                </c:pt>
                <c:pt idx="211">
                  <c:v>140.9</c:v>
                </c:pt>
                <c:pt idx="212">
                  <c:v>137.1</c:v>
                </c:pt>
                <c:pt idx="213">
                  <c:v>140.80000000000001</c:v>
                </c:pt>
                <c:pt idx="214">
                  <c:v>144.5</c:v>
                </c:pt>
                <c:pt idx="215">
                  <c:v>144.9</c:v>
                </c:pt>
                <c:pt idx="216">
                  <c:v>144.80000000000001</c:v>
                </c:pt>
                <c:pt idx="217">
                  <c:v>141.4</c:v>
                </c:pt>
                <c:pt idx="218">
                  <c:v>144.5</c:v>
                </c:pt>
                <c:pt idx="219">
                  <c:v>146.6</c:v>
                </c:pt>
                <c:pt idx="220">
                  <c:v>145.4</c:v>
                </c:pt>
                <c:pt idx="221">
                  <c:v>148.19999999999999</c:v>
                </c:pt>
                <c:pt idx="222">
                  <c:v>147.69999999999999</c:v>
                </c:pt>
                <c:pt idx="223">
                  <c:v>145.30000000000001</c:v>
                </c:pt>
                <c:pt idx="224">
                  <c:v>144.30000000000001</c:v>
                </c:pt>
                <c:pt idx="225">
                  <c:v>144.1</c:v>
                </c:pt>
                <c:pt idx="226">
                  <c:v>140.30000000000001</c:v>
                </c:pt>
                <c:pt idx="227">
                  <c:v>141.5</c:v>
                </c:pt>
                <c:pt idx="228">
                  <c:v>133</c:v>
                </c:pt>
                <c:pt idx="229">
                  <c:v>136.30000000000001</c:v>
                </c:pt>
                <c:pt idx="230">
                  <c:v>135.69999999999999</c:v>
                </c:pt>
                <c:pt idx="231">
                  <c:v>132.19999999999999</c:v>
                </c:pt>
                <c:pt idx="232">
                  <c:v>134.5</c:v>
                </c:pt>
                <c:pt idx="233">
                  <c:v>129.5</c:v>
                </c:pt>
                <c:pt idx="234">
                  <c:v>127.4</c:v>
                </c:pt>
                <c:pt idx="235">
                  <c:v>124.6</c:v>
                </c:pt>
                <c:pt idx="236">
                  <c:v>126.8</c:v>
                </c:pt>
                <c:pt idx="237">
                  <c:v>126.5</c:v>
                </c:pt>
                <c:pt idx="238">
                  <c:v>120.2</c:v>
                </c:pt>
                <c:pt idx="239">
                  <c:v>112.9</c:v>
                </c:pt>
                <c:pt idx="240">
                  <c:v>109</c:v>
                </c:pt>
                <c:pt idx="241">
                  <c:v>117.2</c:v>
                </c:pt>
                <c:pt idx="242">
                  <c:v>111.2</c:v>
                </c:pt>
                <c:pt idx="243">
                  <c:v>106.4</c:v>
                </c:pt>
                <c:pt idx="244">
                  <c:v>90.4</c:v>
                </c:pt>
                <c:pt idx="245">
                  <c:v>88.4</c:v>
                </c:pt>
                <c:pt idx="246">
                  <c:v>90.1</c:v>
                </c:pt>
                <c:pt idx="247">
                  <c:v>92.1</c:v>
                </c:pt>
                <c:pt idx="248">
                  <c:v>93.1</c:v>
                </c:pt>
                <c:pt idx="249">
                  <c:v>97.8</c:v>
                </c:pt>
                <c:pt idx="250">
                  <c:v>100.9</c:v>
                </c:pt>
                <c:pt idx="251">
                  <c:v>103.5</c:v>
                </c:pt>
                <c:pt idx="252">
                  <c:v>115.7</c:v>
                </c:pt>
                <c:pt idx="253">
                  <c:v>113.7</c:v>
                </c:pt>
                <c:pt idx="254">
                  <c:v>114.8</c:v>
                </c:pt>
                <c:pt idx="255">
                  <c:v>121.3</c:v>
                </c:pt>
                <c:pt idx="256">
                  <c:v>122.7</c:v>
                </c:pt>
                <c:pt idx="257">
                  <c:v>131.4</c:v>
                </c:pt>
                <c:pt idx="258">
                  <c:v>132.9</c:v>
                </c:pt>
                <c:pt idx="259">
                  <c:v>140</c:v>
                </c:pt>
                <c:pt idx="260">
                  <c:v>136.30000000000001</c:v>
                </c:pt>
                <c:pt idx="261">
                  <c:v>134.80000000000001</c:v>
                </c:pt>
                <c:pt idx="262">
                  <c:v>137</c:v>
                </c:pt>
                <c:pt idx="263">
                  <c:v>143.80000000000001</c:v>
                </c:pt>
                <c:pt idx="264">
                  <c:v>149.69999999999999</c:v>
                </c:pt>
                <c:pt idx="265">
                  <c:v>149.1</c:v>
                </c:pt>
                <c:pt idx="266">
                  <c:v>149.5</c:v>
                </c:pt>
                <c:pt idx="267">
                  <c:v>147.19999999999999</c:v>
                </c:pt>
                <c:pt idx="268">
                  <c:v>152.19999999999999</c:v>
                </c:pt>
                <c:pt idx="269">
                  <c:v>151.69999999999999</c:v>
                </c:pt>
                <c:pt idx="270">
                  <c:v>158.30000000000001</c:v>
                </c:pt>
                <c:pt idx="271">
                  <c:v>155.4</c:v>
                </c:pt>
                <c:pt idx="272">
                  <c:v>160</c:v>
                </c:pt>
                <c:pt idx="273">
                  <c:v>148.4</c:v>
                </c:pt>
                <c:pt idx="274">
                  <c:v>154.5</c:v>
                </c:pt>
                <c:pt idx="275">
                  <c:v>148.9</c:v>
                </c:pt>
                <c:pt idx="276">
                  <c:v>150.9</c:v>
                </c:pt>
                <c:pt idx="277">
                  <c:v>149.30000000000001</c:v>
                </c:pt>
                <c:pt idx="278">
                  <c:v>144.80000000000001</c:v>
                </c:pt>
                <c:pt idx="279">
                  <c:v>141</c:v>
                </c:pt>
                <c:pt idx="280">
                  <c:v>139.30000000000001</c:v>
                </c:pt>
                <c:pt idx="281">
                  <c:v>140.6</c:v>
                </c:pt>
                <c:pt idx="282">
                  <c:v>135.4</c:v>
                </c:pt>
                <c:pt idx="283">
                  <c:v>129.9</c:v>
                </c:pt>
                <c:pt idx="284">
                  <c:v>129</c:v>
                </c:pt>
                <c:pt idx="285">
                  <c:v>128.80000000000001</c:v>
                </c:pt>
                <c:pt idx="286">
                  <c:v>126</c:v>
                </c:pt>
                <c:pt idx="287">
                  <c:v>128.9</c:v>
                </c:pt>
                <c:pt idx="288">
                  <c:v>124.3</c:v>
                </c:pt>
                <c:pt idx="289">
                  <c:v>128.6</c:v>
                </c:pt>
                <c:pt idx="290">
                  <c:v>131.4</c:v>
                </c:pt>
                <c:pt idx="291">
                  <c:v>134.9</c:v>
                </c:pt>
                <c:pt idx="292">
                  <c:v>136</c:v>
                </c:pt>
                <c:pt idx="293">
                  <c:v>134.9</c:v>
                </c:pt>
                <c:pt idx="294">
                  <c:v>130.4</c:v>
                </c:pt>
                <c:pt idx="295">
                  <c:v>132.9</c:v>
                </c:pt>
                <c:pt idx="296">
                  <c:v>138.4</c:v>
                </c:pt>
                <c:pt idx="297">
                  <c:v>148</c:v>
                </c:pt>
                <c:pt idx="298">
                  <c:v>141.5</c:v>
                </c:pt>
                <c:pt idx="299">
                  <c:v>140.4</c:v>
                </c:pt>
                <c:pt idx="300">
                  <c:v>147.5</c:v>
                </c:pt>
                <c:pt idx="301">
                  <c:v>149.1</c:v>
                </c:pt>
                <c:pt idx="302">
                  <c:v>152.4</c:v>
                </c:pt>
                <c:pt idx="303">
                  <c:v>139.5</c:v>
                </c:pt>
                <c:pt idx="304">
                  <c:v>139.80000000000001</c:v>
                </c:pt>
                <c:pt idx="305">
                  <c:v>138.5</c:v>
                </c:pt>
                <c:pt idx="306">
                  <c:v>133.9</c:v>
                </c:pt>
                <c:pt idx="307">
                  <c:v>133</c:v>
                </c:pt>
                <c:pt idx="308">
                  <c:v>132.30000000000001</c:v>
                </c:pt>
                <c:pt idx="309">
                  <c:v>133</c:v>
                </c:pt>
                <c:pt idx="310">
                  <c:v>138.4</c:v>
                </c:pt>
                <c:pt idx="311">
                  <c:v>130.5</c:v>
                </c:pt>
                <c:pt idx="312">
                  <c:v>141</c:v>
                </c:pt>
                <c:pt idx="313">
                  <c:v>144.69999999999999</c:v>
                </c:pt>
                <c:pt idx="314">
                  <c:v>145.69999999999999</c:v>
                </c:pt>
              </c:numCache>
            </c:numRef>
          </c:val>
          <c:smooth val="0"/>
          <c:extLst>
            <c:ext xmlns:c16="http://schemas.microsoft.com/office/drawing/2014/chart" uri="{C3380CC4-5D6E-409C-BE32-E72D297353CC}">
              <c16:uniqueId val="{00000001-5765-40D9-8186-8B0F419287BF}"/>
            </c:ext>
          </c:extLst>
        </c:ser>
        <c:ser>
          <c:idx val="2"/>
          <c:order val="2"/>
          <c:tx>
            <c:v>目盛</c:v>
          </c:tx>
          <c:spPr>
            <a:ln w="12700">
              <a:solidFill>
                <a:srgbClr val="000000"/>
              </a:solidFill>
              <a:prstDash val="solid"/>
            </a:ln>
          </c:spPr>
          <c:marker>
            <c:symbol val="none"/>
          </c:marker>
          <c:cat>
            <c:strRef>
              <c:f>グラフデータ!$A$88:$A$411</c:f>
              <c:strCache>
                <c:ptCount val="313"/>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pt idx="312">
                  <c:v>8</c:v>
                </c:pt>
              </c:strCache>
            </c:strRef>
          </c:cat>
          <c:val>
            <c:numRef>
              <c:f>グラフデータ!$H$88:$H$411</c:f>
              <c:numCache>
                <c:formatCode>0.0</c:formatCode>
                <c:ptCount val="3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pt idx="312">
                  <c:v>100</c:v>
                </c:pt>
                <c:pt idx="313">
                  <c:v>100</c:v>
                </c:pt>
                <c:pt idx="314">
                  <c:v>100</c:v>
                </c:pt>
                <c:pt idx="315">
                  <c:v>100</c:v>
                </c:pt>
                <c:pt idx="316">
                  <c:v>100</c:v>
                </c:pt>
                <c:pt idx="317">
                  <c:v>100</c:v>
                </c:pt>
                <c:pt idx="318">
                  <c:v>100</c:v>
                </c:pt>
                <c:pt idx="319">
                  <c:v>100</c:v>
                </c:pt>
                <c:pt idx="320">
                  <c:v>100</c:v>
                </c:pt>
                <c:pt idx="321">
                  <c:v>100</c:v>
                </c:pt>
                <c:pt idx="322">
                  <c:v>100</c:v>
                </c:pt>
                <c:pt idx="323">
                  <c:v>100</c:v>
                </c:pt>
              </c:numCache>
            </c:numRef>
          </c:val>
          <c:smooth val="0"/>
          <c:extLst>
            <c:ext xmlns:c16="http://schemas.microsoft.com/office/drawing/2014/chart" uri="{C3380CC4-5D6E-409C-BE32-E72D297353CC}">
              <c16:uniqueId val="{00000002-5765-40D9-8186-8B0F419287BF}"/>
            </c:ext>
          </c:extLst>
        </c:ser>
        <c:dLbls>
          <c:showLegendKey val="0"/>
          <c:showVal val="0"/>
          <c:showCatName val="0"/>
          <c:showSerName val="0"/>
          <c:showPercent val="0"/>
          <c:showBubbleSize val="0"/>
        </c:dLbls>
        <c:marker val="1"/>
        <c:smooth val="0"/>
        <c:axId val="556598920"/>
        <c:axId val="1"/>
      </c:lineChart>
      <c:catAx>
        <c:axId val="5565989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0"/>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8920"/>
        <c:crosses val="autoZero"/>
        <c:crossBetween val="midCat"/>
        <c:majorUnit val="10"/>
        <c:minorUnit val="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241962018401089E-2"/>
          <c:y val="5.7120245717463269E-2"/>
          <c:w val="0.89190657335677703"/>
          <c:h val="0.73471088534139617"/>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グラフデータ!$G$88:$G$411</c:f>
              <c:numCache>
                <c:formatCode>0.0</c:formatCode>
                <c:ptCount val="324"/>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8998-43CC-8DAB-3F1F1AE0575C}"/>
            </c:ext>
          </c:extLst>
        </c:ser>
        <c:dLbls>
          <c:showLegendKey val="0"/>
          <c:showVal val="0"/>
          <c:showCatName val="0"/>
          <c:showSerName val="0"/>
          <c:showPercent val="0"/>
          <c:showBubbleSize val="0"/>
        </c:dLbls>
        <c:gapWidth val="0"/>
        <c:axId val="556599576"/>
        <c:axId val="1"/>
      </c:barChart>
      <c:lineChart>
        <c:grouping val="standard"/>
        <c:varyColors val="0"/>
        <c:ser>
          <c:idx val="0"/>
          <c:order val="0"/>
          <c:tx>
            <c:strRef>
              <c:f>グラフデータ!$F$2</c:f>
              <c:strCache>
                <c:ptCount val="1"/>
                <c:pt idx="0">
                  <c:v>遅行指数</c:v>
                </c:pt>
              </c:strCache>
            </c:strRef>
          </c:tx>
          <c:spPr>
            <a:ln w="12700">
              <a:solidFill>
                <a:srgbClr val="000080"/>
              </a:solidFill>
              <a:prstDash val="solid"/>
            </a:ln>
          </c:spPr>
          <c:marker>
            <c:symbol val="none"/>
          </c:marker>
          <c:cat>
            <c:strRef>
              <c:f>グラフデータ!$A$88:$A$411</c:f>
              <c:strCache>
                <c:ptCount val="313"/>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pt idx="312">
                  <c:v>8</c:v>
                </c:pt>
              </c:strCache>
            </c:strRef>
          </c:cat>
          <c:val>
            <c:numRef>
              <c:f>グラフデータ!$F$88:$F$411</c:f>
              <c:numCache>
                <c:formatCode>0.0</c:formatCode>
                <c:ptCount val="324"/>
                <c:pt idx="0">
                  <c:v>85.7</c:v>
                </c:pt>
                <c:pt idx="1">
                  <c:v>85.7</c:v>
                </c:pt>
                <c:pt idx="2">
                  <c:v>85.9</c:v>
                </c:pt>
                <c:pt idx="3">
                  <c:v>87</c:v>
                </c:pt>
                <c:pt idx="4">
                  <c:v>89.1</c:v>
                </c:pt>
                <c:pt idx="5">
                  <c:v>88.5</c:v>
                </c:pt>
                <c:pt idx="6">
                  <c:v>89.4</c:v>
                </c:pt>
                <c:pt idx="7">
                  <c:v>88.2</c:v>
                </c:pt>
                <c:pt idx="8">
                  <c:v>88.1</c:v>
                </c:pt>
                <c:pt idx="9">
                  <c:v>87.8</c:v>
                </c:pt>
                <c:pt idx="10">
                  <c:v>89.7</c:v>
                </c:pt>
                <c:pt idx="11">
                  <c:v>89.5</c:v>
                </c:pt>
                <c:pt idx="12">
                  <c:v>89.1</c:v>
                </c:pt>
                <c:pt idx="13">
                  <c:v>89.2</c:v>
                </c:pt>
                <c:pt idx="14">
                  <c:v>87.5</c:v>
                </c:pt>
                <c:pt idx="15">
                  <c:v>86</c:v>
                </c:pt>
                <c:pt idx="16">
                  <c:v>87.5</c:v>
                </c:pt>
                <c:pt idx="17">
                  <c:v>85.4</c:v>
                </c:pt>
                <c:pt idx="18">
                  <c:v>79.7</c:v>
                </c:pt>
                <c:pt idx="19">
                  <c:v>79.400000000000006</c:v>
                </c:pt>
                <c:pt idx="20">
                  <c:v>79</c:v>
                </c:pt>
                <c:pt idx="21">
                  <c:v>76.5</c:v>
                </c:pt>
                <c:pt idx="22">
                  <c:v>75.3</c:v>
                </c:pt>
                <c:pt idx="23">
                  <c:v>76</c:v>
                </c:pt>
                <c:pt idx="24">
                  <c:v>75.8</c:v>
                </c:pt>
                <c:pt idx="25">
                  <c:v>75.400000000000006</c:v>
                </c:pt>
                <c:pt idx="26">
                  <c:v>76.5</c:v>
                </c:pt>
                <c:pt idx="27">
                  <c:v>75.3</c:v>
                </c:pt>
                <c:pt idx="28">
                  <c:v>77.2</c:v>
                </c:pt>
                <c:pt idx="29">
                  <c:v>76.3</c:v>
                </c:pt>
                <c:pt idx="30">
                  <c:v>75</c:v>
                </c:pt>
                <c:pt idx="31">
                  <c:v>75.900000000000006</c:v>
                </c:pt>
                <c:pt idx="32">
                  <c:v>76.599999999999994</c:v>
                </c:pt>
                <c:pt idx="33">
                  <c:v>75.2</c:v>
                </c:pt>
                <c:pt idx="34">
                  <c:v>79.2</c:v>
                </c:pt>
                <c:pt idx="35">
                  <c:v>78</c:v>
                </c:pt>
                <c:pt idx="36">
                  <c:v>80.2</c:v>
                </c:pt>
                <c:pt idx="37">
                  <c:v>80.900000000000006</c:v>
                </c:pt>
                <c:pt idx="38">
                  <c:v>80.400000000000006</c:v>
                </c:pt>
                <c:pt idx="39">
                  <c:v>79.400000000000006</c:v>
                </c:pt>
                <c:pt idx="40">
                  <c:v>77.7</c:v>
                </c:pt>
                <c:pt idx="41">
                  <c:v>81.599999999999994</c:v>
                </c:pt>
                <c:pt idx="42">
                  <c:v>85.2</c:v>
                </c:pt>
                <c:pt idx="43">
                  <c:v>83.2</c:v>
                </c:pt>
                <c:pt idx="44">
                  <c:v>84.3</c:v>
                </c:pt>
                <c:pt idx="45">
                  <c:v>84.5</c:v>
                </c:pt>
                <c:pt idx="46">
                  <c:v>84.8</c:v>
                </c:pt>
                <c:pt idx="47">
                  <c:v>85.7</c:v>
                </c:pt>
                <c:pt idx="48">
                  <c:v>86.8</c:v>
                </c:pt>
                <c:pt idx="49">
                  <c:v>87.2</c:v>
                </c:pt>
                <c:pt idx="50">
                  <c:v>88.8</c:v>
                </c:pt>
                <c:pt idx="51">
                  <c:v>88.8</c:v>
                </c:pt>
                <c:pt idx="52">
                  <c:v>90.2</c:v>
                </c:pt>
                <c:pt idx="53">
                  <c:v>89.7</c:v>
                </c:pt>
                <c:pt idx="54">
                  <c:v>91.3</c:v>
                </c:pt>
                <c:pt idx="55">
                  <c:v>91.7</c:v>
                </c:pt>
                <c:pt idx="56">
                  <c:v>92.2</c:v>
                </c:pt>
                <c:pt idx="57">
                  <c:v>91.7</c:v>
                </c:pt>
                <c:pt idx="58">
                  <c:v>89.6</c:v>
                </c:pt>
                <c:pt idx="59">
                  <c:v>91.4</c:v>
                </c:pt>
                <c:pt idx="60">
                  <c:v>93.1</c:v>
                </c:pt>
                <c:pt idx="61">
                  <c:v>89.5</c:v>
                </c:pt>
                <c:pt idx="62">
                  <c:v>90.3</c:v>
                </c:pt>
                <c:pt idx="63">
                  <c:v>90.9</c:v>
                </c:pt>
                <c:pt idx="64">
                  <c:v>91</c:v>
                </c:pt>
                <c:pt idx="65">
                  <c:v>90.7</c:v>
                </c:pt>
                <c:pt idx="66">
                  <c:v>90.3</c:v>
                </c:pt>
                <c:pt idx="67">
                  <c:v>90.9</c:v>
                </c:pt>
                <c:pt idx="68">
                  <c:v>90.6</c:v>
                </c:pt>
                <c:pt idx="69">
                  <c:v>91.3</c:v>
                </c:pt>
                <c:pt idx="70">
                  <c:v>91.5</c:v>
                </c:pt>
                <c:pt idx="71">
                  <c:v>91.8</c:v>
                </c:pt>
                <c:pt idx="72">
                  <c:v>93.2</c:v>
                </c:pt>
                <c:pt idx="73">
                  <c:v>94.2</c:v>
                </c:pt>
                <c:pt idx="74">
                  <c:v>96.4</c:v>
                </c:pt>
                <c:pt idx="75">
                  <c:v>97.2</c:v>
                </c:pt>
                <c:pt idx="76">
                  <c:v>97.5</c:v>
                </c:pt>
                <c:pt idx="77">
                  <c:v>95.5</c:v>
                </c:pt>
                <c:pt idx="78">
                  <c:v>95.9</c:v>
                </c:pt>
                <c:pt idx="79">
                  <c:v>97.2</c:v>
                </c:pt>
                <c:pt idx="80">
                  <c:v>99.5</c:v>
                </c:pt>
                <c:pt idx="81">
                  <c:v>96.8</c:v>
                </c:pt>
                <c:pt idx="82">
                  <c:v>99.4</c:v>
                </c:pt>
                <c:pt idx="83">
                  <c:v>102.5</c:v>
                </c:pt>
                <c:pt idx="84">
                  <c:v>95.2</c:v>
                </c:pt>
                <c:pt idx="85">
                  <c:v>95.1</c:v>
                </c:pt>
                <c:pt idx="86">
                  <c:v>98.4</c:v>
                </c:pt>
                <c:pt idx="87">
                  <c:v>95.2</c:v>
                </c:pt>
                <c:pt idx="88">
                  <c:v>98.5</c:v>
                </c:pt>
                <c:pt idx="89">
                  <c:v>99.7</c:v>
                </c:pt>
                <c:pt idx="90">
                  <c:v>99.4</c:v>
                </c:pt>
                <c:pt idx="91">
                  <c:v>100</c:v>
                </c:pt>
                <c:pt idx="92">
                  <c:v>98.8</c:v>
                </c:pt>
                <c:pt idx="93">
                  <c:v>99.7</c:v>
                </c:pt>
                <c:pt idx="94">
                  <c:v>102.3</c:v>
                </c:pt>
                <c:pt idx="95">
                  <c:v>102.7</c:v>
                </c:pt>
                <c:pt idx="96">
                  <c:v>99.9</c:v>
                </c:pt>
                <c:pt idx="97">
                  <c:v>102.9</c:v>
                </c:pt>
                <c:pt idx="98">
                  <c:v>106.6</c:v>
                </c:pt>
                <c:pt idx="99">
                  <c:v>104.3</c:v>
                </c:pt>
                <c:pt idx="100">
                  <c:v>104.2</c:v>
                </c:pt>
                <c:pt idx="101">
                  <c:v>106.3</c:v>
                </c:pt>
                <c:pt idx="102">
                  <c:v>106.7</c:v>
                </c:pt>
                <c:pt idx="103">
                  <c:v>103.9</c:v>
                </c:pt>
                <c:pt idx="104">
                  <c:v>104.2</c:v>
                </c:pt>
                <c:pt idx="105">
                  <c:v>102.3</c:v>
                </c:pt>
                <c:pt idx="106">
                  <c:v>98.5</c:v>
                </c:pt>
                <c:pt idx="107">
                  <c:v>94.8</c:v>
                </c:pt>
                <c:pt idx="108">
                  <c:v>91.1</c:v>
                </c:pt>
                <c:pt idx="109">
                  <c:v>85</c:v>
                </c:pt>
                <c:pt idx="110">
                  <c:v>82.3</c:v>
                </c:pt>
                <c:pt idx="111">
                  <c:v>80.8</c:v>
                </c:pt>
                <c:pt idx="112">
                  <c:v>76.2</c:v>
                </c:pt>
                <c:pt idx="113">
                  <c:v>75.400000000000006</c:v>
                </c:pt>
                <c:pt idx="114">
                  <c:v>72</c:v>
                </c:pt>
                <c:pt idx="115">
                  <c:v>73.599999999999994</c:v>
                </c:pt>
                <c:pt idx="116">
                  <c:v>72.8</c:v>
                </c:pt>
                <c:pt idx="117">
                  <c:v>76.900000000000006</c:v>
                </c:pt>
                <c:pt idx="118">
                  <c:v>76.099999999999994</c:v>
                </c:pt>
                <c:pt idx="119">
                  <c:v>76.7</c:v>
                </c:pt>
                <c:pt idx="120">
                  <c:v>78.7</c:v>
                </c:pt>
                <c:pt idx="121">
                  <c:v>81</c:v>
                </c:pt>
                <c:pt idx="122">
                  <c:v>82.8</c:v>
                </c:pt>
                <c:pt idx="123">
                  <c:v>81.2</c:v>
                </c:pt>
                <c:pt idx="124" formatCode="General">
                  <c:v>80.5</c:v>
                </c:pt>
                <c:pt idx="125" formatCode="General">
                  <c:v>81.900000000000006</c:v>
                </c:pt>
                <c:pt idx="126" formatCode="General">
                  <c:v>86.5</c:v>
                </c:pt>
                <c:pt idx="127" formatCode="General">
                  <c:v>84.1</c:v>
                </c:pt>
                <c:pt idx="128" formatCode="General">
                  <c:v>86.3</c:v>
                </c:pt>
                <c:pt idx="129">
                  <c:v>88.1</c:v>
                </c:pt>
                <c:pt idx="130" formatCode="General">
                  <c:v>91.1</c:v>
                </c:pt>
                <c:pt idx="131" formatCode="General">
                  <c:v>94.2</c:v>
                </c:pt>
                <c:pt idx="132">
                  <c:v>93.2</c:v>
                </c:pt>
                <c:pt idx="133">
                  <c:v>93.1</c:v>
                </c:pt>
                <c:pt idx="134">
                  <c:v>78.099999999999994</c:v>
                </c:pt>
                <c:pt idx="135">
                  <c:v>84.4</c:v>
                </c:pt>
                <c:pt idx="136" formatCode="General">
                  <c:v>89</c:v>
                </c:pt>
                <c:pt idx="137" formatCode="General">
                  <c:v>86.8</c:v>
                </c:pt>
                <c:pt idx="138" formatCode="General">
                  <c:v>90.8</c:v>
                </c:pt>
                <c:pt idx="139" formatCode="General">
                  <c:v>95</c:v>
                </c:pt>
                <c:pt idx="140" formatCode="General">
                  <c:v>93.7</c:v>
                </c:pt>
                <c:pt idx="141">
                  <c:v>91.6</c:v>
                </c:pt>
                <c:pt idx="142" formatCode="General">
                  <c:v>90.3</c:v>
                </c:pt>
                <c:pt idx="143" formatCode="General">
                  <c:v>92.9</c:v>
                </c:pt>
                <c:pt idx="144" formatCode="General">
                  <c:v>94.6</c:v>
                </c:pt>
                <c:pt idx="145" formatCode="General">
                  <c:v>95.2</c:v>
                </c:pt>
                <c:pt idx="146" formatCode="General">
                  <c:v>97.4</c:v>
                </c:pt>
                <c:pt idx="147" formatCode="General">
                  <c:v>97.9</c:v>
                </c:pt>
                <c:pt idx="148" formatCode="General">
                  <c:v>101</c:v>
                </c:pt>
                <c:pt idx="149" formatCode="General">
                  <c:v>100.7</c:v>
                </c:pt>
                <c:pt idx="150" formatCode="General">
                  <c:v>98.9</c:v>
                </c:pt>
                <c:pt idx="151">
                  <c:v>98.2</c:v>
                </c:pt>
                <c:pt idx="152">
                  <c:v>99.8</c:v>
                </c:pt>
                <c:pt idx="153">
                  <c:v>98.2</c:v>
                </c:pt>
                <c:pt idx="154">
                  <c:v>98.1</c:v>
                </c:pt>
                <c:pt idx="155">
                  <c:v>97.9</c:v>
                </c:pt>
                <c:pt idx="156">
                  <c:v>96.2</c:v>
                </c:pt>
                <c:pt idx="157">
                  <c:v>98.9</c:v>
                </c:pt>
                <c:pt idx="158">
                  <c:v>103</c:v>
                </c:pt>
                <c:pt idx="159">
                  <c:v>99.4</c:v>
                </c:pt>
                <c:pt idx="160">
                  <c:v>102.2</c:v>
                </c:pt>
                <c:pt idx="161">
                  <c:v>105.8</c:v>
                </c:pt>
                <c:pt idx="162">
                  <c:v>105.7</c:v>
                </c:pt>
                <c:pt idx="163">
                  <c:v>106.5</c:v>
                </c:pt>
                <c:pt idx="164">
                  <c:v>107.4</c:v>
                </c:pt>
                <c:pt idx="165">
                  <c:v>107</c:v>
                </c:pt>
                <c:pt idx="166">
                  <c:v>110.2</c:v>
                </c:pt>
                <c:pt idx="167">
                  <c:v>111.1</c:v>
                </c:pt>
                <c:pt idx="168">
                  <c:v>112</c:v>
                </c:pt>
                <c:pt idx="169">
                  <c:v>112.4</c:v>
                </c:pt>
                <c:pt idx="170">
                  <c:v>106.6</c:v>
                </c:pt>
                <c:pt idx="171">
                  <c:v>108.7</c:v>
                </c:pt>
                <c:pt idx="172">
                  <c:v>114.2</c:v>
                </c:pt>
                <c:pt idx="173">
                  <c:v>114.8</c:v>
                </c:pt>
                <c:pt idx="174">
                  <c:v>114.8</c:v>
                </c:pt>
                <c:pt idx="175">
                  <c:v>114.5</c:v>
                </c:pt>
                <c:pt idx="176">
                  <c:v>115.3</c:v>
                </c:pt>
                <c:pt idx="177">
                  <c:v>115.3</c:v>
                </c:pt>
                <c:pt idx="178">
                  <c:v>113.6</c:v>
                </c:pt>
                <c:pt idx="179">
                  <c:v>109.9</c:v>
                </c:pt>
                <c:pt idx="180">
                  <c:v>102.3</c:v>
                </c:pt>
                <c:pt idx="181">
                  <c:v>106.6</c:v>
                </c:pt>
                <c:pt idx="182">
                  <c:v>105.8</c:v>
                </c:pt>
                <c:pt idx="183">
                  <c:v>105.6</c:v>
                </c:pt>
                <c:pt idx="184">
                  <c:v>104.9</c:v>
                </c:pt>
                <c:pt idx="185">
                  <c:v>102.6</c:v>
                </c:pt>
                <c:pt idx="186">
                  <c:v>100.4</c:v>
                </c:pt>
                <c:pt idx="187">
                  <c:v>100.9</c:v>
                </c:pt>
                <c:pt idx="188">
                  <c:v>97.1</c:v>
                </c:pt>
                <c:pt idx="189">
                  <c:v>101.4</c:v>
                </c:pt>
                <c:pt idx="190">
                  <c:v>97.6</c:v>
                </c:pt>
                <c:pt idx="191">
                  <c:v>100.3</c:v>
                </c:pt>
                <c:pt idx="192">
                  <c:v>101.6</c:v>
                </c:pt>
                <c:pt idx="193">
                  <c:v>101.5</c:v>
                </c:pt>
                <c:pt idx="194">
                  <c:v>101.2</c:v>
                </c:pt>
                <c:pt idx="195">
                  <c:v>99.8</c:v>
                </c:pt>
                <c:pt idx="196">
                  <c:v>99</c:v>
                </c:pt>
                <c:pt idx="197">
                  <c:v>97.4</c:v>
                </c:pt>
                <c:pt idx="198">
                  <c:v>99.8</c:v>
                </c:pt>
                <c:pt idx="199">
                  <c:v>97.8</c:v>
                </c:pt>
                <c:pt idx="200">
                  <c:v>98.1</c:v>
                </c:pt>
                <c:pt idx="201">
                  <c:v>99.8</c:v>
                </c:pt>
                <c:pt idx="202">
                  <c:v>101.1</c:v>
                </c:pt>
                <c:pt idx="203">
                  <c:v>101.2</c:v>
                </c:pt>
                <c:pt idx="204">
                  <c:v>101</c:v>
                </c:pt>
                <c:pt idx="205">
                  <c:v>101.4</c:v>
                </c:pt>
                <c:pt idx="206">
                  <c:v>100.5</c:v>
                </c:pt>
                <c:pt idx="207">
                  <c:v>102.5</c:v>
                </c:pt>
                <c:pt idx="208">
                  <c:v>98.7</c:v>
                </c:pt>
                <c:pt idx="209">
                  <c:v>100.6</c:v>
                </c:pt>
                <c:pt idx="210">
                  <c:v>100.2</c:v>
                </c:pt>
                <c:pt idx="211">
                  <c:v>100.1</c:v>
                </c:pt>
                <c:pt idx="212">
                  <c:v>100.6</c:v>
                </c:pt>
                <c:pt idx="213">
                  <c:v>99.2</c:v>
                </c:pt>
                <c:pt idx="214">
                  <c:v>100.6</c:v>
                </c:pt>
                <c:pt idx="215">
                  <c:v>103.3</c:v>
                </c:pt>
                <c:pt idx="216">
                  <c:v>104.9</c:v>
                </c:pt>
                <c:pt idx="217">
                  <c:v>102.9</c:v>
                </c:pt>
                <c:pt idx="218">
                  <c:v>102.7</c:v>
                </c:pt>
                <c:pt idx="219">
                  <c:v>99.1</c:v>
                </c:pt>
                <c:pt idx="220">
                  <c:v>103.3</c:v>
                </c:pt>
                <c:pt idx="221">
                  <c:v>103.1</c:v>
                </c:pt>
                <c:pt idx="222">
                  <c:v>104.8</c:v>
                </c:pt>
                <c:pt idx="223">
                  <c:v>101.6</c:v>
                </c:pt>
                <c:pt idx="224">
                  <c:v>99.8</c:v>
                </c:pt>
                <c:pt idx="225">
                  <c:v>98.7</c:v>
                </c:pt>
                <c:pt idx="226">
                  <c:v>98.3</c:v>
                </c:pt>
                <c:pt idx="227">
                  <c:v>99.2</c:v>
                </c:pt>
                <c:pt idx="228">
                  <c:v>94.8</c:v>
                </c:pt>
                <c:pt idx="229">
                  <c:v>96.2</c:v>
                </c:pt>
                <c:pt idx="230">
                  <c:v>96.7</c:v>
                </c:pt>
                <c:pt idx="231">
                  <c:v>95</c:v>
                </c:pt>
                <c:pt idx="232">
                  <c:v>101.2</c:v>
                </c:pt>
                <c:pt idx="233">
                  <c:v>103.7</c:v>
                </c:pt>
                <c:pt idx="234">
                  <c:v>97.2</c:v>
                </c:pt>
                <c:pt idx="235">
                  <c:v>103</c:v>
                </c:pt>
                <c:pt idx="236">
                  <c:v>103.7</c:v>
                </c:pt>
                <c:pt idx="237">
                  <c:v>100.1</c:v>
                </c:pt>
                <c:pt idx="238">
                  <c:v>101.2</c:v>
                </c:pt>
                <c:pt idx="239">
                  <c:v>102.5</c:v>
                </c:pt>
                <c:pt idx="240">
                  <c:v>103.7</c:v>
                </c:pt>
                <c:pt idx="241">
                  <c:v>103.5</c:v>
                </c:pt>
                <c:pt idx="242">
                  <c:v>100.8</c:v>
                </c:pt>
                <c:pt idx="243">
                  <c:v>101</c:v>
                </c:pt>
                <c:pt idx="244">
                  <c:v>97.5</c:v>
                </c:pt>
                <c:pt idx="245">
                  <c:v>102.2</c:v>
                </c:pt>
                <c:pt idx="246">
                  <c:v>103</c:v>
                </c:pt>
                <c:pt idx="247">
                  <c:v>97.6</c:v>
                </c:pt>
                <c:pt idx="248">
                  <c:v>99</c:v>
                </c:pt>
                <c:pt idx="249">
                  <c:v>99.8</c:v>
                </c:pt>
                <c:pt idx="250">
                  <c:v>97.8</c:v>
                </c:pt>
                <c:pt idx="251">
                  <c:v>94.2</c:v>
                </c:pt>
                <c:pt idx="252">
                  <c:v>98.3</c:v>
                </c:pt>
                <c:pt idx="253">
                  <c:v>97</c:v>
                </c:pt>
                <c:pt idx="254">
                  <c:v>103.2</c:v>
                </c:pt>
                <c:pt idx="255">
                  <c:v>105.3</c:v>
                </c:pt>
                <c:pt idx="256">
                  <c:v>102.5</c:v>
                </c:pt>
                <c:pt idx="257">
                  <c:v>103.7</c:v>
                </c:pt>
                <c:pt idx="258">
                  <c:v>101.4</c:v>
                </c:pt>
                <c:pt idx="259">
                  <c:v>101.7</c:v>
                </c:pt>
                <c:pt idx="260">
                  <c:v>101.8</c:v>
                </c:pt>
                <c:pt idx="261">
                  <c:v>104</c:v>
                </c:pt>
                <c:pt idx="262">
                  <c:v>104.6</c:v>
                </c:pt>
                <c:pt idx="263">
                  <c:v>105.3</c:v>
                </c:pt>
                <c:pt idx="264">
                  <c:v>105.9</c:v>
                </c:pt>
                <c:pt idx="265">
                  <c:v>102.5</c:v>
                </c:pt>
                <c:pt idx="266">
                  <c:v>110.6</c:v>
                </c:pt>
                <c:pt idx="267">
                  <c:v>107.4</c:v>
                </c:pt>
                <c:pt idx="268">
                  <c:v>117.5</c:v>
                </c:pt>
                <c:pt idx="269">
                  <c:v>113.8</c:v>
                </c:pt>
                <c:pt idx="270">
                  <c:v>121</c:v>
                </c:pt>
                <c:pt idx="271">
                  <c:v>117.2</c:v>
                </c:pt>
                <c:pt idx="272">
                  <c:v>118.9</c:v>
                </c:pt>
                <c:pt idx="273">
                  <c:v>118.3</c:v>
                </c:pt>
                <c:pt idx="274">
                  <c:v>120.9</c:v>
                </c:pt>
                <c:pt idx="275">
                  <c:v>125.4</c:v>
                </c:pt>
                <c:pt idx="276">
                  <c:v>126.3</c:v>
                </c:pt>
                <c:pt idx="277">
                  <c:v>125.9</c:v>
                </c:pt>
                <c:pt idx="278">
                  <c:v>124.1</c:v>
                </c:pt>
                <c:pt idx="279">
                  <c:v>123.5</c:v>
                </c:pt>
                <c:pt idx="280">
                  <c:v>121.8</c:v>
                </c:pt>
                <c:pt idx="281">
                  <c:v>119.8</c:v>
                </c:pt>
                <c:pt idx="282">
                  <c:v>123.5</c:v>
                </c:pt>
                <c:pt idx="283">
                  <c:v>126.6</c:v>
                </c:pt>
                <c:pt idx="284">
                  <c:v>126.7</c:v>
                </c:pt>
                <c:pt idx="285">
                  <c:v>129.5</c:v>
                </c:pt>
                <c:pt idx="286">
                  <c:v>124</c:v>
                </c:pt>
                <c:pt idx="287">
                  <c:v>126.2</c:v>
                </c:pt>
                <c:pt idx="288">
                  <c:v>118.6</c:v>
                </c:pt>
                <c:pt idx="289">
                  <c:v>125.6</c:v>
                </c:pt>
                <c:pt idx="290">
                  <c:v>123.8</c:v>
                </c:pt>
                <c:pt idx="291">
                  <c:v>121.9</c:v>
                </c:pt>
                <c:pt idx="292">
                  <c:v>123.2</c:v>
                </c:pt>
                <c:pt idx="293">
                  <c:v>127.1</c:v>
                </c:pt>
                <c:pt idx="294">
                  <c:v>118.4</c:v>
                </c:pt>
                <c:pt idx="295">
                  <c:v>124.6</c:v>
                </c:pt>
                <c:pt idx="296">
                  <c:v>123</c:v>
                </c:pt>
                <c:pt idx="297">
                  <c:v>123.4</c:v>
                </c:pt>
                <c:pt idx="298">
                  <c:v>129.1</c:v>
                </c:pt>
                <c:pt idx="299">
                  <c:v>127.3</c:v>
                </c:pt>
                <c:pt idx="300">
                  <c:v>128.69999999999999</c:v>
                </c:pt>
                <c:pt idx="301">
                  <c:v>128.1</c:v>
                </c:pt>
                <c:pt idx="302">
                  <c:v>127.8</c:v>
                </c:pt>
                <c:pt idx="303">
                  <c:v>125.5</c:v>
                </c:pt>
                <c:pt idx="304">
                  <c:v>123.2</c:v>
                </c:pt>
                <c:pt idx="305">
                  <c:v>122.5</c:v>
                </c:pt>
                <c:pt idx="306">
                  <c:v>124.3</c:v>
                </c:pt>
                <c:pt idx="307">
                  <c:v>118.1</c:v>
                </c:pt>
                <c:pt idx="308">
                  <c:v>119.7</c:v>
                </c:pt>
                <c:pt idx="309">
                  <c:v>122</c:v>
                </c:pt>
                <c:pt idx="310">
                  <c:v>124.5</c:v>
                </c:pt>
                <c:pt idx="311">
                  <c:v>122.3</c:v>
                </c:pt>
                <c:pt idx="312">
                  <c:v>114.7</c:v>
                </c:pt>
                <c:pt idx="313">
                  <c:v>112.9</c:v>
                </c:pt>
                <c:pt idx="314">
                  <c:v>116.5</c:v>
                </c:pt>
              </c:numCache>
            </c:numRef>
          </c:val>
          <c:smooth val="0"/>
          <c:extLst>
            <c:ext xmlns:c16="http://schemas.microsoft.com/office/drawing/2014/chart" uri="{C3380CC4-5D6E-409C-BE32-E72D297353CC}">
              <c16:uniqueId val="{00000001-8998-43CC-8DAB-3F1F1AE0575C}"/>
            </c:ext>
          </c:extLst>
        </c:ser>
        <c:ser>
          <c:idx val="2"/>
          <c:order val="2"/>
          <c:tx>
            <c:v>目盛</c:v>
          </c:tx>
          <c:spPr>
            <a:ln w="12700">
              <a:solidFill>
                <a:srgbClr val="000000"/>
              </a:solidFill>
              <a:prstDash val="solid"/>
            </a:ln>
          </c:spPr>
          <c:marker>
            <c:symbol val="none"/>
          </c:marker>
          <c:cat>
            <c:strRef>
              <c:f>グラフデータ!$A$88:$A$411</c:f>
              <c:strCache>
                <c:ptCount val="313"/>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pt idx="312">
                  <c:v>8</c:v>
                </c:pt>
              </c:strCache>
            </c:strRef>
          </c:cat>
          <c:val>
            <c:numRef>
              <c:f>グラフデータ!$H$88:$H$411</c:f>
              <c:numCache>
                <c:formatCode>0.0</c:formatCode>
                <c:ptCount val="3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pt idx="312">
                  <c:v>100</c:v>
                </c:pt>
                <c:pt idx="313">
                  <c:v>100</c:v>
                </c:pt>
                <c:pt idx="314">
                  <c:v>100</c:v>
                </c:pt>
                <c:pt idx="315">
                  <c:v>100</c:v>
                </c:pt>
                <c:pt idx="316">
                  <c:v>100</c:v>
                </c:pt>
                <c:pt idx="317">
                  <c:v>100</c:v>
                </c:pt>
                <c:pt idx="318">
                  <c:v>100</c:v>
                </c:pt>
                <c:pt idx="319">
                  <c:v>100</c:v>
                </c:pt>
                <c:pt idx="320">
                  <c:v>100</c:v>
                </c:pt>
                <c:pt idx="321">
                  <c:v>100</c:v>
                </c:pt>
                <c:pt idx="322">
                  <c:v>100</c:v>
                </c:pt>
                <c:pt idx="323">
                  <c:v>100</c:v>
                </c:pt>
              </c:numCache>
            </c:numRef>
          </c:val>
          <c:smooth val="0"/>
          <c:extLst>
            <c:ext xmlns:c16="http://schemas.microsoft.com/office/drawing/2014/chart" uri="{C3380CC4-5D6E-409C-BE32-E72D297353CC}">
              <c16:uniqueId val="{00000002-8998-43CC-8DAB-3F1F1AE0575C}"/>
            </c:ext>
          </c:extLst>
        </c:ser>
        <c:dLbls>
          <c:showLegendKey val="0"/>
          <c:showVal val="0"/>
          <c:showCatName val="0"/>
          <c:showSerName val="0"/>
          <c:showPercent val="0"/>
          <c:showBubbleSize val="0"/>
        </c:dLbls>
        <c:marker val="1"/>
        <c:smooth val="0"/>
        <c:axId val="556599576"/>
        <c:axId val="1"/>
      </c:lineChart>
      <c:catAx>
        <c:axId val="55659957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0"/>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9576"/>
        <c:crosses val="autoZero"/>
        <c:crossBetween val="midCat"/>
        <c:majorUnit val="10"/>
        <c:minorUnit val="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先行指数</a:t>
            </a:r>
          </a:p>
        </c:rich>
      </c:tx>
      <c:layout>
        <c:manualLayout>
          <c:xMode val="edge"/>
          <c:yMode val="edge"/>
          <c:x val="0.45024463219987965"/>
          <c:y val="0"/>
        </c:manualLayout>
      </c:layout>
      <c:overlay val="0"/>
      <c:spPr>
        <a:noFill/>
        <a:ln w="25400">
          <a:noFill/>
        </a:ln>
      </c:spPr>
    </c:title>
    <c:autoTitleDeleted val="0"/>
    <c:plotArea>
      <c:layout>
        <c:manualLayout>
          <c:layoutTarget val="inner"/>
          <c:xMode val="edge"/>
          <c:yMode val="edge"/>
          <c:x val="3.5271687321258342E-2"/>
          <c:y val="0.14272018110326012"/>
          <c:w val="0.93138447450660944"/>
          <c:h val="0.67467721976086603"/>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DI元データ!$O$5:$O$580</c:f>
              <c:numCache>
                <c:formatCode>General</c:formatCode>
                <c:ptCount val="576"/>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EDDA-477A-8F21-8A7FFC470BB7}"/>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DI元データ!$D$3</c:f>
              <c:strCache>
                <c:ptCount val="1"/>
                <c:pt idx="0">
                  <c:v>先行指数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DI元データ!$D$5:$D$580</c:f>
              <c:numCache>
                <c:formatCode>0.0</c:formatCode>
                <c:ptCount val="576"/>
                <c:pt idx="0">
                  <c:v>70</c:v>
                </c:pt>
                <c:pt idx="1">
                  <c:v>70</c:v>
                </c:pt>
                <c:pt idx="2">
                  <c:v>40</c:v>
                </c:pt>
                <c:pt idx="3">
                  <c:v>40</c:v>
                </c:pt>
                <c:pt idx="4">
                  <c:v>40</c:v>
                </c:pt>
                <c:pt idx="5">
                  <c:v>20</c:v>
                </c:pt>
                <c:pt idx="6">
                  <c:v>35</c:v>
                </c:pt>
                <c:pt idx="7">
                  <c:v>50</c:v>
                </c:pt>
                <c:pt idx="8">
                  <c:v>55</c:v>
                </c:pt>
                <c:pt idx="9">
                  <c:v>55</c:v>
                </c:pt>
                <c:pt idx="10">
                  <c:v>40</c:v>
                </c:pt>
                <c:pt idx="11">
                  <c:v>50</c:v>
                </c:pt>
                <c:pt idx="12">
                  <c:v>45</c:v>
                </c:pt>
                <c:pt idx="13">
                  <c:v>30</c:v>
                </c:pt>
                <c:pt idx="14">
                  <c:v>35</c:v>
                </c:pt>
                <c:pt idx="15">
                  <c:v>55</c:v>
                </c:pt>
                <c:pt idx="16">
                  <c:v>40</c:v>
                </c:pt>
                <c:pt idx="17">
                  <c:v>10</c:v>
                </c:pt>
                <c:pt idx="18">
                  <c:v>0</c:v>
                </c:pt>
                <c:pt idx="19">
                  <c:v>10</c:v>
                </c:pt>
                <c:pt idx="20">
                  <c:v>10</c:v>
                </c:pt>
                <c:pt idx="21">
                  <c:v>20</c:v>
                </c:pt>
                <c:pt idx="22">
                  <c:v>20</c:v>
                </c:pt>
                <c:pt idx="23">
                  <c:v>25</c:v>
                </c:pt>
                <c:pt idx="24">
                  <c:v>30</c:v>
                </c:pt>
                <c:pt idx="25">
                  <c:v>30</c:v>
                </c:pt>
                <c:pt idx="26">
                  <c:v>70</c:v>
                </c:pt>
                <c:pt idx="27">
                  <c:v>60</c:v>
                </c:pt>
                <c:pt idx="28">
                  <c:v>50</c:v>
                </c:pt>
                <c:pt idx="29">
                  <c:v>50</c:v>
                </c:pt>
                <c:pt idx="30">
                  <c:v>60</c:v>
                </c:pt>
                <c:pt idx="31">
                  <c:v>50</c:v>
                </c:pt>
                <c:pt idx="32">
                  <c:v>60</c:v>
                </c:pt>
                <c:pt idx="33">
                  <c:v>40</c:v>
                </c:pt>
                <c:pt idx="34">
                  <c:v>40</c:v>
                </c:pt>
                <c:pt idx="35">
                  <c:v>40</c:v>
                </c:pt>
                <c:pt idx="36">
                  <c:v>20</c:v>
                </c:pt>
                <c:pt idx="37">
                  <c:v>20</c:v>
                </c:pt>
                <c:pt idx="38">
                  <c:v>25</c:v>
                </c:pt>
                <c:pt idx="39">
                  <c:v>70</c:v>
                </c:pt>
                <c:pt idx="40">
                  <c:v>80</c:v>
                </c:pt>
                <c:pt idx="41">
                  <c:v>100</c:v>
                </c:pt>
                <c:pt idx="42">
                  <c:v>70</c:v>
                </c:pt>
                <c:pt idx="43">
                  <c:v>70</c:v>
                </c:pt>
                <c:pt idx="44">
                  <c:v>70</c:v>
                </c:pt>
                <c:pt idx="45">
                  <c:v>40</c:v>
                </c:pt>
                <c:pt idx="46">
                  <c:v>40</c:v>
                </c:pt>
                <c:pt idx="47">
                  <c:v>50</c:v>
                </c:pt>
                <c:pt idx="48">
                  <c:v>65</c:v>
                </c:pt>
                <c:pt idx="49">
                  <c:v>30</c:v>
                </c:pt>
                <c:pt idx="50">
                  <c:v>30</c:v>
                </c:pt>
                <c:pt idx="51">
                  <c:v>30</c:v>
                </c:pt>
                <c:pt idx="52">
                  <c:v>20</c:v>
                </c:pt>
                <c:pt idx="53">
                  <c:v>30</c:v>
                </c:pt>
                <c:pt idx="54">
                  <c:v>20</c:v>
                </c:pt>
                <c:pt idx="55">
                  <c:v>40</c:v>
                </c:pt>
                <c:pt idx="56">
                  <c:v>55</c:v>
                </c:pt>
                <c:pt idx="57">
                  <c:v>60</c:v>
                </c:pt>
                <c:pt idx="58">
                  <c:v>80</c:v>
                </c:pt>
                <c:pt idx="59">
                  <c:v>60</c:v>
                </c:pt>
                <c:pt idx="60">
                  <c:v>70</c:v>
                </c:pt>
                <c:pt idx="61">
                  <c:v>80</c:v>
                </c:pt>
                <c:pt idx="62">
                  <c:v>70</c:v>
                </c:pt>
                <c:pt idx="63">
                  <c:v>90</c:v>
                </c:pt>
                <c:pt idx="64">
                  <c:v>70</c:v>
                </c:pt>
                <c:pt idx="65">
                  <c:v>70</c:v>
                </c:pt>
                <c:pt idx="66">
                  <c:v>80</c:v>
                </c:pt>
                <c:pt idx="67">
                  <c:v>65</c:v>
                </c:pt>
                <c:pt idx="68">
                  <c:v>50</c:v>
                </c:pt>
                <c:pt idx="69">
                  <c:v>50</c:v>
                </c:pt>
                <c:pt idx="70">
                  <c:v>50</c:v>
                </c:pt>
                <c:pt idx="71">
                  <c:v>60</c:v>
                </c:pt>
                <c:pt idx="72">
                  <c:v>20</c:v>
                </c:pt>
                <c:pt idx="73">
                  <c:v>55</c:v>
                </c:pt>
                <c:pt idx="74">
                  <c:v>60</c:v>
                </c:pt>
                <c:pt idx="75">
                  <c:v>55</c:v>
                </c:pt>
                <c:pt idx="76">
                  <c:v>40</c:v>
                </c:pt>
                <c:pt idx="77">
                  <c:v>40</c:v>
                </c:pt>
                <c:pt idx="78">
                  <c:v>50</c:v>
                </c:pt>
                <c:pt idx="79">
                  <c:v>50</c:v>
                </c:pt>
                <c:pt idx="80">
                  <c:v>55</c:v>
                </c:pt>
                <c:pt idx="81">
                  <c:v>50</c:v>
                </c:pt>
                <c:pt idx="82">
                  <c:v>40</c:v>
                </c:pt>
                <c:pt idx="83">
                  <c:v>65</c:v>
                </c:pt>
                <c:pt idx="84">
                  <c:v>50</c:v>
                </c:pt>
                <c:pt idx="85">
                  <c:v>35</c:v>
                </c:pt>
                <c:pt idx="86">
                  <c:v>50</c:v>
                </c:pt>
                <c:pt idx="87">
                  <c:v>60</c:v>
                </c:pt>
                <c:pt idx="88">
                  <c:v>45</c:v>
                </c:pt>
                <c:pt idx="89">
                  <c:v>50</c:v>
                </c:pt>
                <c:pt idx="90">
                  <c:v>40</c:v>
                </c:pt>
                <c:pt idx="91">
                  <c:v>35</c:v>
                </c:pt>
                <c:pt idx="92">
                  <c:v>70</c:v>
                </c:pt>
                <c:pt idx="93">
                  <c:v>65</c:v>
                </c:pt>
                <c:pt idx="94">
                  <c:v>60</c:v>
                </c:pt>
                <c:pt idx="95">
                  <c:v>80</c:v>
                </c:pt>
                <c:pt idx="96">
                  <c:v>90</c:v>
                </c:pt>
                <c:pt idx="97">
                  <c:v>85</c:v>
                </c:pt>
                <c:pt idx="98">
                  <c:v>60</c:v>
                </c:pt>
                <c:pt idx="99">
                  <c:v>75</c:v>
                </c:pt>
                <c:pt idx="100">
                  <c:v>100</c:v>
                </c:pt>
                <c:pt idx="101">
                  <c:v>100</c:v>
                </c:pt>
                <c:pt idx="102">
                  <c:v>100</c:v>
                </c:pt>
                <c:pt idx="103">
                  <c:v>80</c:v>
                </c:pt>
                <c:pt idx="104">
                  <c:v>90</c:v>
                </c:pt>
                <c:pt idx="105">
                  <c:v>90</c:v>
                </c:pt>
                <c:pt idx="106">
                  <c:v>90</c:v>
                </c:pt>
                <c:pt idx="107">
                  <c:v>80</c:v>
                </c:pt>
                <c:pt idx="108">
                  <c:v>85.714285714285708</c:v>
                </c:pt>
                <c:pt idx="109">
                  <c:v>85.714285714285708</c:v>
                </c:pt>
                <c:pt idx="110">
                  <c:v>85.714285714285708</c:v>
                </c:pt>
                <c:pt idx="111">
                  <c:v>85.714285714285708</c:v>
                </c:pt>
                <c:pt idx="112">
                  <c:v>85.714285714285708</c:v>
                </c:pt>
                <c:pt idx="113">
                  <c:v>42.857142857142854</c:v>
                </c:pt>
                <c:pt idx="114">
                  <c:v>71.428571428571431</c:v>
                </c:pt>
                <c:pt idx="115">
                  <c:v>28.571428571428573</c:v>
                </c:pt>
                <c:pt idx="116">
                  <c:v>85.714285714285708</c:v>
                </c:pt>
                <c:pt idx="117">
                  <c:v>85.714285714285708</c:v>
                </c:pt>
                <c:pt idx="118">
                  <c:v>78.571428571428569</c:v>
                </c:pt>
                <c:pt idx="119">
                  <c:v>57.142857142857146</c:v>
                </c:pt>
                <c:pt idx="120" formatCode="0.0;&quot;▲ &quot;0.0">
                  <c:v>57.142857142857146</c:v>
                </c:pt>
                <c:pt idx="121" formatCode="0.0;&quot;▲ &quot;0.0">
                  <c:v>28.571428571428573</c:v>
                </c:pt>
                <c:pt idx="122" formatCode="0.0;&quot;▲ &quot;0.0">
                  <c:v>92.857142857142861</c:v>
                </c:pt>
                <c:pt idx="123" formatCode="0.0;&quot;▲ &quot;0.0">
                  <c:v>85.714285714285708</c:v>
                </c:pt>
                <c:pt idx="124" formatCode="0.0;&quot;▲ &quot;0.0">
                  <c:v>78.571428571428569</c:v>
                </c:pt>
                <c:pt idx="125" formatCode="0.0;&quot;▲ &quot;0.0">
                  <c:v>100</c:v>
                </c:pt>
                <c:pt idx="126" formatCode="0.0;&quot;▲ &quot;0.0">
                  <c:v>71.428571428571431</c:v>
                </c:pt>
                <c:pt idx="127" formatCode="0.0;&quot;▲ &quot;0.0">
                  <c:v>57.142857142857146</c:v>
                </c:pt>
                <c:pt idx="128" formatCode="0.0;&quot;▲ &quot;0.0">
                  <c:v>57.142857142857146</c:v>
                </c:pt>
                <c:pt idx="129" formatCode="0.0;&quot;▲ &quot;0.0">
                  <c:v>71.428571428571431</c:v>
                </c:pt>
                <c:pt idx="130" formatCode="0.0;&quot;▲ &quot;0.0">
                  <c:v>57.142857142857146</c:v>
                </c:pt>
                <c:pt idx="131" formatCode="0.0;&quot;▲ &quot;0.0">
                  <c:v>71.428571428571431</c:v>
                </c:pt>
                <c:pt idx="132" formatCode="0.0;&quot;▲ &quot;0.0">
                  <c:v>50</c:v>
                </c:pt>
                <c:pt idx="133" formatCode="0.0;&quot;▲ &quot;0.0">
                  <c:v>57.142857142857146</c:v>
                </c:pt>
                <c:pt idx="134" formatCode="0.0;&quot;▲ &quot;0.0">
                  <c:v>42.857142857142854</c:v>
                </c:pt>
                <c:pt idx="135" formatCode="0.0;&quot;▲ &quot;0.0">
                  <c:v>64.285714285714292</c:v>
                </c:pt>
                <c:pt idx="136" formatCode="0.0;&quot;▲ &quot;0.0">
                  <c:v>71.428571428571431</c:v>
                </c:pt>
                <c:pt idx="137" formatCode="0.0;&quot;▲ &quot;0.0">
                  <c:v>71.428571428571431</c:v>
                </c:pt>
                <c:pt idx="138" formatCode="0.0;&quot;▲ &quot;0.0">
                  <c:v>85.714285714285708</c:v>
                </c:pt>
                <c:pt idx="139" formatCode="0.0;&quot;▲ &quot;0.0">
                  <c:v>85.714285714285708</c:v>
                </c:pt>
                <c:pt idx="140" formatCode="0.0;&quot;▲ &quot;0.0">
                  <c:v>85.714285714285708</c:v>
                </c:pt>
                <c:pt idx="141" formatCode="0.0;&quot;▲ &quot;0.0">
                  <c:v>35.714285714285715</c:v>
                </c:pt>
                <c:pt idx="142" formatCode="0.0;&quot;▲ &quot;0.0">
                  <c:v>28.571428571428573</c:v>
                </c:pt>
                <c:pt idx="143" formatCode="0.0;&quot;▲ &quot;0.0">
                  <c:v>14.285714285714286</c:v>
                </c:pt>
                <c:pt idx="144" formatCode="0.0;&quot;▲ &quot;0.0">
                  <c:v>28.571428571428573</c:v>
                </c:pt>
                <c:pt idx="145" formatCode="0.0;&quot;▲ &quot;0.0">
                  <c:v>42.857142857142854</c:v>
                </c:pt>
                <c:pt idx="146" formatCode="0.0;&quot;▲ &quot;0.0">
                  <c:v>42.857142857142854</c:v>
                </c:pt>
                <c:pt idx="147" formatCode="0.0;&quot;▲ &quot;0.0">
                  <c:v>71.428571428571431</c:v>
                </c:pt>
                <c:pt idx="148" formatCode="0.0;&quot;▲ &quot;0.0">
                  <c:v>42.857142857142854</c:v>
                </c:pt>
                <c:pt idx="149" formatCode="0.0;&quot;▲ &quot;0.0">
                  <c:v>14.285714285714286</c:v>
                </c:pt>
                <c:pt idx="150" formatCode="0.0;&quot;▲ &quot;0.0">
                  <c:v>50</c:v>
                </c:pt>
                <c:pt idx="151" formatCode="0.0;&quot;▲ &quot;0.0">
                  <c:v>57.142857142857146</c:v>
                </c:pt>
                <c:pt idx="152" formatCode="0.0;&quot;▲ &quot;0.0">
                  <c:v>28.571428571428573</c:v>
                </c:pt>
                <c:pt idx="153" formatCode="0.0;&quot;▲ &quot;0.0">
                  <c:v>57.142857142857146</c:v>
                </c:pt>
                <c:pt idx="154" formatCode="0.0;&quot;▲ &quot;0.0">
                  <c:v>57.142857142857146</c:v>
                </c:pt>
                <c:pt idx="155" formatCode="0.0;&quot;▲ &quot;0.0">
                  <c:v>28.571428571428573</c:v>
                </c:pt>
                <c:pt idx="156" formatCode="0.0;&quot;▲ &quot;0.0">
                  <c:v>42.857142857142854</c:v>
                </c:pt>
                <c:pt idx="157" formatCode="0.0;&quot;▲ &quot;0.0">
                  <c:v>14.285714285714286</c:v>
                </c:pt>
                <c:pt idx="158" formatCode="0.0;&quot;▲ &quot;0.0">
                  <c:v>14.285714285714286</c:v>
                </c:pt>
                <c:pt idx="159" formatCode="0.0;&quot;▲ &quot;0.0">
                  <c:v>71.428571428571431</c:v>
                </c:pt>
                <c:pt idx="160" formatCode="0.0;&quot;▲ &quot;0.0">
                  <c:v>28.571428571428573</c:v>
                </c:pt>
                <c:pt idx="161" formatCode="0.0;&quot;▲ &quot;0.0">
                  <c:v>57.142857142857146</c:v>
                </c:pt>
                <c:pt idx="162" formatCode="0.0;&quot;▲ &quot;0.0">
                  <c:v>57.142857142857146</c:v>
                </c:pt>
                <c:pt idx="163" formatCode="0.0;&quot;▲ &quot;0.0">
                  <c:v>57.142857142857146</c:v>
                </c:pt>
                <c:pt idx="164" formatCode="0.0;&quot;▲ &quot;0.0">
                  <c:v>14.285714285714286</c:v>
                </c:pt>
                <c:pt idx="165" formatCode="0.0;&quot;▲ &quot;0.0">
                  <c:v>57.142857142857146</c:v>
                </c:pt>
                <c:pt idx="166" formatCode="0.0;&quot;▲ &quot;0.0">
                  <c:v>14.285714285714286</c:v>
                </c:pt>
                <c:pt idx="167" formatCode="0.0;&quot;▲ &quot;0.0">
                  <c:v>28.571428571428573</c:v>
                </c:pt>
                <c:pt idx="168" formatCode="0.0;&quot;▲ &quot;0.0">
                  <c:v>28.571428571428573</c:v>
                </c:pt>
                <c:pt idx="169" formatCode="0.0;&quot;▲ &quot;0.0">
                  <c:v>0</c:v>
                </c:pt>
                <c:pt idx="170" formatCode="0.0;&quot;▲ &quot;0.0">
                  <c:v>28.571428571428573</c:v>
                </c:pt>
                <c:pt idx="171" formatCode="0.0;&quot;▲ &quot;0.0">
                  <c:v>57.142857142857146</c:v>
                </c:pt>
                <c:pt idx="172" formatCode="0.0;&quot;▲ &quot;0.0">
                  <c:v>14.285714285714286</c:v>
                </c:pt>
                <c:pt idx="173" formatCode="0.0;&quot;▲ &quot;0.0">
                  <c:v>28.571428571428573</c:v>
                </c:pt>
                <c:pt idx="174" formatCode="0.0;&quot;▲ &quot;0.0">
                  <c:v>57.142857142857146</c:v>
                </c:pt>
                <c:pt idx="175" formatCode="0.0;&quot;▲ &quot;0.0">
                  <c:v>42.857142857142854</c:v>
                </c:pt>
                <c:pt idx="176" formatCode="0.0;&quot;▲ &quot;0.0">
                  <c:v>14.285714285714286</c:v>
                </c:pt>
                <c:pt idx="177" formatCode="0.0;&quot;▲ &quot;0.0">
                  <c:v>42.857142857142854</c:v>
                </c:pt>
                <c:pt idx="178" formatCode="0.0;&quot;▲ &quot;0.0">
                  <c:v>57.142857142857146</c:v>
                </c:pt>
                <c:pt idx="179" formatCode="0.0;&quot;▲ &quot;0.0">
                  <c:v>42.857142857142854</c:v>
                </c:pt>
                <c:pt idx="180" formatCode="0.0;&quot;▲ &quot;0.0">
                  <c:v>85.714285714285708</c:v>
                </c:pt>
                <c:pt idx="181" formatCode="0.0;&quot;▲ &quot;0.0">
                  <c:v>71.428571428571431</c:v>
                </c:pt>
                <c:pt idx="182" formatCode="0.0;&quot;▲ &quot;0.0">
                  <c:v>57.142857142857146</c:v>
                </c:pt>
                <c:pt idx="183" formatCode="0.0;&quot;▲ &quot;0.0">
                  <c:v>85.714285714285708</c:v>
                </c:pt>
                <c:pt idx="184" formatCode="0.0;&quot;▲ &quot;0.0">
                  <c:v>85.714285714285708</c:v>
                </c:pt>
                <c:pt idx="185" formatCode="0.0;&quot;▲ &quot;0.0">
                  <c:v>85.714285714285708</c:v>
                </c:pt>
                <c:pt idx="186" formatCode="0.0;&quot;▲ &quot;0.0">
                  <c:v>71.428571428571431</c:v>
                </c:pt>
                <c:pt idx="187" formatCode="0.0;&quot;▲ &quot;0.0">
                  <c:v>100</c:v>
                </c:pt>
                <c:pt idx="188" formatCode="0.0;&quot;▲ &quot;0.0">
                  <c:v>57.142857142857146</c:v>
                </c:pt>
                <c:pt idx="189" formatCode="0.0;&quot;▲ &quot;0.0">
                  <c:v>64.285714285714292</c:v>
                </c:pt>
                <c:pt idx="190" formatCode="0.0;&quot;▲ &quot;0.0">
                  <c:v>42.857142857142854</c:v>
                </c:pt>
                <c:pt idx="191" formatCode="0.0;&quot;▲ &quot;0.0">
                  <c:v>42.857142857142854</c:v>
                </c:pt>
                <c:pt idx="192">
                  <c:v>57.142857142857146</c:v>
                </c:pt>
                <c:pt idx="193">
                  <c:v>57.142857142857146</c:v>
                </c:pt>
                <c:pt idx="194">
                  <c:v>28.571428571428573</c:v>
                </c:pt>
                <c:pt idx="195">
                  <c:v>28.571428571428573</c:v>
                </c:pt>
                <c:pt idx="196">
                  <c:v>28.571428571428573</c:v>
                </c:pt>
                <c:pt idx="197">
                  <c:v>28.571428571428573</c:v>
                </c:pt>
                <c:pt idx="198">
                  <c:v>28.571428571428573</c:v>
                </c:pt>
                <c:pt idx="199">
                  <c:v>57.142857142857146</c:v>
                </c:pt>
                <c:pt idx="200">
                  <c:v>57.142857142857146</c:v>
                </c:pt>
                <c:pt idx="201">
                  <c:v>71.428571428571431</c:v>
                </c:pt>
                <c:pt idx="202">
                  <c:v>42.857142857142854</c:v>
                </c:pt>
                <c:pt idx="203">
                  <c:v>71.428571428571431</c:v>
                </c:pt>
                <c:pt idx="204">
                  <c:v>57.142857142857146</c:v>
                </c:pt>
                <c:pt idx="205">
                  <c:v>50</c:v>
                </c:pt>
                <c:pt idx="206">
                  <c:v>85.714285714285708</c:v>
                </c:pt>
                <c:pt idx="207">
                  <c:v>71.428571428571431</c:v>
                </c:pt>
                <c:pt idx="208">
                  <c:v>71.428571428571431</c:v>
                </c:pt>
                <c:pt idx="209">
                  <c:v>42.857142857142854</c:v>
                </c:pt>
                <c:pt idx="210">
                  <c:v>71.428571428571431</c:v>
                </c:pt>
                <c:pt idx="211">
                  <c:v>85.714285714285708</c:v>
                </c:pt>
                <c:pt idx="212">
                  <c:v>85.714285714285708</c:v>
                </c:pt>
                <c:pt idx="213">
                  <c:v>57.142857142857146</c:v>
                </c:pt>
                <c:pt idx="214">
                  <c:v>71.428571428571431</c:v>
                </c:pt>
                <c:pt idx="215">
                  <c:v>42.857142857142854</c:v>
                </c:pt>
                <c:pt idx="216">
                  <c:v>57.142857142857146</c:v>
                </c:pt>
                <c:pt idx="217">
                  <c:v>57.142857142857146</c:v>
                </c:pt>
                <c:pt idx="218">
                  <c:v>71.428571428571431</c:v>
                </c:pt>
                <c:pt idx="219">
                  <c:v>42.857142857142854</c:v>
                </c:pt>
                <c:pt idx="220">
                  <c:v>42.857142857142854</c:v>
                </c:pt>
                <c:pt idx="221">
                  <c:v>14.285714285714286</c:v>
                </c:pt>
                <c:pt idx="222">
                  <c:v>7.1428571428571432</c:v>
                </c:pt>
                <c:pt idx="223">
                  <c:v>14.285714285714286</c:v>
                </c:pt>
                <c:pt idx="224">
                  <c:v>42.857142857142854</c:v>
                </c:pt>
                <c:pt idx="225">
                  <c:v>14.285714285714286</c:v>
                </c:pt>
                <c:pt idx="226">
                  <c:v>14.285714285714286</c:v>
                </c:pt>
                <c:pt idx="227">
                  <c:v>28.571428571428573</c:v>
                </c:pt>
                <c:pt idx="228">
                  <c:v>14.285714285714286</c:v>
                </c:pt>
                <c:pt idx="229">
                  <c:v>0</c:v>
                </c:pt>
                <c:pt idx="230">
                  <c:v>28.571428571428573</c:v>
                </c:pt>
                <c:pt idx="231">
                  <c:v>14.285714285714286</c:v>
                </c:pt>
                <c:pt idx="232">
                  <c:v>0</c:v>
                </c:pt>
                <c:pt idx="233">
                  <c:v>28.571428571428573</c:v>
                </c:pt>
                <c:pt idx="234">
                  <c:v>28.571428571428573</c:v>
                </c:pt>
                <c:pt idx="235">
                  <c:v>14.285714285714286</c:v>
                </c:pt>
                <c:pt idx="236">
                  <c:v>21.428571428571427</c:v>
                </c:pt>
                <c:pt idx="237">
                  <c:v>42.857142857142854</c:v>
                </c:pt>
                <c:pt idx="238">
                  <c:v>28.571428571428573</c:v>
                </c:pt>
                <c:pt idx="239">
                  <c:v>28.571428571428573</c:v>
                </c:pt>
                <c:pt idx="240">
                  <c:v>57.142857142857146</c:v>
                </c:pt>
                <c:pt idx="241">
                  <c:v>57.142857142857146</c:v>
                </c:pt>
                <c:pt idx="242">
                  <c:v>35.714285714285715</c:v>
                </c:pt>
                <c:pt idx="243">
                  <c:v>57.142857142857146</c:v>
                </c:pt>
                <c:pt idx="244">
                  <c:v>71.428571428571431</c:v>
                </c:pt>
                <c:pt idx="245">
                  <c:v>57.142857142857146</c:v>
                </c:pt>
                <c:pt idx="246">
                  <c:v>57.142857142857146</c:v>
                </c:pt>
                <c:pt idx="247">
                  <c:v>57.142857142857146</c:v>
                </c:pt>
                <c:pt idx="248">
                  <c:v>57.142857142857146</c:v>
                </c:pt>
                <c:pt idx="249">
                  <c:v>71.428571428571431</c:v>
                </c:pt>
                <c:pt idx="250">
                  <c:v>71.428571428571431</c:v>
                </c:pt>
                <c:pt idx="251">
                  <c:v>57.142857142857146</c:v>
                </c:pt>
                <c:pt idx="252">
                  <c:v>57.142857142857146</c:v>
                </c:pt>
                <c:pt idx="253">
                  <c:v>85.714285714285708</c:v>
                </c:pt>
                <c:pt idx="254">
                  <c:v>78.571428571428569</c:v>
                </c:pt>
                <c:pt idx="255">
                  <c:v>42.857142857142854</c:v>
                </c:pt>
                <c:pt idx="256">
                  <c:v>57.142857142857146</c:v>
                </c:pt>
                <c:pt idx="257">
                  <c:v>57.142857142857146</c:v>
                </c:pt>
                <c:pt idx="258">
                  <c:v>42.857142857142854</c:v>
                </c:pt>
                <c:pt idx="259">
                  <c:v>42.857142857142854</c:v>
                </c:pt>
                <c:pt idx="260">
                  <c:v>57.142857142857146</c:v>
                </c:pt>
                <c:pt idx="261">
                  <c:v>28.571428571428573</c:v>
                </c:pt>
                <c:pt idx="262">
                  <c:v>71.428571428571431</c:v>
                </c:pt>
                <c:pt idx="263">
                  <c:v>85.714285714285708</c:v>
                </c:pt>
                <c:pt idx="264">
                  <c:v>14.285714285714286</c:v>
                </c:pt>
                <c:pt idx="265">
                  <c:v>28.571428571428573</c:v>
                </c:pt>
                <c:pt idx="266">
                  <c:v>28.571428571428573</c:v>
                </c:pt>
                <c:pt idx="267">
                  <c:v>14.285714285714286</c:v>
                </c:pt>
                <c:pt idx="268">
                  <c:v>14.285714285714286</c:v>
                </c:pt>
                <c:pt idx="269">
                  <c:v>57.142857142857146</c:v>
                </c:pt>
                <c:pt idx="270">
                  <c:v>57.142857142857146</c:v>
                </c:pt>
                <c:pt idx="271">
                  <c:v>42.857142857142854</c:v>
                </c:pt>
                <c:pt idx="272">
                  <c:v>42.857142857142854</c:v>
                </c:pt>
                <c:pt idx="273">
                  <c:v>42.857142857142854</c:v>
                </c:pt>
                <c:pt idx="274">
                  <c:v>28.571428571428573</c:v>
                </c:pt>
                <c:pt idx="275">
                  <c:v>21.428571428571427</c:v>
                </c:pt>
                <c:pt idx="276">
                  <c:v>14.285714285714286</c:v>
                </c:pt>
                <c:pt idx="277">
                  <c:v>28.571428571428573</c:v>
                </c:pt>
                <c:pt idx="278">
                  <c:v>42.857142857142854</c:v>
                </c:pt>
                <c:pt idx="279">
                  <c:v>50</c:v>
                </c:pt>
                <c:pt idx="280">
                  <c:v>57.142857142857146</c:v>
                </c:pt>
                <c:pt idx="281">
                  <c:v>71.428571428571431</c:v>
                </c:pt>
                <c:pt idx="282">
                  <c:v>71.428571428571431</c:v>
                </c:pt>
                <c:pt idx="283">
                  <c:v>42.857142857142854</c:v>
                </c:pt>
                <c:pt idx="284">
                  <c:v>85.714285714285708</c:v>
                </c:pt>
                <c:pt idx="285">
                  <c:v>71.428571428571431</c:v>
                </c:pt>
                <c:pt idx="286">
                  <c:v>100</c:v>
                </c:pt>
                <c:pt idx="287">
                  <c:v>71.428571428571431</c:v>
                </c:pt>
                <c:pt idx="288">
                  <c:v>71.428571428571431</c:v>
                </c:pt>
                <c:pt idx="289">
                  <c:v>14.285714285714286</c:v>
                </c:pt>
                <c:pt idx="290">
                  <c:v>14.285714285714286</c:v>
                </c:pt>
                <c:pt idx="291">
                  <c:v>0</c:v>
                </c:pt>
                <c:pt idx="292">
                  <c:v>14.285714285714286</c:v>
                </c:pt>
                <c:pt idx="293">
                  <c:v>57.142857142857146</c:v>
                </c:pt>
                <c:pt idx="294">
                  <c:v>71.428571428571431</c:v>
                </c:pt>
                <c:pt idx="295">
                  <c:v>57.142857142857146</c:v>
                </c:pt>
                <c:pt idx="296">
                  <c:v>57.142857142857146</c:v>
                </c:pt>
                <c:pt idx="297">
                  <c:v>71.428571428571431</c:v>
                </c:pt>
                <c:pt idx="298">
                  <c:v>57.142857142857146</c:v>
                </c:pt>
                <c:pt idx="299">
                  <c:v>71.428571428571431</c:v>
                </c:pt>
                <c:pt idx="300">
                  <c:v>57.142857142857146</c:v>
                </c:pt>
                <c:pt idx="301">
                  <c:v>28.571428571428573</c:v>
                </c:pt>
                <c:pt idx="302">
                  <c:v>14.285714285714286</c:v>
                </c:pt>
                <c:pt idx="303">
                  <c:v>42.857142857142854</c:v>
                </c:pt>
                <c:pt idx="304">
                  <c:v>14.285714285714286</c:v>
                </c:pt>
                <c:pt idx="305">
                  <c:v>50</c:v>
                </c:pt>
                <c:pt idx="306">
                  <c:v>57.142857142857146</c:v>
                </c:pt>
                <c:pt idx="307">
                  <c:v>57.142857142857146</c:v>
                </c:pt>
                <c:pt idx="308">
                  <c:v>57.142857142857146</c:v>
                </c:pt>
                <c:pt idx="309">
                  <c:v>35.714285714285715</c:v>
                </c:pt>
                <c:pt idx="310">
                  <c:v>42.857142857142854</c:v>
                </c:pt>
                <c:pt idx="311">
                  <c:v>28.571428571428573</c:v>
                </c:pt>
                <c:pt idx="312">
                  <c:v>28.571428571428573</c:v>
                </c:pt>
                <c:pt idx="313">
                  <c:v>14.285714285714286</c:v>
                </c:pt>
                <c:pt idx="314">
                  <c:v>42.857142857142854</c:v>
                </c:pt>
                <c:pt idx="315">
                  <c:v>28.571428571428573</c:v>
                </c:pt>
                <c:pt idx="316">
                  <c:v>71.428571428571431</c:v>
                </c:pt>
                <c:pt idx="317">
                  <c:v>28.571428571428573</c:v>
                </c:pt>
                <c:pt idx="318">
                  <c:v>57.142857142857146</c:v>
                </c:pt>
                <c:pt idx="319">
                  <c:v>42.857142857142854</c:v>
                </c:pt>
                <c:pt idx="320">
                  <c:v>71.428571428571431</c:v>
                </c:pt>
                <c:pt idx="321">
                  <c:v>71.428571428571431</c:v>
                </c:pt>
                <c:pt idx="322">
                  <c:v>85.714285714285708</c:v>
                </c:pt>
                <c:pt idx="323">
                  <c:v>57.142857142857146</c:v>
                </c:pt>
                <c:pt idx="324">
                  <c:v>85.714285714285708</c:v>
                </c:pt>
                <c:pt idx="325">
                  <c:v>57.142857142857146</c:v>
                </c:pt>
                <c:pt idx="326">
                  <c:v>57.142857142857146</c:v>
                </c:pt>
                <c:pt idx="327">
                  <c:v>57.142857142857146</c:v>
                </c:pt>
                <c:pt idx="328">
                  <c:v>85.714285714285708</c:v>
                </c:pt>
                <c:pt idx="329">
                  <c:v>28.571428571428573</c:v>
                </c:pt>
                <c:pt idx="330">
                  <c:v>85.714285714285708</c:v>
                </c:pt>
                <c:pt idx="331">
                  <c:v>57.142857142857146</c:v>
                </c:pt>
                <c:pt idx="332">
                  <c:v>57.142857142857146</c:v>
                </c:pt>
                <c:pt idx="333">
                  <c:v>64.285714285714292</c:v>
                </c:pt>
                <c:pt idx="334">
                  <c:v>71.428571428571431</c:v>
                </c:pt>
                <c:pt idx="335">
                  <c:v>57.142857142857146</c:v>
                </c:pt>
                <c:pt idx="336">
                  <c:v>57.142857142857146</c:v>
                </c:pt>
                <c:pt idx="337">
                  <c:v>42.857142857142854</c:v>
                </c:pt>
                <c:pt idx="338">
                  <c:v>14.285714285714286</c:v>
                </c:pt>
                <c:pt idx="339">
                  <c:v>14.285714285714286</c:v>
                </c:pt>
                <c:pt idx="340">
                  <c:v>42.857142857142854</c:v>
                </c:pt>
                <c:pt idx="341">
                  <c:v>71.428571428571431</c:v>
                </c:pt>
                <c:pt idx="342">
                  <c:v>14.285714285714286</c:v>
                </c:pt>
                <c:pt idx="343">
                  <c:v>35.714285714285715</c:v>
                </c:pt>
                <c:pt idx="344">
                  <c:v>14.285714285714286</c:v>
                </c:pt>
                <c:pt idx="345">
                  <c:v>42.857142857142854</c:v>
                </c:pt>
                <c:pt idx="346">
                  <c:v>28.571428571428573</c:v>
                </c:pt>
                <c:pt idx="347">
                  <c:v>71.428571428571431</c:v>
                </c:pt>
                <c:pt idx="348">
                  <c:v>21.428571428571427</c:v>
                </c:pt>
                <c:pt idx="349">
                  <c:v>42.857142857142854</c:v>
                </c:pt>
                <c:pt idx="350">
                  <c:v>42.857142857142854</c:v>
                </c:pt>
                <c:pt idx="351">
                  <c:v>42.857142857142854</c:v>
                </c:pt>
                <c:pt idx="352">
                  <c:v>14.285714285714286</c:v>
                </c:pt>
                <c:pt idx="353">
                  <c:v>42.857142857142854</c:v>
                </c:pt>
                <c:pt idx="354">
                  <c:v>28.571428571428573</c:v>
                </c:pt>
                <c:pt idx="355">
                  <c:v>28.571428571428573</c:v>
                </c:pt>
                <c:pt idx="356">
                  <c:v>28.571428571428573</c:v>
                </c:pt>
                <c:pt idx="357">
                  <c:v>28.571428571428573</c:v>
                </c:pt>
                <c:pt idx="358">
                  <c:v>28.571428571428573</c:v>
                </c:pt>
                <c:pt idx="359">
                  <c:v>14.285714285714286</c:v>
                </c:pt>
                <c:pt idx="360">
                  <c:v>28.571428571428573</c:v>
                </c:pt>
                <c:pt idx="361">
                  <c:v>14.285714285714286</c:v>
                </c:pt>
                <c:pt idx="362">
                  <c:v>14.285714285714286</c:v>
                </c:pt>
                <c:pt idx="363">
                  <c:v>14.285714285714286</c:v>
                </c:pt>
                <c:pt idx="364">
                  <c:v>14.285714285714286</c:v>
                </c:pt>
                <c:pt idx="365">
                  <c:v>14.285714285714286</c:v>
                </c:pt>
                <c:pt idx="366">
                  <c:v>42.857142857142854</c:v>
                </c:pt>
                <c:pt idx="367">
                  <c:v>42.857142857142854</c:v>
                </c:pt>
                <c:pt idx="368">
                  <c:v>85.714285714285708</c:v>
                </c:pt>
                <c:pt idx="369">
                  <c:v>71.428571428571431</c:v>
                </c:pt>
                <c:pt idx="370">
                  <c:v>85.714285714285708</c:v>
                </c:pt>
                <c:pt idx="371">
                  <c:v>57.142857142857146</c:v>
                </c:pt>
                <c:pt idx="372">
                  <c:v>85.714285714285708</c:v>
                </c:pt>
                <c:pt idx="373">
                  <c:v>35.714285714285715</c:v>
                </c:pt>
                <c:pt idx="374">
                  <c:v>57.142857142857146</c:v>
                </c:pt>
                <c:pt idx="375">
                  <c:v>71.428571428571431</c:v>
                </c:pt>
                <c:pt idx="376">
                  <c:v>71.428571428571431</c:v>
                </c:pt>
                <c:pt idx="377">
                  <c:v>92.857142857142861</c:v>
                </c:pt>
                <c:pt idx="378">
                  <c:v>71.428571428571431</c:v>
                </c:pt>
                <c:pt idx="379">
                  <c:v>71.428571428571431</c:v>
                </c:pt>
                <c:pt idx="380">
                  <c:v>85.714285714285708</c:v>
                </c:pt>
                <c:pt idx="381">
                  <c:v>42.857142857142854</c:v>
                </c:pt>
                <c:pt idx="382">
                  <c:v>42.857142857142854</c:v>
                </c:pt>
                <c:pt idx="383">
                  <c:v>71.428571428571431</c:v>
                </c:pt>
                <c:pt idx="384">
                  <c:v>57.142857142857146</c:v>
                </c:pt>
                <c:pt idx="385">
                  <c:v>35.714285714285715</c:v>
                </c:pt>
                <c:pt idx="386">
                  <c:v>14.285714285714286</c:v>
                </c:pt>
                <c:pt idx="387">
                  <c:v>35.714285714285715</c:v>
                </c:pt>
                <c:pt idx="388">
                  <c:v>42.857142857142854</c:v>
                </c:pt>
                <c:pt idx="389">
                  <c:v>28.571428571428573</c:v>
                </c:pt>
                <c:pt idx="390">
                  <c:v>57.142857142857146</c:v>
                </c:pt>
                <c:pt idx="391">
                  <c:v>100</c:v>
                </c:pt>
                <c:pt idx="392">
                  <c:v>100</c:v>
                </c:pt>
                <c:pt idx="393">
                  <c:v>85.714285714285708</c:v>
                </c:pt>
                <c:pt idx="394">
                  <c:v>100</c:v>
                </c:pt>
                <c:pt idx="395">
                  <c:v>71.428571428571431</c:v>
                </c:pt>
                <c:pt idx="396">
                  <c:v>92.857142857142861</c:v>
                </c:pt>
                <c:pt idx="397">
                  <c:v>85.714285714285708</c:v>
                </c:pt>
                <c:pt idx="398">
                  <c:v>71.428571428571431</c:v>
                </c:pt>
                <c:pt idx="399">
                  <c:v>85.714285714285708</c:v>
                </c:pt>
                <c:pt idx="400">
                  <c:v>100</c:v>
                </c:pt>
                <c:pt idx="401">
                  <c:v>57.142857142857146</c:v>
                </c:pt>
                <c:pt idx="402">
                  <c:v>71.428571428571431</c:v>
                </c:pt>
                <c:pt idx="403">
                  <c:v>64.285714285714292</c:v>
                </c:pt>
                <c:pt idx="404">
                  <c:v>28.571428571428573</c:v>
                </c:pt>
                <c:pt idx="405">
                  <c:v>35.714285714285715</c:v>
                </c:pt>
                <c:pt idx="406">
                  <c:v>42.857142857142854</c:v>
                </c:pt>
                <c:pt idx="407">
                  <c:v>14.285714285714286</c:v>
                </c:pt>
                <c:pt idx="408">
                  <c:v>42.857142857142854</c:v>
                </c:pt>
                <c:pt idx="409">
                  <c:v>57.142857142857146</c:v>
                </c:pt>
                <c:pt idx="410">
                  <c:v>57.142857142857146</c:v>
                </c:pt>
                <c:pt idx="411">
                  <c:v>28.571428571428573</c:v>
                </c:pt>
                <c:pt idx="412">
                  <c:v>71.428571428571431</c:v>
                </c:pt>
                <c:pt idx="413">
                  <c:v>57.142857142857146</c:v>
                </c:pt>
                <c:pt idx="414">
                  <c:v>35.714285714285715</c:v>
                </c:pt>
                <c:pt idx="415">
                  <c:v>57.142857142857146</c:v>
                </c:pt>
                <c:pt idx="416">
                  <c:v>78.571428571428569</c:v>
                </c:pt>
                <c:pt idx="417">
                  <c:v>42.857142857142854</c:v>
                </c:pt>
                <c:pt idx="418">
                  <c:v>57.142857142857146</c:v>
                </c:pt>
                <c:pt idx="419">
                  <c:v>57.142857142857146</c:v>
                </c:pt>
                <c:pt idx="420">
                  <c:v>42.857142857142854</c:v>
                </c:pt>
                <c:pt idx="421">
                  <c:v>35.714285714285715</c:v>
                </c:pt>
                <c:pt idx="422">
                  <c:v>35.714285714285715</c:v>
                </c:pt>
                <c:pt idx="423">
                  <c:v>21.428571428571427</c:v>
                </c:pt>
                <c:pt idx="424">
                  <c:v>28.571428571428573</c:v>
                </c:pt>
                <c:pt idx="425">
                  <c:v>28.571428571428573</c:v>
                </c:pt>
                <c:pt idx="426">
                  <c:v>14.285714285714286</c:v>
                </c:pt>
                <c:pt idx="427">
                  <c:v>28.571428571428573</c:v>
                </c:pt>
                <c:pt idx="428">
                  <c:v>57.142857142857146</c:v>
                </c:pt>
                <c:pt idx="429">
                  <c:v>64.285714285714292</c:v>
                </c:pt>
                <c:pt idx="430">
                  <c:v>71.428571428571431</c:v>
                </c:pt>
                <c:pt idx="431">
                  <c:v>85.714285714285708</c:v>
                </c:pt>
                <c:pt idx="432">
                  <c:v>64.285714285714292</c:v>
                </c:pt>
                <c:pt idx="433">
                  <c:v>50</c:v>
                </c:pt>
                <c:pt idx="434">
                  <c:v>14.285714285714286</c:v>
                </c:pt>
                <c:pt idx="435">
                  <c:v>28.571428571428573</c:v>
                </c:pt>
                <c:pt idx="436">
                  <c:v>28.571428571428573</c:v>
                </c:pt>
                <c:pt idx="437">
                  <c:v>42.857142857142854</c:v>
                </c:pt>
                <c:pt idx="438">
                  <c:v>57.142857142857146</c:v>
                </c:pt>
                <c:pt idx="439">
                  <c:v>42.857142857142854</c:v>
                </c:pt>
                <c:pt idx="440">
                  <c:v>42.857142857142854</c:v>
                </c:pt>
                <c:pt idx="441">
                  <c:v>14.285714285714286</c:v>
                </c:pt>
                <c:pt idx="442">
                  <c:v>14.285714285714286</c:v>
                </c:pt>
                <c:pt idx="443">
                  <c:v>28.571428571428573</c:v>
                </c:pt>
                <c:pt idx="444">
                  <c:v>14.285714285714286</c:v>
                </c:pt>
                <c:pt idx="445">
                  <c:v>35.714285714285715</c:v>
                </c:pt>
                <c:pt idx="446">
                  <c:v>28.571428571428573</c:v>
                </c:pt>
                <c:pt idx="447">
                  <c:v>42.857142857142854</c:v>
                </c:pt>
                <c:pt idx="448">
                  <c:v>57.142857142857146</c:v>
                </c:pt>
                <c:pt idx="449">
                  <c:v>28.571428571428573</c:v>
                </c:pt>
                <c:pt idx="450">
                  <c:v>28.571428571428573</c:v>
                </c:pt>
                <c:pt idx="451">
                  <c:v>57.142857142857146</c:v>
                </c:pt>
                <c:pt idx="452">
                  <c:v>42.857142857142854</c:v>
                </c:pt>
                <c:pt idx="453">
                  <c:v>28.571428571428573</c:v>
                </c:pt>
                <c:pt idx="454">
                  <c:v>71.428571428571431</c:v>
                </c:pt>
                <c:pt idx="455">
                  <c:v>71.428571428571431</c:v>
                </c:pt>
                <c:pt idx="456">
                  <c:v>71.428571428571431</c:v>
                </c:pt>
                <c:pt idx="457">
                  <c:v>57.142857142857146</c:v>
                </c:pt>
                <c:pt idx="458">
                  <c:v>42.857142857142854</c:v>
                </c:pt>
                <c:pt idx="459">
                  <c:v>64.285714285714292</c:v>
                </c:pt>
                <c:pt idx="460">
                  <c:v>28.571428571428573</c:v>
                </c:pt>
                <c:pt idx="461">
                  <c:v>50</c:v>
                </c:pt>
                <c:pt idx="462">
                  <c:v>57.142857142857146</c:v>
                </c:pt>
                <c:pt idx="463">
                  <c:v>42.857142857142854</c:v>
                </c:pt>
                <c:pt idx="464">
                  <c:v>28.571428571428573</c:v>
                </c:pt>
                <c:pt idx="465">
                  <c:v>14.285714285714286</c:v>
                </c:pt>
                <c:pt idx="466">
                  <c:v>28.571428571428573</c:v>
                </c:pt>
                <c:pt idx="467">
                  <c:v>28.571428571428573</c:v>
                </c:pt>
                <c:pt idx="468">
                  <c:v>71.428571428571431</c:v>
                </c:pt>
                <c:pt idx="469">
                  <c:v>71.428571428571431</c:v>
                </c:pt>
                <c:pt idx="470">
                  <c:v>85.714285714285708</c:v>
                </c:pt>
                <c:pt idx="471">
                  <c:v>78.571428571428569</c:v>
                </c:pt>
                <c:pt idx="472">
                  <c:v>71.428571428571431</c:v>
                </c:pt>
                <c:pt idx="473">
                  <c:v>64.285714285714292</c:v>
                </c:pt>
                <c:pt idx="474">
                  <c:v>78.571428571428569</c:v>
                </c:pt>
                <c:pt idx="475">
                  <c:v>57.142857142857146</c:v>
                </c:pt>
                <c:pt idx="476">
                  <c:v>50</c:v>
                </c:pt>
                <c:pt idx="477">
                  <c:v>57.142857142857146</c:v>
                </c:pt>
                <c:pt idx="478">
                  <c:v>57.142857142857146</c:v>
                </c:pt>
                <c:pt idx="479">
                  <c:v>42.857142857142854</c:v>
                </c:pt>
                <c:pt idx="480">
                  <c:v>85.714285714285708</c:v>
                </c:pt>
                <c:pt idx="481">
                  <c:v>57.142857142857146</c:v>
                </c:pt>
                <c:pt idx="482">
                  <c:v>14.285714285714286</c:v>
                </c:pt>
                <c:pt idx="483">
                  <c:v>28.571428571428573</c:v>
                </c:pt>
                <c:pt idx="484">
                  <c:v>42.857142857142854</c:v>
                </c:pt>
                <c:pt idx="485">
                  <c:v>50</c:v>
                </c:pt>
                <c:pt idx="486">
                  <c:v>28.571428571428573</c:v>
                </c:pt>
                <c:pt idx="487">
                  <c:v>28.571428571428573</c:v>
                </c:pt>
                <c:pt idx="488">
                  <c:v>28.571428571428573</c:v>
                </c:pt>
                <c:pt idx="489">
                  <c:v>21.428571428571427</c:v>
                </c:pt>
                <c:pt idx="490">
                  <c:v>28.571428571428573</c:v>
                </c:pt>
                <c:pt idx="491">
                  <c:v>14.285714285714286</c:v>
                </c:pt>
                <c:pt idx="492">
                  <c:v>28.571428571428573</c:v>
                </c:pt>
                <c:pt idx="493">
                  <c:v>14.285714285714286</c:v>
                </c:pt>
                <c:pt idx="494">
                  <c:v>28.571428571428573</c:v>
                </c:pt>
                <c:pt idx="495">
                  <c:v>14.285714285714286</c:v>
                </c:pt>
                <c:pt idx="496">
                  <c:v>14.285714285714286</c:v>
                </c:pt>
                <c:pt idx="497">
                  <c:v>14.285714285714286</c:v>
                </c:pt>
                <c:pt idx="498">
                  <c:v>14.285714285714286</c:v>
                </c:pt>
                <c:pt idx="499">
                  <c:v>42.857142857142854</c:v>
                </c:pt>
                <c:pt idx="500">
                  <c:v>71.428571428571431</c:v>
                </c:pt>
                <c:pt idx="501">
                  <c:v>71.428571428571431</c:v>
                </c:pt>
                <c:pt idx="502">
                  <c:v>85.714285714285708</c:v>
                </c:pt>
                <c:pt idx="503">
                  <c:v>71.428571428571431</c:v>
                </c:pt>
                <c:pt idx="504">
                  <c:v>57.142857142857146</c:v>
                </c:pt>
                <c:pt idx="505">
                  <c:v>28.571428571428573</c:v>
                </c:pt>
                <c:pt idx="506">
                  <c:v>42.857142857142854</c:v>
                </c:pt>
                <c:pt idx="507">
                  <c:v>71.428571428571431</c:v>
                </c:pt>
                <c:pt idx="508">
                  <c:v>57.142857142857146</c:v>
                </c:pt>
                <c:pt idx="509">
                  <c:v>42.857142857142854</c:v>
                </c:pt>
                <c:pt idx="510">
                  <c:v>64.285714285714292</c:v>
                </c:pt>
                <c:pt idx="511">
                  <c:v>71.428571428571431</c:v>
                </c:pt>
                <c:pt idx="512">
                  <c:v>42.857142857142854</c:v>
                </c:pt>
                <c:pt idx="513">
                  <c:v>35.714285714285715</c:v>
                </c:pt>
                <c:pt idx="514">
                  <c:v>42.857142857142854</c:v>
                </c:pt>
                <c:pt idx="515">
                  <c:v>42.857142857142854</c:v>
                </c:pt>
                <c:pt idx="516">
                  <c:v>35.714285714285715</c:v>
                </c:pt>
                <c:pt idx="517">
                  <c:v>42.857142857142854</c:v>
                </c:pt>
                <c:pt idx="518">
                  <c:v>28.571428571428573</c:v>
                </c:pt>
                <c:pt idx="519">
                  <c:v>42.857142857142854</c:v>
                </c:pt>
                <c:pt idx="520">
                  <c:v>42.857142857142854</c:v>
                </c:pt>
                <c:pt idx="521">
                  <c:v>64.285714285714292</c:v>
                </c:pt>
                <c:pt idx="522">
                  <c:v>85.714285714285708</c:v>
                </c:pt>
                <c:pt idx="523">
                  <c:v>57.142857142857146</c:v>
                </c:pt>
                <c:pt idx="524">
                  <c:v>42.857142857142854</c:v>
                </c:pt>
                <c:pt idx="525">
                  <c:v>71.428571428571431</c:v>
                </c:pt>
                <c:pt idx="526">
                  <c:v>50</c:v>
                </c:pt>
                <c:pt idx="527">
                  <c:v>50</c:v>
                </c:pt>
                <c:pt idx="528">
                  <c:v>42.857142857142854</c:v>
                </c:pt>
                <c:pt idx="529">
                  <c:v>57.142857142857146</c:v>
                </c:pt>
                <c:pt idx="530">
                  <c:v>28.571428571428573</c:v>
                </c:pt>
                <c:pt idx="531">
                  <c:v>57.142857142857146</c:v>
                </c:pt>
                <c:pt idx="532">
                  <c:v>28.571428571428573</c:v>
                </c:pt>
                <c:pt idx="533">
                  <c:v>42.857142857142854</c:v>
                </c:pt>
                <c:pt idx="534">
                  <c:v>28.571428571428573</c:v>
                </c:pt>
                <c:pt idx="535">
                  <c:v>57.142857142857146</c:v>
                </c:pt>
                <c:pt idx="536">
                  <c:v>57.142857142857146</c:v>
                </c:pt>
                <c:pt idx="537">
                  <c:v>21.428571428571427</c:v>
                </c:pt>
                <c:pt idx="538">
                  <c:v>28.571428571428573</c:v>
                </c:pt>
                <c:pt idx="539">
                  <c:v>64.285714285714292</c:v>
                </c:pt>
                <c:pt idx="540">
                  <c:v>28.571428571428573</c:v>
                </c:pt>
                <c:pt idx="541">
                  <c:v>0</c:v>
                </c:pt>
                <c:pt idx="542">
                  <c:v>57.142857142857146</c:v>
                </c:pt>
                <c:pt idx="543">
                  <c:v>42.857142857142854</c:v>
                </c:pt>
                <c:pt idx="544">
                  <c:v>28.571428571428573</c:v>
                </c:pt>
                <c:pt idx="545">
                  <c:v>42.857142857142854</c:v>
                </c:pt>
                <c:pt idx="546">
                  <c:v>64.285714285714292</c:v>
                </c:pt>
                <c:pt idx="547">
                  <c:v>42.857142857142854</c:v>
                </c:pt>
                <c:pt idx="548">
                  <c:v>57.142857142857146</c:v>
                </c:pt>
                <c:pt idx="549">
                  <c:v>71.428571428571431</c:v>
                </c:pt>
                <c:pt idx="550">
                  <c:v>42.857142857142854</c:v>
                </c:pt>
                <c:pt idx="551">
                  <c:v>57.142857142857146</c:v>
                </c:pt>
                <c:pt idx="552">
                  <c:v>57.142857142857146</c:v>
                </c:pt>
                <c:pt idx="553">
                  <c:v>71.428571428571431</c:v>
                </c:pt>
                <c:pt idx="554">
                  <c:v>50</c:v>
                </c:pt>
                <c:pt idx="555">
                  <c:v>100</c:v>
                </c:pt>
                <c:pt idx="556">
                  <c:v>71.428571428571431</c:v>
                </c:pt>
                <c:pt idx="557">
                  <c:v>57.142857142857146</c:v>
                </c:pt>
                <c:pt idx="558">
                  <c:v>71.428571428571431</c:v>
                </c:pt>
                <c:pt idx="559">
                  <c:v>42.857142857142854</c:v>
                </c:pt>
                <c:pt idx="560">
                  <c:v>28.571428571428573</c:v>
                </c:pt>
                <c:pt idx="561">
                  <c:v>57.142857142857146</c:v>
                </c:pt>
                <c:pt idx="562">
                  <c:v>42.857142857142854</c:v>
                </c:pt>
                <c:pt idx="563">
                  <c:v>42.857142857142854</c:v>
                </c:pt>
                <c:pt idx="564">
                  <c:v>64.285714285714292</c:v>
                </c:pt>
                <c:pt idx="565">
                  <c:v>42.857142857142854</c:v>
                </c:pt>
                <c:pt idx="566">
                  <c:v>71.428571428571431</c:v>
                </c:pt>
              </c:numCache>
            </c:numRef>
          </c:val>
          <c:smooth val="0"/>
          <c:extLst>
            <c:ext xmlns:c16="http://schemas.microsoft.com/office/drawing/2014/chart" uri="{C3380CC4-5D6E-409C-BE32-E72D297353CC}">
              <c16:uniqueId val="{00000001-EDDA-477A-8F21-8A7FFC470BB7}"/>
            </c:ext>
          </c:extLst>
        </c:ser>
        <c:dLbls>
          <c:showLegendKey val="0"/>
          <c:showVal val="0"/>
          <c:showCatName val="0"/>
          <c:showSerName val="0"/>
          <c:showPercent val="0"/>
          <c:showBubbleSize val="0"/>
        </c:dLbls>
        <c:marker val="1"/>
        <c:smooth val="0"/>
        <c:axId val="564234008"/>
        <c:axId val="1"/>
      </c:lineChart>
      <c:lineChart>
        <c:grouping val="standard"/>
        <c:varyColors val="0"/>
        <c:ser>
          <c:idx val="2"/>
          <c:order val="2"/>
          <c:tx>
            <c:v>目盛り</c:v>
          </c:tx>
          <c:spPr>
            <a:ln w="25400">
              <a:solidFill>
                <a:srgbClr val="000000"/>
              </a:solidFill>
              <a:prstDash val="solid"/>
            </a:ln>
          </c:spPr>
          <c:marker>
            <c:symbol val="none"/>
          </c:marker>
          <c:cat>
            <c:strRef>
              <c:f>DI元データ!$B$5:$B$580</c:f>
              <c:strCache>
                <c:ptCount val="56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pt idx="564">
                  <c:v>8</c:v>
                </c:pt>
              </c:strCache>
            </c:strRef>
          </c:cat>
          <c:val>
            <c:numRef>
              <c:f>DI元データ!$N$5:$N$580</c:f>
              <c:numCache>
                <c:formatCode>General</c:formatCode>
                <c:ptCount val="57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pt idx="564">
                  <c:v>50</c:v>
                </c:pt>
                <c:pt idx="565">
                  <c:v>50</c:v>
                </c:pt>
                <c:pt idx="566">
                  <c:v>50</c:v>
                </c:pt>
                <c:pt idx="567">
                  <c:v>50</c:v>
                </c:pt>
                <c:pt idx="568">
                  <c:v>50</c:v>
                </c:pt>
                <c:pt idx="569">
                  <c:v>50</c:v>
                </c:pt>
                <c:pt idx="570">
                  <c:v>50</c:v>
                </c:pt>
                <c:pt idx="571">
                  <c:v>50</c:v>
                </c:pt>
                <c:pt idx="572">
                  <c:v>50</c:v>
                </c:pt>
                <c:pt idx="573">
                  <c:v>50</c:v>
                </c:pt>
                <c:pt idx="574">
                  <c:v>50</c:v>
                </c:pt>
                <c:pt idx="575">
                  <c:v>50</c:v>
                </c:pt>
              </c:numCache>
            </c:numRef>
          </c:val>
          <c:smooth val="0"/>
          <c:extLst>
            <c:ext xmlns:c16="http://schemas.microsoft.com/office/drawing/2014/chart" uri="{C3380CC4-5D6E-409C-BE32-E72D297353CC}">
              <c16:uniqueId val="{00000002-EDDA-477A-8F21-8A7FFC470BB7}"/>
            </c:ext>
          </c:extLst>
        </c:ser>
        <c:dLbls>
          <c:showLegendKey val="0"/>
          <c:showVal val="0"/>
          <c:showCatName val="0"/>
          <c:showSerName val="0"/>
          <c:showPercent val="0"/>
          <c:showBubbleSize val="0"/>
        </c:dLbls>
        <c:marker val="1"/>
        <c:smooth val="0"/>
        <c:axId val="3"/>
        <c:axId val="4"/>
      </c:lineChart>
      <c:catAx>
        <c:axId val="564234008"/>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5056491670792675"/>
              <c:y val="0.8291538669773902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0"/>
              <c:y val="2.4389910902392804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64234008"/>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一致指数</a:t>
            </a:r>
          </a:p>
        </c:rich>
      </c:tx>
      <c:layout>
        <c:manualLayout>
          <c:xMode val="edge"/>
          <c:yMode val="edge"/>
          <c:x val="0.44798545196956119"/>
          <c:y val="4.1254141874799588E-2"/>
        </c:manualLayout>
      </c:layout>
      <c:overlay val="0"/>
      <c:spPr>
        <a:noFill/>
        <a:ln w="25400">
          <a:noFill/>
        </a:ln>
      </c:spPr>
    </c:title>
    <c:autoTitleDeleted val="0"/>
    <c:plotArea>
      <c:layout>
        <c:manualLayout>
          <c:layoutTarget val="inner"/>
          <c:xMode val="edge"/>
          <c:yMode val="edge"/>
          <c:x val="4.2049954532395892E-2"/>
          <c:y val="0.18947417114044804"/>
          <c:w val="0.92008511020714556"/>
          <c:h val="0.62105422762702411"/>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DI元データ!$O$5:$O$580</c:f>
              <c:numCache>
                <c:formatCode>General</c:formatCode>
                <c:ptCount val="576"/>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656F-4B89-8928-6918BEE1007B}"/>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DI元データ!$E$3</c:f>
              <c:strCache>
                <c:ptCount val="1"/>
                <c:pt idx="0">
                  <c:v>一致指数</c:v>
                </c:pt>
              </c:strCache>
            </c:strRef>
          </c:tx>
          <c:spPr>
            <a:ln w="12700">
              <a:solidFill>
                <a:srgbClr val="000080"/>
              </a:solidFill>
              <a:prstDash val="solid"/>
            </a:ln>
          </c:spPr>
          <c:marker>
            <c:symbol val="none"/>
          </c:marker>
          <c:cat>
            <c:strRef>
              <c:f>DI元データ!$B$5:$B$580</c:f>
              <c:strCache>
                <c:ptCount val="56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pt idx="564">
                  <c:v>8</c:v>
                </c:pt>
              </c:strCache>
            </c:strRef>
          </c:cat>
          <c:val>
            <c:numRef>
              <c:f>DI元データ!$E$5:$E$580</c:f>
              <c:numCache>
                <c:formatCode>0.0</c:formatCode>
                <c:ptCount val="576"/>
                <c:pt idx="0">
                  <c:v>70</c:v>
                </c:pt>
                <c:pt idx="1">
                  <c:v>60</c:v>
                </c:pt>
                <c:pt idx="2">
                  <c:v>50</c:v>
                </c:pt>
                <c:pt idx="3">
                  <c:v>60</c:v>
                </c:pt>
                <c:pt idx="4">
                  <c:v>60</c:v>
                </c:pt>
                <c:pt idx="5">
                  <c:v>60</c:v>
                </c:pt>
                <c:pt idx="6">
                  <c:v>90</c:v>
                </c:pt>
                <c:pt idx="7">
                  <c:v>80</c:v>
                </c:pt>
                <c:pt idx="8">
                  <c:v>90</c:v>
                </c:pt>
                <c:pt idx="9">
                  <c:v>60</c:v>
                </c:pt>
                <c:pt idx="10">
                  <c:v>50</c:v>
                </c:pt>
                <c:pt idx="11">
                  <c:v>50</c:v>
                </c:pt>
                <c:pt idx="12">
                  <c:v>40</c:v>
                </c:pt>
                <c:pt idx="13">
                  <c:v>10</c:v>
                </c:pt>
                <c:pt idx="14">
                  <c:v>10</c:v>
                </c:pt>
                <c:pt idx="15">
                  <c:v>20</c:v>
                </c:pt>
                <c:pt idx="16">
                  <c:v>55</c:v>
                </c:pt>
                <c:pt idx="17">
                  <c:v>40</c:v>
                </c:pt>
                <c:pt idx="18">
                  <c:v>40</c:v>
                </c:pt>
                <c:pt idx="19">
                  <c:v>30</c:v>
                </c:pt>
                <c:pt idx="20">
                  <c:v>30</c:v>
                </c:pt>
                <c:pt idx="21">
                  <c:v>30</c:v>
                </c:pt>
                <c:pt idx="22">
                  <c:v>20</c:v>
                </c:pt>
                <c:pt idx="23">
                  <c:v>40</c:v>
                </c:pt>
                <c:pt idx="24">
                  <c:v>50</c:v>
                </c:pt>
                <c:pt idx="25">
                  <c:v>30</c:v>
                </c:pt>
                <c:pt idx="26">
                  <c:v>50</c:v>
                </c:pt>
                <c:pt idx="27">
                  <c:v>30</c:v>
                </c:pt>
                <c:pt idx="28">
                  <c:v>40</c:v>
                </c:pt>
                <c:pt idx="29">
                  <c:v>40</c:v>
                </c:pt>
                <c:pt idx="30">
                  <c:v>40</c:v>
                </c:pt>
                <c:pt idx="31">
                  <c:v>20</c:v>
                </c:pt>
                <c:pt idx="32">
                  <c:v>20</c:v>
                </c:pt>
                <c:pt idx="33">
                  <c:v>30</c:v>
                </c:pt>
                <c:pt idx="34">
                  <c:v>20</c:v>
                </c:pt>
                <c:pt idx="35">
                  <c:v>30</c:v>
                </c:pt>
                <c:pt idx="36">
                  <c:v>20</c:v>
                </c:pt>
                <c:pt idx="37">
                  <c:v>40</c:v>
                </c:pt>
                <c:pt idx="38">
                  <c:v>30</c:v>
                </c:pt>
                <c:pt idx="39">
                  <c:v>40</c:v>
                </c:pt>
                <c:pt idx="40">
                  <c:v>30</c:v>
                </c:pt>
                <c:pt idx="41">
                  <c:v>30</c:v>
                </c:pt>
                <c:pt idx="42">
                  <c:v>70</c:v>
                </c:pt>
                <c:pt idx="43">
                  <c:v>40</c:v>
                </c:pt>
                <c:pt idx="44">
                  <c:v>50</c:v>
                </c:pt>
                <c:pt idx="45">
                  <c:v>60</c:v>
                </c:pt>
                <c:pt idx="46">
                  <c:v>40</c:v>
                </c:pt>
                <c:pt idx="47">
                  <c:v>70</c:v>
                </c:pt>
                <c:pt idx="48">
                  <c:v>50</c:v>
                </c:pt>
                <c:pt idx="49">
                  <c:v>50</c:v>
                </c:pt>
                <c:pt idx="50">
                  <c:v>70</c:v>
                </c:pt>
                <c:pt idx="51">
                  <c:v>60</c:v>
                </c:pt>
                <c:pt idx="52">
                  <c:v>35</c:v>
                </c:pt>
                <c:pt idx="53">
                  <c:v>40</c:v>
                </c:pt>
                <c:pt idx="54">
                  <c:v>30</c:v>
                </c:pt>
                <c:pt idx="55">
                  <c:v>20</c:v>
                </c:pt>
                <c:pt idx="56">
                  <c:v>60</c:v>
                </c:pt>
                <c:pt idx="57">
                  <c:v>60</c:v>
                </c:pt>
                <c:pt idx="58">
                  <c:v>70</c:v>
                </c:pt>
                <c:pt idx="59">
                  <c:v>60</c:v>
                </c:pt>
                <c:pt idx="60">
                  <c:v>100</c:v>
                </c:pt>
                <c:pt idx="61">
                  <c:v>60</c:v>
                </c:pt>
                <c:pt idx="62">
                  <c:v>80</c:v>
                </c:pt>
                <c:pt idx="63">
                  <c:v>80</c:v>
                </c:pt>
                <c:pt idx="64">
                  <c:v>80</c:v>
                </c:pt>
                <c:pt idx="65">
                  <c:v>90</c:v>
                </c:pt>
                <c:pt idx="66">
                  <c:v>45</c:v>
                </c:pt>
                <c:pt idx="67">
                  <c:v>60</c:v>
                </c:pt>
                <c:pt idx="68">
                  <c:v>60</c:v>
                </c:pt>
                <c:pt idx="69">
                  <c:v>40</c:v>
                </c:pt>
                <c:pt idx="70">
                  <c:v>40</c:v>
                </c:pt>
                <c:pt idx="71">
                  <c:v>60</c:v>
                </c:pt>
                <c:pt idx="72">
                  <c:v>60</c:v>
                </c:pt>
                <c:pt idx="73">
                  <c:v>80</c:v>
                </c:pt>
                <c:pt idx="74">
                  <c:v>30</c:v>
                </c:pt>
                <c:pt idx="75">
                  <c:v>70</c:v>
                </c:pt>
                <c:pt idx="76">
                  <c:v>60</c:v>
                </c:pt>
                <c:pt idx="77">
                  <c:v>70</c:v>
                </c:pt>
                <c:pt idx="78">
                  <c:v>40</c:v>
                </c:pt>
                <c:pt idx="79">
                  <c:v>55</c:v>
                </c:pt>
                <c:pt idx="80">
                  <c:v>40</c:v>
                </c:pt>
                <c:pt idx="81">
                  <c:v>60</c:v>
                </c:pt>
                <c:pt idx="82">
                  <c:v>40</c:v>
                </c:pt>
                <c:pt idx="83">
                  <c:v>20</c:v>
                </c:pt>
                <c:pt idx="84">
                  <c:v>40</c:v>
                </c:pt>
                <c:pt idx="85">
                  <c:v>35</c:v>
                </c:pt>
                <c:pt idx="86">
                  <c:v>40</c:v>
                </c:pt>
                <c:pt idx="87">
                  <c:v>40</c:v>
                </c:pt>
                <c:pt idx="88">
                  <c:v>50</c:v>
                </c:pt>
                <c:pt idx="89">
                  <c:v>50</c:v>
                </c:pt>
                <c:pt idx="90">
                  <c:v>60</c:v>
                </c:pt>
                <c:pt idx="91">
                  <c:v>30</c:v>
                </c:pt>
                <c:pt idx="92">
                  <c:v>40</c:v>
                </c:pt>
                <c:pt idx="93">
                  <c:v>40</c:v>
                </c:pt>
                <c:pt idx="94">
                  <c:v>50</c:v>
                </c:pt>
                <c:pt idx="95">
                  <c:v>25</c:v>
                </c:pt>
                <c:pt idx="96">
                  <c:v>90</c:v>
                </c:pt>
                <c:pt idx="97">
                  <c:v>80</c:v>
                </c:pt>
                <c:pt idx="98">
                  <c:v>70</c:v>
                </c:pt>
                <c:pt idx="99">
                  <c:v>70</c:v>
                </c:pt>
                <c:pt idx="100">
                  <c:v>60</c:v>
                </c:pt>
                <c:pt idx="101">
                  <c:v>60</c:v>
                </c:pt>
                <c:pt idx="102">
                  <c:v>70</c:v>
                </c:pt>
                <c:pt idx="103">
                  <c:v>80</c:v>
                </c:pt>
                <c:pt idx="104">
                  <c:v>50</c:v>
                </c:pt>
                <c:pt idx="105">
                  <c:v>90</c:v>
                </c:pt>
                <c:pt idx="106">
                  <c:v>80</c:v>
                </c:pt>
                <c:pt idx="107">
                  <c:v>80</c:v>
                </c:pt>
                <c:pt idx="108">
                  <c:v>75</c:v>
                </c:pt>
                <c:pt idx="109">
                  <c:v>75</c:v>
                </c:pt>
                <c:pt idx="110">
                  <c:v>75</c:v>
                </c:pt>
                <c:pt idx="111">
                  <c:v>75</c:v>
                </c:pt>
                <c:pt idx="112">
                  <c:v>75</c:v>
                </c:pt>
                <c:pt idx="113">
                  <c:v>75</c:v>
                </c:pt>
                <c:pt idx="114">
                  <c:v>50</c:v>
                </c:pt>
                <c:pt idx="115">
                  <c:v>50</c:v>
                </c:pt>
                <c:pt idx="116">
                  <c:v>75</c:v>
                </c:pt>
                <c:pt idx="117">
                  <c:v>50</c:v>
                </c:pt>
                <c:pt idx="118">
                  <c:v>75</c:v>
                </c:pt>
                <c:pt idx="119">
                  <c:v>87.5</c:v>
                </c:pt>
                <c:pt idx="120" formatCode="0.0;&quot;▲ &quot;0.0">
                  <c:v>62.5</c:v>
                </c:pt>
                <c:pt idx="121" formatCode="0.0;&quot;▲ &quot;0.0">
                  <c:v>25</c:v>
                </c:pt>
                <c:pt idx="122" formatCode="0.0;&quot;▲ &quot;0.0">
                  <c:v>75</c:v>
                </c:pt>
                <c:pt idx="123" formatCode="0.0;&quot;▲ &quot;0.0">
                  <c:v>50</c:v>
                </c:pt>
                <c:pt idx="124" formatCode="0.0;&quot;▲ &quot;0.0">
                  <c:v>75</c:v>
                </c:pt>
                <c:pt idx="125" formatCode="0.0;&quot;▲ &quot;0.0">
                  <c:v>62.5</c:v>
                </c:pt>
                <c:pt idx="126" formatCode="0.0;&quot;▲ &quot;0.0">
                  <c:v>75</c:v>
                </c:pt>
                <c:pt idx="127" formatCode="0.0;&quot;▲ &quot;0.0">
                  <c:v>87.5</c:v>
                </c:pt>
                <c:pt idx="128" formatCode="0.0;&quot;▲ &quot;0.0">
                  <c:v>87.5</c:v>
                </c:pt>
                <c:pt idx="129" formatCode="0.0;&quot;▲ &quot;0.0">
                  <c:v>75</c:v>
                </c:pt>
                <c:pt idx="130" formatCode="0.0;&quot;▲ &quot;0.0">
                  <c:v>75</c:v>
                </c:pt>
                <c:pt idx="131" formatCode="0.0;&quot;▲ &quot;0.0">
                  <c:v>75</c:v>
                </c:pt>
                <c:pt idx="132" formatCode="0.0;&quot;▲ &quot;0.0">
                  <c:v>62.5</c:v>
                </c:pt>
                <c:pt idx="133" formatCode="0.0;&quot;▲ &quot;0.0">
                  <c:v>75</c:v>
                </c:pt>
                <c:pt idx="134" formatCode="0.0;&quot;▲ &quot;0.0">
                  <c:v>87.5</c:v>
                </c:pt>
                <c:pt idx="135" formatCode="0.0;&quot;▲ &quot;0.0">
                  <c:v>50</c:v>
                </c:pt>
                <c:pt idx="136" formatCode="0.0;&quot;▲ &quot;0.0">
                  <c:v>43.75</c:v>
                </c:pt>
                <c:pt idx="137" formatCode="0.0;&quot;▲ &quot;0.0">
                  <c:v>62.5</c:v>
                </c:pt>
                <c:pt idx="138" formatCode="0.0;&quot;▲ &quot;0.0">
                  <c:v>75</c:v>
                </c:pt>
                <c:pt idx="139" formatCode="0.0;&quot;▲ &quot;0.0">
                  <c:v>87.5</c:v>
                </c:pt>
                <c:pt idx="140" formatCode="0.0;&quot;▲ &quot;0.0">
                  <c:v>37.5</c:v>
                </c:pt>
                <c:pt idx="141" formatCode="0.0;&quot;▲ &quot;0.0">
                  <c:v>75</c:v>
                </c:pt>
                <c:pt idx="142" formatCode="0.0;&quot;▲ &quot;0.0">
                  <c:v>56.25</c:v>
                </c:pt>
                <c:pt idx="143" formatCode="0.0;&quot;▲ &quot;0.0">
                  <c:v>25</c:v>
                </c:pt>
                <c:pt idx="144" formatCode="0.0;&quot;▲ &quot;0.0">
                  <c:v>50</c:v>
                </c:pt>
                <c:pt idx="145" formatCode="0.0;&quot;▲ &quot;0.0">
                  <c:v>62.5</c:v>
                </c:pt>
                <c:pt idx="146" formatCode="0.0;&quot;▲ &quot;0.0">
                  <c:v>37.5</c:v>
                </c:pt>
                <c:pt idx="147" formatCode="0.0;&quot;▲ &quot;0.0">
                  <c:v>75</c:v>
                </c:pt>
                <c:pt idx="148" formatCode="0.0;&quot;▲ &quot;0.0">
                  <c:v>75</c:v>
                </c:pt>
                <c:pt idx="149" formatCode="0.0;&quot;▲ &quot;0.0">
                  <c:v>62.5</c:v>
                </c:pt>
                <c:pt idx="150" formatCode="0.0;&quot;▲ &quot;0.0">
                  <c:v>50</c:v>
                </c:pt>
                <c:pt idx="151" formatCode="0.0;&quot;▲ &quot;0.0">
                  <c:v>37.5</c:v>
                </c:pt>
                <c:pt idx="152" formatCode="0.0;&quot;▲ &quot;0.0">
                  <c:v>0</c:v>
                </c:pt>
                <c:pt idx="153" formatCode="0.0;&quot;▲ &quot;0.0">
                  <c:v>12.5</c:v>
                </c:pt>
                <c:pt idx="154" formatCode="0.0;&quot;▲ &quot;0.0">
                  <c:v>50</c:v>
                </c:pt>
                <c:pt idx="155" formatCode="0.0;&quot;▲ &quot;0.0">
                  <c:v>25</c:v>
                </c:pt>
                <c:pt idx="156" formatCode="0.0;&quot;▲ &quot;0.0">
                  <c:v>37.5</c:v>
                </c:pt>
                <c:pt idx="157" formatCode="0.0;&quot;▲ &quot;0.0">
                  <c:v>37.5</c:v>
                </c:pt>
                <c:pt idx="158" formatCode="0.0;&quot;▲ &quot;0.0">
                  <c:v>0</c:v>
                </c:pt>
                <c:pt idx="159" formatCode="0.0;&quot;▲ &quot;0.0">
                  <c:v>12.5</c:v>
                </c:pt>
                <c:pt idx="160" formatCode="0.0;&quot;▲ &quot;0.0">
                  <c:v>25</c:v>
                </c:pt>
                <c:pt idx="161" formatCode="0.0;&quot;▲ &quot;0.0">
                  <c:v>0</c:v>
                </c:pt>
                <c:pt idx="162" formatCode="0.0;&quot;▲ &quot;0.0">
                  <c:v>0</c:v>
                </c:pt>
                <c:pt idx="163" formatCode="0.0;&quot;▲ &quot;0.0">
                  <c:v>12.5</c:v>
                </c:pt>
                <c:pt idx="164" formatCode="0.0;&quot;▲ &quot;0.0">
                  <c:v>37.5</c:v>
                </c:pt>
                <c:pt idx="165" formatCode="0.0;&quot;▲ &quot;0.0">
                  <c:v>12.5</c:v>
                </c:pt>
                <c:pt idx="166" formatCode="0.0;&quot;▲ &quot;0.0">
                  <c:v>12.5</c:v>
                </c:pt>
                <c:pt idx="167" formatCode="0.0;&quot;▲ &quot;0.0">
                  <c:v>18.75</c:v>
                </c:pt>
                <c:pt idx="168" formatCode="0.0;&quot;▲ &quot;0.0">
                  <c:v>62.5</c:v>
                </c:pt>
                <c:pt idx="169" formatCode="0.0;&quot;▲ &quot;0.0">
                  <c:v>12.5</c:v>
                </c:pt>
                <c:pt idx="170" formatCode="0.0;&quot;▲ &quot;0.0">
                  <c:v>62.5</c:v>
                </c:pt>
                <c:pt idx="171" formatCode="0.0;&quot;▲ &quot;0.0">
                  <c:v>62.5</c:v>
                </c:pt>
                <c:pt idx="172" formatCode="0.0;&quot;▲ &quot;0.0">
                  <c:v>25</c:v>
                </c:pt>
                <c:pt idx="173" formatCode="0.0;&quot;▲ &quot;0.0">
                  <c:v>37.5</c:v>
                </c:pt>
                <c:pt idx="174" formatCode="0.0;&quot;▲ &quot;0.0">
                  <c:v>62.5</c:v>
                </c:pt>
                <c:pt idx="175" formatCode="0.0;&quot;▲ &quot;0.0">
                  <c:v>25</c:v>
                </c:pt>
                <c:pt idx="176" formatCode="0.0;&quot;▲ &quot;0.0">
                  <c:v>37.5</c:v>
                </c:pt>
                <c:pt idx="177" formatCode="0.0;&quot;▲ &quot;0.0">
                  <c:v>25</c:v>
                </c:pt>
                <c:pt idx="178" formatCode="0.0;&quot;▲ &quot;0.0">
                  <c:v>25</c:v>
                </c:pt>
                <c:pt idx="179" formatCode="0.0;&quot;▲ &quot;0.0">
                  <c:v>12.5</c:v>
                </c:pt>
                <c:pt idx="180" formatCode="0.0;&quot;▲ &quot;0.0">
                  <c:v>56.25</c:v>
                </c:pt>
                <c:pt idx="181" formatCode="0.0;&quot;▲ &quot;0.0">
                  <c:v>25</c:v>
                </c:pt>
                <c:pt idx="182" formatCode="0.0;&quot;▲ &quot;0.0">
                  <c:v>87.5</c:v>
                </c:pt>
                <c:pt idx="183" formatCode="0.0;&quot;▲ &quot;0.0">
                  <c:v>68.75</c:v>
                </c:pt>
                <c:pt idx="184" formatCode="0.0;&quot;▲ &quot;0.0">
                  <c:v>62.5</c:v>
                </c:pt>
                <c:pt idx="185" formatCode="0.0;&quot;▲ &quot;0.0">
                  <c:v>50</c:v>
                </c:pt>
                <c:pt idx="186" formatCode="0.0;&quot;▲ &quot;0.0">
                  <c:v>62.5</c:v>
                </c:pt>
                <c:pt idx="187" formatCode="0.0;&quot;▲ &quot;0.0">
                  <c:v>31.25</c:v>
                </c:pt>
                <c:pt idx="188" formatCode="0.0;&quot;▲ &quot;0.0">
                  <c:v>25</c:v>
                </c:pt>
                <c:pt idx="189" formatCode="0.0;&quot;▲ &quot;0.0">
                  <c:v>50</c:v>
                </c:pt>
                <c:pt idx="190" formatCode="0.0;&quot;▲ &quot;0.0">
                  <c:v>87.5</c:v>
                </c:pt>
                <c:pt idx="191" formatCode="0.0;&quot;▲ &quot;0.0">
                  <c:v>62.5</c:v>
                </c:pt>
                <c:pt idx="192">
                  <c:v>62.5</c:v>
                </c:pt>
                <c:pt idx="193">
                  <c:v>81.25</c:v>
                </c:pt>
                <c:pt idx="194">
                  <c:v>25</c:v>
                </c:pt>
                <c:pt idx="195">
                  <c:v>37.5</c:v>
                </c:pt>
                <c:pt idx="196">
                  <c:v>50</c:v>
                </c:pt>
                <c:pt idx="197">
                  <c:v>37.5</c:v>
                </c:pt>
                <c:pt idx="198">
                  <c:v>25</c:v>
                </c:pt>
                <c:pt idx="199">
                  <c:v>62.5</c:v>
                </c:pt>
                <c:pt idx="200">
                  <c:v>62.5</c:v>
                </c:pt>
                <c:pt idx="201">
                  <c:v>62.5</c:v>
                </c:pt>
                <c:pt idx="202">
                  <c:v>62.5</c:v>
                </c:pt>
                <c:pt idx="203">
                  <c:v>75</c:v>
                </c:pt>
                <c:pt idx="204">
                  <c:v>75</c:v>
                </c:pt>
                <c:pt idx="205">
                  <c:v>62.5</c:v>
                </c:pt>
                <c:pt idx="206">
                  <c:v>56.25</c:v>
                </c:pt>
                <c:pt idx="207">
                  <c:v>37.5</c:v>
                </c:pt>
                <c:pt idx="208">
                  <c:v>50</c:v>
                </c:pt>
                <c:pt idx="209">
                  <c:v>37.5</c:v>
                </c:pt>
                <c:pt idx="210">
                  <c:v>25</c:v>
                </c:pt>
                <c:pt idx="211">
                  <c:v>75</c:v>
                </c:pt>
                <c:pt idx="212">
                  <c:v>75</c:v>
                </c:pt>
                <c:pt idx="213">
                  <c:v>75</c:v>
                </c:pt>
                <c:pt idx="214">
                  <c:v>87.5</c:v>
                </c:pt>
                <c:pt idx="215">
                  <c:v>50</c:v>
                </c:pt>
                <c:pt idx="216">
                  <c:v>62.5</c:v>
                </c:pt>
                <c:pt idx="217">
                  <c:v>75</c:v>
                </c:pt>
                <c:pt idx="218">
                  <c:v>50</c:v>
                </c:pt>
                <c:pt idx="219">
                  <c:v>50</c:v>
                </c:pt>
                <c:pt idx="220">
                  <c:v>87.5</c:v>
                </c:pt>
                <c:pt idx="221">
                  <c:v>68.75</c:v>
                </c:pt>
                <c:pt idx="222">
                  <c:v>75</c:v>
                </c:pt>
                <c:pt idx="223">
                  <c:v>31.25</c:v>
                </c:pt>
                <c:pt idx="224">
                  <c:v>25</c:v>
                </c:pt>
                <c:pt idx="225">
                  <c:v>12.5</c:v>
                </c:pt>
                <c:pt idx="226">
                  <c:v>0</c:v>
                </c:pt>
                <c:pt idx="227">
                  <c:v>0</c:v>
                </c:pt>
                <c:pt idx="228">
                  <c:v>0</c:v>
                </c:pt>
                <c:pt idx="229">
                  <c:v>0</c:v>
                </c:pt>
                <c:pt idx="230">
                  <c:v>37.5</c:v>
                </c:pt>
                <c:pt idx="231">
                  <c:v>0</c:v>
                </c:pt>
                <c:pt idx="232">
                  <c:v>12.5</c:v>
                </c:pt>
                <c:pt idx="233">
                  <c:v>37.5</c:v>
                </c:pt>
                <c:pt idx="234">
                  <c:v>25</c:v>
                </c:pt>
                <c:pt idx="235">
                  <c:v>12.5</c:v>
                </c:pt>
                <c:pt idx="236">
                  <c:v>25</c:v>
                </c:pt>
                <c:pt idx="237">
                  <c:v>50</c:v>
                </c:pt>
                <c:pt idx="238">
                  <c:v>37.5</c:v>
                </c:pt>
                <c:pt idx="239">
                  <c:v>25</c:v>
                </c:pt>
                <c:pt idx="240">
                  <c:v>37.5</c:v>
                </c:pt>
                <c:pt idx="241">
                  <c:v>12.5</c:v>
                </c:pt>
                <c:pt idx="242">
                  <c:v>62.5</c:v>
                </c:pt>
                <c:pt idx="243">
                  <c:v>43.75</c:v>
                </c:pt>
                <c:pt idx="244">
                  <c:v>31.25</c:v>
                </c:pt>
                <c:pt idx="245">
                  <c:v>75</c:v>
                </c:pt>
                <c:pt idx="246">
                  <c:v>81.25</c:v>
                </c:pt>
                <c:pt idx="247">
                  <c:v>37.5</c:v>
                </c:pt>
                <c:pt idx="248">
                  <c:v>75</c:v>
                </c:pt>
                <c:pt idx="249">
                  <c:v>62.5</c:v>
                </c:pt>
                <c:pt idx="250">
                  <c:v>50</c:v>
                </c:pt>
                <c:pt idx="251">
                  <c:v>62.5</c:v>
                </c:pt>
                <c:pt idx="252">
                  <c:v>50</c:v>
                </c:pt>
                <c:pt idx="253">
                  <c:v>56.25</c:v>
                </c:pt>
                <c:pt idx="254">
                  <c:v>100</c:v>
                </c:pt>
                <c:pt idx="255">
                  <c:v>37.5</c:v>
                </c:pt>
                <c:pt idx="256">
                  <c:v>87.5</c:v>
                </c:pt>
                <c:pt idx="257">
                  <c:v>87.5</c:v>
                </c:pt>
                <c:pt idx="258">
                  <c:v>100</c:v>
                </c:pt>
                <c:pt idx="259">
                  <c:v>25</c:v>
                </c:pt>
                <c:pt idx="260">
                  <c:v>100</c:v>
                </c:pt>
                <c:pt idx="261">
                  <c:v>87.5</c:v>
                </c:pt>
                <c:pt idx="262">
                  <c:v>81.25</c:v>
                </c:pt>
                <c:pt idx="263">
                  <c:v>68.75</c:v>
                </c:pt>
                <c:pt idx="264">
                  <c:v>50</c:v>
                </c:pt>
                <c:pt idx="265">
                  <c:v>37.5</c:v>
                </c:pt>
                <c:pt idx="266">
                  <c:v>37.5</c:v>
                </c:pt>
                <c:pt idx="267">
                  <c:v>12.5</c:v>
                </c:pt>
                <c:pt idx="268">
                  <c:v>25</c:v>
                </c:pt>
                <c:pt idx="269">
                  <c:v>12.5</c:v>
                </c:pt>
                <c:pt idx="270">
                  <c:v>12.5</c:v>
                </c:pt>
                <c:pt idx="271">
                  <c:v>12.5</c:v>
                </c:pt>
                <c:pt idx="272">
                  <c:v>12.5</c:v>
                </c:pt>
                <c:pt idx="273">
                  <c:v>0</c:v>
                </c:pt>
                <c:pt idx="274">
                  <c:v>0</c:v>
                </c:pt>
                <c:pt idx="275">
                  <c:v>12.5</c:v>
                </c:pt>
                <c:pt idx="276">
                  <c:v>25</c:v>
                </c:pt>
                <c:pt idx="277">
                  <c:v>12.5</c:v>
                </c:pt>
                <c:pt idx="278">
                  <c:v>68.75</c:v>
                </c:pt>
                <c:pt idx="279">
                  <c:v>62.5</c:v>
                </c:pt>
                <c:pt idx="280">
                  <c:v>87.5</c:v>
                </c:pt>
                <c:pt idx="281">
                  <c:v>87.5</c:v>
                </c:pt>
                <c:pt idx="282">
                  <c:v>75</c:v>
                </c:pt>
                <c:pt idx="283">
                  <c:v>50</c:v>
                </c:pt>
                <c:pt idx="284">
                  <c:v>100</c:v>
                </c:pt>
                <c:pt idx="285">
                  <c:v>87.5</c:v>
                </c:pt>
                <c:pt idx="286">
                  <c:v>87.5</c:v>
                </c:pt>
                <c:pt idx="287">
                  <c:v>87.5</c:v>
                </c:pt>
                <c:pt idx="288">
                  <c:v>75</c:v>
                </c:pt>
                <c:pt idx="289">
                  <c:v>37.5</c:v>
                </c:pt>
                <c:pt idx="290">
                  <c:v>75</c:v>
                </c:pt>
                <c:pt idx="291">
                  <c:v>25</c:v>
                </c:pt>
                <c:pt idx="292">
                  <c:v>50</c:v>
                </c:pt>
                <c:pt idx="293">
                  <c:v>75</c:v>
                </c:pt>
                <c:pt idx="294">
                  <c:v>100</c:v>
                </c:pt>
                <c:pt idx="295">
                  <c:v>50</c:v>
                </c:pt>
                <c:pt idx="296">
                  <c:v>100</c:v>
                </c:pt>
                <c:pt idx="297">
                  <c:v>87.5</c:v>
                </c:pt>
                <c:pt idx="298">
                  <c:v>87.5</c:v>
                </c:pt>
                <c:pt idx="299">
                  <c:v>87.5</c:v>
                </c:pt>
                <c:pt idx="300">
                  <c:v>75</c:v>
                </c:pt>
                <c:pt idx="301">
                  <c:v>87.5</c:v>
                </c:pt>
                <c:pt idx="302">
                  <c:v>68.75</c:v>
                </c:pt>
                <c:pt idx="303">
                  <c:v>62.5</c:v>
                </c:pt>
                <c:pt idx="304">
                  <c:v>62.5</c:v>
                </c:pt>
                <c:pt idx="305">
                  <c:v>75</c:v>
                </c:pt>
                <c:pt idx="306">
                  <c:v>87.5</c:v>
                </c:pt>
                <c:pt idx="307">
                  <c:v>75</c:v>
                </c:pt>
                <c:pt idx="308">
                  <c:v>25</c:v>
                </c:pt>
                <c:pt idx="309">
                  <c:v>25</c:v>
                </c:pt>
                <c:pt idx="310">
                  <c:v>25</c:v>
                </c:pt>
                <c:pt idx="311">
                  <c:v>12.5</c:v>
                </c:pt>
                <c:pt idx="312">
                  <c:v>25</c:v>
                </c:pt>
                <c:pt idx="313">
                  <c:v>37.5</c:v>
                </c:pt>
                <c:pt idx="314">
                  <c:v>50</c:v>
                </c:pt>
                <c:pt idx="315">
                  <c:v>37.5</c:v>
                </c:pt>
                <c:pt idx="316">
                  <c:v>37.5</c:v>
                </c:pt>
                <c:pt idx="317">
                  <c:v>43.75</c:v>
                </c:pt>
                <c:pt idx="318">
                  <c:v>12.5</c:v>
                </c:pt>
                <c:pt idx="319">
                  <c:v>75</c:v>
                </c:pt>
                <c:pt idx="320">
                  <c:v>50</c:v>
                </c:pt>
                <c:pt idx="321">
                  <c:v>75</c:v>
                </c:pt>
                <c:pt idx="322">
                  <c:v>100</c:v>
                </c:pt>
                <c:pt idx="323">
                  <c:v>75</c:v>
                </c:pt>
                <c:pt idx="324">
                  <c:v>62.5</c:v>
                </c:pt>
                <c:pt idx="325">
                  <c:v>87.5</c:v>
                </c:pt>
                <c:pt idx="326">
                  <c:v>62.5</c:v>
                </c:pt>
                <c:pt idx="327">
                  <c:v>87.5</c:v>
                </c:pt>
                <c:pt idx="328">
                  <c:v>87.5</c:v>
                </c:pt>
                <c:pt idx="329">
                  <c:v>75</c:v>
                </c:pt>
                <c:pt idx="330">
                  <c:v>87.5</c:v>
                </c:pt>
                <c:pt idx="331">
                  <c:v>87.5</c:v>
                </c:pt>
                <c:pt idx="332">
                  <c:v>50</c:v>
                </c:pt>
                <c:pt idx="333">
                  <c:v>87.5</c:v>
                </c:pt>
                <c:pt idx="334">
                  <c:v>100</c:v>
                </c:pt>
                <c:pt idx="335">
                  <c:v>87.5</c:v>
                </c:pt>
                <c:pt idx="336">
                  <c:v>100</c:v>
                </c:pt>
                <c:pt idx="337">
                  <c:v>93.75</c:v>
                </c:pt>
                <c:pt idx="338">
                  <c:v>75</c:v>
                </c:pt>
                <c:pt idx="339">
                  <c:v>75</c:v>
                </c:pt>
                <c:pt idx="340">
                  <c:v>75</c:v>
                </c:pt>
                <c:pt idx="341">
                  <c:v>75</c:v>
                </c:pt>
                <c:pt idx="342">
                  <c:v>50</c:v>
                </c:pt>
                <c:pt idx="343">
                  <c:v>62.5</c:v>
                </c:pt>
                <c:pt idx="344">
                  <c:v>62.5</c:v>
                </c:pt>
                <c:pt idx="345">
                  <c:v>62.5</c:v>
                </c:pt>
                <c:pt idx="346">
                  <c:v>50</c:v>
                </c:pt>
                <c:pt idx="347">
                  <c:v>50</c:v>
                </c:pt>
                <c:pt idx="348">
                  <c:v>37.5</c:v>
                </c:pt>
                <c:pt idx="349">
                  <c:v>37.5</c:v>
                </c:pt>
                <c:pt idx="350">
                  <c:v>25</c:v>
                </c:pt>
                <c:pt idx="351">
                  <c:v>37.5</c:v>
                </c:pt>
                <c:pt idx="352">
                  <c:v>18.75</c:v>
                </c:pt>
                <c:pt idx="353">
                  <c:v>25</c:v>
                </c:pt>
                <c:pt idx="354">
                  <c:v>12.5</c:v>
                </c:pt>
                <c:pt idx="355">
                  <c:v>0</c:v>
                </c:pt>
                <c:pt idx="356">
                  <c:v>12.5</c:v>
                </c:pt>
                <c:pt idx="357">
                  <c:v>25</c:v>
                </c:pt>
                <c:pt idx="358">
                  <c:v>12.5</c:v>
                </c:pt>
                <c:pt idx="359">
                  <c:v>0</c:v>
                </c:pt>
                <c:pt idx="360">
                  <c:v>0</c:v>
                </c:pt>
                <c:pt idx="361">
                  <c:v>0</c:v>
                </c:pt>
                <c:pt idx="362">
                  <c:v>0</c:v>
                </c:pt>
                <c:pt idx="363">
                  <c:v>0</c:v>
                </c:pt>
                <c:pt idx="364">
                  <c:v>0</c:v>
                </c:pt>
                <c:pt idx="365">
                  <c:v>50</c:v>
                </c:pt>
                <c:pt idx="366">
                  <c:v>50</c:v>
                </c:pt>
                <c:pt idx="367">
                  <c:v>87.5</c:v>
                </c:pt>
                <c:pt idx="368">
                  <c:v>75</c:v>
                </c:pt>
                <c:pt idx="369">
                  <c:v>100</c:v>
                </c:pt>
                <c:pt idx="370">
                  <c:v>100</c:v>
                </c:pt>
                <c:pt idx="371">
                  <c:v>87.5</c:v>
                </c:pt>
                <c:pt idx="372">
                  <c:v>100</c:v>
                </c:pt>
                <c:pt idx="373">
                  <c:v>87.5</c:v>
                </c:pt>
                <c:pt idx="374">
                  <c:v>100</c:v>
                </c:pt>
                <c:pt idx="375">
                  <c:v>100</c:v>
                </c:pt>
                <c:pt idx="376">
                  <c:v>100</c:v>
                </c:pt>
                <c:pt idx="377">
                  <c:v>75</c:v>
                </c:pt>
                <c:pt idx="378">
                  <c:v>81.25</c:v>
                </c:pt>
                <c:pt idx="379">
                  <c:v>87.5</c:v>
                </c:pt>
                <c:pt idx="380">
                  <c:v>87.5</c:v>
                </c:pt>
                <c:pt idx="381">
                  <c:v>87.5</c:v>
                </c:pt>
                <c:pt idx="382">
                  <c:v>87.5</c:v>
                </c:pt>
                <c:pt idx="383">
                  <c:v>100</c:v>
                </c:pt>
                <c:pt idx="384">
                  <c:v>81.25</c:v>
                </c:pt>
                <c:pt idx="385">
                  <c:v>75</c:v>
                </c:pt>
                <c:pt idx="386">
                  <c:v>16.666666666666668</c:v>
                </c:pt>
                <c:pt idx="387">
                  <c:v>0</c:v>
                </c:pt>
                <c:pt idx="388">
                  <c:v>0</c:v>
                </c:pt>
                <c:pt idx="389">
                  <c:v>0</c:v>
                </c:pt>
                <c:pt idx="390">
                  <c:v>12.5</c:v>
                </c:pt>
                <c:pt idx="391">
                  <c:v>83.333333333333343</c:v>
                </c:pt>
                <c:pt idx="392">
                  <c:v>100</c:v>
                </c:pt>
                <c:pt idx="393">
                  <c:v>75</c:v>
                </c:pt>
                <c:pt idx="394">
                  <c:v>62.5</c:v>
                </c:pt>
                <c:pt idx="395">
                  <c:v>75</c:v>
                </c:pt>
                <c:pt idx="396">
                  <c:v>87.5</c:v>
                </c:pt>
                <c:pt idx="397">
                  <c:v>75</c:v>
                </c:pt>
                <c:pt idx="398">
                  <c:v>75</c:v>
                </c:pt>
                <c:pt idx="399">
                  <c:v>75</c:v>
                </c:pt>
                <c:pt idx="400">
                  <c:v>75</c:v>
                </c:pt>
                <c:pt idx="401">
                  <c:v>37.5</c:v>
                </c:pt>
                <c:pt idx="402">
                  <c:v>62.5</c:v>
                </c:pt>
                <c:pt idx="403">
                  <c:v>25</c:v>
                </c:pt>
                <c:pt idx="404">
                  <c:v>37.5</c:v>
                </c:pt>
                <c:pt idx="405">
                  <c:v>12.5</c:v>
                </c:pt>
                <c:pt idx="406">
                  <c:v>12.5</c:v>
                </c:pt>
                <c:pt idx="407">
                  <c:v>37.5</c:v>
                </c:pt>
                <c:pt idx="408">
                  <c:v>50</c:v>
                </c:pt>
                <c:pt idx="409">
                  <c:v>50</c:v>
                </c:pt>
                <c:pt idx="410">
                  <c:v>62.5</c:v>
                </c:pt>
                <c:pt idx="411">
                  <c:v>62.5</c:v>
                </c:pt>
                <c:pt idx="412">
                  <c:v>50</c:v>
                </c:pt>
                <c:pt idx="413">
                  <c:v>62.5</c:v>
                </c:pt>
                <c:pt idx="414">
                  <c:v>75</c:v>
                </c:pt>
                <c:pt idx="415">
                  <c:v>50</c:v>
                </c:pt>
                <c:pt idx="416">
                  <c:v>100</c:v>
                </c:pt>
                <c:pt idx="417">
                  <c:v>75</c:v>
                </c:pt>
                <c:pt idx="418">
                  <c:v>62.5</c:v>
                </c:pt>
                <c:pt idx="419">
                  <c:v>62.5</c:v>
                </c:pt>
                <c:pt idx="420">
                  <c:v>62.5</c:v>
                </c:pt>
                <c:pt idx="421">
                  <c:v>75</c:v>
                </c:pt>
                <c:pt idx="422">
                  <c:v>50</c:v>
                </c:pt>
                <c:pt idx="423">
                  <c:v>37.5</c:v>
                </c:pt>
                <c:pt idx="424">
                  <c:v>43.75</c:v>
                </c:pt>
                <c:pt idx="425">
                  <c:v>75</c:v>
                </c:pt>
                <c:pt idx="426">
                  <c:v>37.5</c:v>
                </c:pt>
                <c:pt idx="427">
                  <c:v>12.5</c:v>
                </c:pt>
                <c:pt idx="428">
                  <c:v>87.5</c:v>
                </c:pt>
                <c:pt idx="429">
                  <c:v>62.5</c:v>
                </c:pt>
                <c:pt idx="430">
                  <c:v>50</c:v>
                </c:pt>
                <c:pt idx="431">
                  <c:v>37.5</c:v>
                </c:pt>
                <c:pt idx="432">
                  <c:v>100</c:v>
                </c:pt>
                <c:pt idx="433">
                  <c:v>50</c:v>
                </c:pt>
                <c:pt idx="434">
                  <c:v>62.5</c:v>
                </c:pt>
                <c:pt idx="435">
                  <c:v>50</c:v>
                </c:pt>
                <c:pt idx="436">
                  <c:v>75</c:v>
                </c:pt>
                <c:pt idx="437">
                  <c:v>12.5</c:v>
                </c:pt>
                <c:pt idx="438">
                  <c:v>50</c:v>
                </c:pt>
                <c:pt idx="439">
                  <c:v>50</c:v>
                </c:pt>
                <c:pt idx="440">
                  <c:v>25</c:v>
                </c:pt>
                <c:pt idx="441">
                  <c:v>25</c:v>
                </c:pt>
                <c:pt idx="442">
                  <c:v>37.5</c:v>
                </c:pt>
                <c:pt idx="443">
                  <c:v>25</c:v>
                </c:pt>
                <c:pt idx="444">
                  <c:v>25</c:v>
                </c:pt>
                <c:pt idx="445">
                  <c:v>50</c:v>
                </c:pt>
                <c:pt idx="446">
                  <c:v>50</c:v>
                </c:pt>
                <c:pt idx="447">
                  <c:v>62.5</c:v>
                </c:pt>
                <c:pt idx="448">
                  <c:v>31.25</c:v>
                </c:pt>
                <c:pt idx="449">
                  <c:v>25</c:v>
                </c:pt>
                <c:pt idx="450">
                  <c:v>37.5</c:v>
                </c:pt>
                <c:pt idx="451">
                  <c:v>25</c:v>
                </c:pt>
                <c:pt idx="452">
                  <c:v>87.5</c:v>
                </c:pt>
                <c:pt idx="453">
                  <c:v>87.5</c:v>
                </c:pt>
                <c:pt idx="454">
                  <c:v>87.5</c:v>
                </c:pt>
                <c:pt idx="455">
                  <c:v>100</c:v>
                </c:pt>
                <c:pt idx="456">
                  <c:v>100</c:v>
                </c:pt>
                <c:pt idx="457">
                  <c:v>75</c:v>
                </c:pt>
                <c:pt idx="458">
                  <c:v>87.5</c:v>
                </c:pt>
                <c:pt idx="459">
                  <c:v>87.5</c:v>
                </c:pt>
                <c:pt idx="460">
                  <c:v>75</c:v>
                </c:pt>
                <c:pt idx="461">
                  <c:v>87.5</c:v>
                </c:pt>
                <c:pt idx="462">
                  <c:v>87.5</c:v>
                </c:pt>
                <c:pt idx="463">
                  <c:v>62.5</c:v>
                </c:pt>
                <c:pt idx="464">
                  <c:v>31.25</c:v>
                </c:pt>
                <c:pt idx="465">
                  <c:v>43.75</c:v>
                </c:pt>
                <c:pt idx="466">
                  <c:v>75</c:v>
                </c:pt>
                <c:pt idx="467">
                  <c:v>75</c:v>
                </c:pt>
                <c:pt idx="468">
                  <c:v>75</c:v>
                </c:pt>
                <c:pt idx="469">
                  <c:v>62.5</c:v>
                </c:pt>
                <c:pt idx="470">
                  <c:v>75</c:v>
                </c:pt>
                <c:pt idx="471">
                  <c:v>75</c:v>
                </c:pt>
                <c:pt idx="472">
                  <c:v>62.5</c:v>
                </c:pt>
                <c:pt idx="473">
                  <c:v>75</c:v>
                </c:pt>
                <c:pt idx="474">
                  <c:v>87.5</c:v>
                </c:pt>
                <c:pt idx="475">
                  <c:v>62.5</c:v>
                </c:pt>
                <c:pt idx="476">
                  <c:v>50</c:v>
                </c:pt>
                <c:pt idx="477">
                  <c:v>62.5</c:v>
                </c:pt>
                <c:pt idx="478">
                  <c:v>6.25</c:v>
                </c:pt>
                <c:pt idx="479">
                  <c:v>6.25</c:v>
                </c:pt>
                <c:pt idx="480">
                  <c:v>12.5</c:v>
                </c:pt>
                <c:pt idx="481">
                  <c:v>25</c:v>
                </c:pt>
                <c:pt idx="482">
                  <c:v>37.5</c:v>
                </c:pt>
                <c:pt idx="483">
                  <c:v>50</c:v>
                </c:pt>
                <c:pt idx="484">
                  <c:v>37.5</c:v>
                </c:pt>
                <c:pt idx="485">
                  <c:v>62.5</c:v>
                </c:pt>
                <c:pt idx="486">
                  <c:v>12.5</c:v>
                </c:pt>
                <c:pt idx="487">
                  <c:v>25</c:v>
                </c:pt>
                <c:pt idx="488">
                  <c:v>62.5</c:v>
                </c:pt>
                <c:pt idx="489">
                  <c:v>25</c:v>
                </c:pt>
                <c:pt idx="490">
                  <c:v>12.5</c:v>
                </c:pt>
                <c:pt idx="491">
                  <c:v>12.5</c:v>
                </c:pt>
                <c:pt idx="492">
                  <c:v>12.5</c:v>
                </c:pt>
                <c:pt idx="493">
                  <c:v>37.5</c:v>
                </c:pt>
                <c:pt idx="494">
                  <c:v>37.5</c:v>
                </c:pt>
                <c:pt idx="495">
                  <c:v>50</c:v>
                </c:pt>
                <c:pt idx="496">
                  <c:v>0</c:v>
                </c:pt>
                <c:pt idx="497">
                  <c:v>0</c:v>
                </c:pt>
                <c:pt idx="498">
                  <c:v>12.5</c:v>
                </c:pt>
                <c:pt idx="499">
                  <c:v>0</c:v>
                </c:pt>
                <c:pt idx="500">
                  <c:v>0</c:v>
                </c:pt>
                <c:pt idx="501">
                  <c:v>75</c:v>
                </c:pt>
                <c:pt idx="502">
                  <c:v>100</c:v>
                </c:pt>
                <c:pt idx="503">
                  <c:v>87.5</c:v>
                </c:pt>
                <c:pt idx="504">
                  <c:v>87.5</c:v>
                </c:pt>
                <c:pt idx="505">
                  <c:v>87.5</c:v>
                </c:pt>
                <c:pt idx="506">
                  <c:v>75</c:v>
                </c:pt>
                <c:pt idx="507">
                  <c:v>87.5</c:v>
                </c:pt>
                <c:pt idx="508">
                  <c:v>100</c:v>
                </c:pt>
                <c:pt idx="509">
                  <c:v>87.5</c:v>
                </c:pt>
                <c:pt idx="510">
                  <c:v>87.5</c:v>
                </c:pt>
                <c:pt idx="511">
                  <c:v>100</c:v>
                </c:pt>
                <c:pt idx="512">
                  <c:v>75</c:v>
                </c:pt>
                <c:pt idx="513">
                  <c:v>75</c:v>
                </c:pt>
                <c:pt idx="514">
                  <c:v>75</c:v>
                </c:pt>
                <c:pt idx="515">
                  <c:v>75</c:v>
                </c:pt>
                <c:pt idx="516">
                  <c:v>62.5</c:v>
                </c:pt>
                <c:pt idx="517">
                  <c:v>62.5</c:v>
                </c:pt>
                <c:pt idx="518">
                  <c:v>87.5</c:v>
                </c:pt>
                <c:pt idx="519">
                  <c:v>87.5</c:v>
                </c:pt>
                <c:pt idx="520">
                  <c:v>87.5</c:v>
                </c:pt>
                <c:pt idx="521">
                  <c:v>62.5</c:v>
                </c:pt>
                <c:pt idx="522">
                  <c:v>62.5</c:v>
                </c:pt>
                <c:pt idx="523">
                  <c:v>62.5</c:v>
                </c:pt>
                <c:pt idx="524">
                  <c:v>62.5</c:v>
                </c:pt>
                <c:pt idx="525">
                  <c:v>25</c:v>
                </c:pt>
                <c:pt idx="526">
                  <c:v>50</c:v>
                </c:pt>
                <c:pt idx="527">
                  <c:v>25</c:v>
                </c:pt>
                <c:pt idx="528">
                  <c:v>25</c:v>
                </c:pt>
                <c:pt idx="529">
                  <c:v>25</c:v>
                </c:pt>
                <c:pt idx="530">
                  <c:v>50</c:v>
                </c:pt>
                <c:pt idx="531">
                  <c:v>37.5</c:v>
                </c:pt>
                <c:pt idx="532">
                  <c:v>50</c:v>
                </c:pt>
                <c:pt idx="533">
                  <c:v>25</c:v>
                </c:pt>
                <c:pt idx="534">
                  <c:v>25</c:v>
                </c:pt>
                <c:pt idx="535">
                  <c:v>25</c:v>
                </c:pt>
                <c:pt idx="536">
                  <c:v>31.25</c:v>
                </c:pt>
                <c:pt idx="537">
                  <c:v>37.5</c:v>
                </c:pt>
                <c:pt idx="538">
                  <c:v>18.75</c:v>
                </c:pt>
                <c:pt idx="539">
                  <c:v>37.5</c:v>
                </c:pt>
                <c:pt idx="540">
                  <c:v>12.5</c:v>
                </c:pt>
                <c:pt idx="541">
                  <c:v>62.5</c:v>
                </c:pt>
                <c:pt idx="542">
                  <c:v>62.5</c:v>
                </c:pt>
                <c:pt idx="543">
                  <c:v>62.5</c:v>
                </c:pt>
                <c:pt idx="544">
                  <c:v>62.5</c:v>
                </c:pt>
                <c:pt idx="545">
                  <c:v>75</c:v>
                </c:pt>
                <c:pt idx="546">
                  <c:v>50</c:v>
                </c:pt>
                <c:pt idx="547">
                  <c:v>31.25</c:v>
                </c:pt>
                <c:pt idx="548">
                  <c:v>50</c:v>
                </c:pt>
                <c:pt idx="549">
                  <c:v>87.5</c:v>
                </c:pt>
                <c:pt idx="550">
                  <c:v>75</c:v>
                </c:pt>
                <c:pt idx="551">
                  <c:v>87.5</c:v>
                </c:pt>
                <c:pt idx="552">
                  <c:v>87.5</c:v>
                </c:pt>
                <c:pt idx="553">
                  <c:v>62.5</c:v>
                </c:pt>
                <c:pt idx="554">
                  <c:v>68.75</c:v>
                </c:pt>
                <c:pt idx="555">
                  <c:v>18.75</c:v>
                </c:pt>
                <c:pt idx="556">
                  <c:v>37.5</c:v>
                </c:pt>
                <c:pt idx="557">
                  <c:v>12.5</c:v>
                </c:pt>
                <c:pt idx="558">
                  <c:v>0</c:v>
                </c:pt>
                <c:pt idx="559">
                  <c:v>12.5</c:v>
                </c:pt>
                <c:pt idx="560">
                  <c:v>37.5</c:v>
                </c:pt>
                <c:pt idx="561">
                  <c:v>50</c:v>
                </c:pt>
                <c:pt idx="562">
                  <c:v>62.5</c:v>
                </c:pt>
                <c:pt idx="563">
                  <c:v>62.5</c:v>
                </c:pt>
                <c:pt idx="564">
                  <c:v>75</c:v>
                </c:pt>
                <c:pt idx="565">
                  <c:v>87.5</c:v>
                </c:pt>
                <c:pt idx="566">
                  <c:v>87.5</c:v>
                </c:pt>
              </c:numCache>
            </c:numRef>
          </c:val>
          <c:smooth val="0"/>
          <c:extLst>
            <c:ext xmlns:c16="http://schemas.microsoft.com/office/drawing/2014/chart" uri="{C3380CC4-5D6E-409C-BE32-E72D297353CC}">
              <c16:uniqueId val="{00000001-656F-4B89-8928-6918BEE1007B}"/>
            </c:ext>
          </c:extLst>
        </c:ser>
        <c:dLbls>
          <c:showLegendKey val="0"/>
          <c:showVal val="0"/>
          <c:showCatName val="0"/>
          <c:showSerName val="0"/>
          <c:showPercent val="0"/>
          <c:showBubbleSize val="0"/>
        </c:dLbls>
        <c:marker val="1"/>
        <c:smooth val="0"/>
        <c:axId val="556963456"/>
        <c:axId val="1"/>
      </c:lineChart>
      <c:lineChart>
        <c:grouping val="standard"/>
        <c:varyColors val="0"/>
        <c:ser>
          <c:idx val="2"/>
          <c:order val="2"/>
          <c:tx>
            <c:v>目盛り</c:v>
          </c:tx>
          <c:spPr>
            <a:ln w="25400">
              <a:solidFill>
                <a:srgbClr val="000000"/>
              </a:solidFill>
              <a:prstDash val="solid"/>
            </a:ln>
          </c:spPr>
          <c:marker>
            <c:symbol val="none"/>
          </c:marker>
          <c:cat>
            <c:strRef>
              <c:f>DI元データ!$B$5:$B$580</c:f>
              <c:strCache>
                <c:ptCount val="56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pt idx="564">
                  <c:v>8</c:v>
                </c:pt>
              </c:strCache>
            </c:strRef>
          </c:cat>
          <c:val>
            <c:numRef>
              <c:f>DI元データ!$N$5:$N$580</c:f>
              <c:numCache>
                <c:formatCode>General</c:formatCode>
                <c:ptCount val="57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pt idx="564">
                  <c:v>50</c:v>
                </c:pt>
                <c:pt idx="565">
                  <c:v>50</c:v>
                </c:pt>
                <c:pt idx="566">
                  <c:v>50</c:v>
                </c:pt>
                <c:pt idx="567">
                  <c:v>50</c:v>
                </c:pt>
                <c:pt idx="568">
                  <c:v>50</c:v>
                </c:pt>
                <c:pt idx="569">
                  <c:v>50</c:v>
                </c:pt>
                <c:pt idx="570">
                  <c:v>50</c:v>
                </c:pt>
                <c:pt idx="571">
                  <c:v>50</c:v>
                </c:pt>
                <c:pt idx="572">
                  <c:v>50</c:v>
                </c:pt>
                <c:pt idx="573">
                  <c:v>50</c:v>
                </c:pt>
                <c:pt idx="574">
                  <c:v>50</c:v>
                </c:pt>
                <c:pt idx="575">
                  <c:v>50</c:v>
                </c:pt>
              </c:numCache>
            </c:numRef>
          </c:val>
          <c:smooth val="0"/>
          <c:extLst>
            <c:ext xmlns:c16="http://schemas.microsoft.com/office/drawing/2014/chart" uri="{C3380CC4-5D6E-409C-BE32-E72D297353CC}">
              <c16:uniqueId val="{00000002-656F-4B89-8928-6918BEE1007B}"/>
            </c:ext>
          </c:extLst>
        </c:ser>
        <c:dLbls>
          <c:showLegendKey val="0"/>
          <c:showVal val="0"/>
          <c:showCatName val="0"/>
          <c:showSerName val="0"/>
          <c:showPercent val="0"/>
          <c:showBubbleSize val="0"/>
        </c:dLbls>
        <c:marker val="1"/>
        <c:smooth val="0"/>
        <c:axId val="3"/>
        <c:axId val="4"/>
      </c:lineChart>
      <c:catAx>
        <c:axId val="556963456"/>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4629292184398395"/>
              <c:y val="0.8179746083775726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5.2562160847718807E-3"/>
              <c:y val="7.8947280911153078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56963456"/>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drawings/_rels/drawing1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5</xdr:row>
          <xdr:rowOff>276225</xdr:rowOff>
        </xdr:from>
        <xdr:to>
          <xdr:col>10</xdr:col>
          <xdr:colOff>1190625</xdr:colOff>
          <xdr:row>6</xdr:row>
          <xdr:rowOff>352425</xdr:rowOff>
        </xdr:to>
        <xdr:sp macro="" textlink="">
          <xdr:nvSpPr>
            <xdr:cNvPr id="83970" name="CommandButton1" hidden="1">
              <a:extLst>
                <a:ext uri="{63B3BB69-23CF-44E3-9099-C40C66FF867C}">
                  <a14:compatExt spid="_x0000_s83970"/>
                </a:ext>
                <a:ext uri="{FF2B5EF4-FFF2-40B4-BE49-F238E27FC236}">
                  <a16:creationId xmlns:a16="http://schemas.microsoft.com/office/drawing/2014/main" id="{00000000-0008-0000-0000-0000024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9525</xdr:colOff>
      <xdr:row>3</xdr:row>
      <xdr:rowOff>0</xdr:rowOff>
    </xdr:from>
    <xdr:to>
      <xdr:col>3</xdr:col>
      <xdr:colOff>9525</xdr:colOff>
      <xdr:row>9</xdr:row>
      <xdr:rowOff>0</xdr:rowOff>
    </xdr:to>
    <xdr:sp macro="" textlink="">
      <xdr:nvSpPr>
        <xdr:cNvPr id="41557439" name="Line 1">
          <a:extLst>
            <a:ext uri="{FF2B5EF4-FFF2-40B4-BE49-F238E27FC236}">
              <a16:creationId xmlns:a16="http://schemas.microsoft.com/office/drawing/2014/main" id="{00000000-0008-0000-0900-0000BF1D7A02}"/>
            </a:ext>
          </a:extLst>
        </xdr:cNvPr>
        <xdr:cNvSpPr>
          <a:spLocks noChangeShapeType="1"/>
        </xdr:cNvSpPr>
      </xdr:nvSpPr>
      <xdr:spPr bwMode="auto">
        <a:xfrm>
          <a:off x="142875" y="647700"/>
          <a:ext cx="600075" cy="11430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295275</xdr:colOff>
      <xdr:row>8</xdr:row>
      <xdr:rowOff>180975</xdr:rowOff>
    </xdr:to>
    <xdr:sp macro="" textlink="">
      <xdr:nvSpPr>
        <xdr:cNvPr id="41558463" name="Line 1">
          <a:extLst>
            <a:ext uri="{FF2B5EF4-FFF2-40B4-BE49-F238E27FC236}">
              <a16:creationId xmlns:a16="http://schemas.microsoft.com/office/drawing/2014/main" id="{00000000-0008-0000-0A00-0000BF217A02}"/>
            </a:ext>
          </a:extLst>
        </xdr:cNvPr>
        <xdr:cNvSpPr>
          <a:spLocks noChangeShapeType="1"/>
        </xdr:cNvSpPr>
      </xdr:nvSpPr>
      <xdr:spPr bwMode="auto">
        <a:xfrm>
          <a:off x="133350" y="457200"/>
          <a:ext cx="600075" cy="1133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3</xdr:row>
      <xdr:rowOff>9525</xdr:rowOff>
    </xdr:from>
    <xdr:to>
      <xdr:col>2</xdr:col>
      <xdr:colOff>295275</xdr:colOff>
      <xdr:row>8</xdr:row>
      <xdr:rowOff>200025</xdr:rowOff>
    </xdr:to>
    <xdr:sp macro="" textlink="">
      <xdr:nvSpPr>
        <xdr:cNvPr id="41559487" name="Line 1">
          <a:extLst>
            <a:ext uri="{FF2B5EF4-FFF2-40B4-BE49-F238E27FC236}">
              <a16:creationId xmlns:a16="http://schemas.microsoft.com/office/drawing/2014/main" id="{00000000-0008-0000-0B00-0000BF257A02}"/>
            </a:ext>
          </a:extLst>
        </xdr:cNvPr>
        <xdr:cNvSpPr>
          <a:spLocks noChangeShapeType="1"/>
        </xdr:cNvSpPr>
      </xdr:nvSpPr>
      <xdr:spPr bwMode="auto">
        <a:xfrm>
          <a:off x="209550" y="581025"/>
          <a:ext cx="657225" cy="1133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257175</xdr:colOff>
      <xdr:row>2</xdr:row>
      <xdr:rowOff>0</xdr:rowOff>
    </xdr:from>
    <xdr:to>
      <xdr:col>15</xdr:col>
      <xdr:colOff>381000</xdr:colOff>
      <xdr:row>13</xdr:row>
      <xdr:rowOff>28575</xdr:rowOff>
    </xdr:to>
    <xdr:graphicFrame macro="">
      <xdr:nvGraphicFramePr>
        <xdr:cNvPr id="46576697" name="Chart 1">
          <a:extLst>
            <a:ext uri="{FF2B5EF4-FFF2-40B4-BE49-F238E27FC236}">
              <a16:creationId xmlns:a16="http://schemas.microsoft.com/office/drawing/2014/main" id="{00000000-0008-0000-0D00-000039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246380</xdr:colOff>
      <xdr:row>0</xdr:row>
      <xdr:rowOff>38100</xdr:rowOff>
    </xdr:from>
    <xdr:to>
      <xdr:col>7</xdr:col>
      <xdr:colOff>429598</xdr:colOff>
      <xdr:row>1</xdr:row>
      <xdr:rowOff>114300</xdr:rowOff>
    </xdr:to>
    <xdr:sp macro="" textlink="">
      <xdr:nvSpPr>
        <xdr:cNvPr id="10354" name="Text Box 2">
          <a:extLst>
            <a:ext uri="{FF2B5EF4-FFF2-40B4-BE49-F238E27FC236}">
              <a16:creationId xmlns:a16="http://schemas.microsoft.com/office/drawing/2014/main" id="{00000000-0008-0000-0D00-000072280000}"/>
            </a:ext>
          </a:extLst>
        </xdr:cNvPr>
        <xdr:cNvSpPr txBox="1">
          <a:spLocks noChangeArrowheads="1"/>
        </xdr:cNvSpPr>
      </xdr:nvSpPr>
      <xdr:spPr bwMode="auto">
        <a:xfrm>
          <a:off x="254000" y="38100"/>
          <a:ext cx="4536017"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200" b="1" i="0" u="none" strike="noStrike" baseline="0">
              <a:solidFill>
                <a:srgbClr val="000000"/>
              </a:solidFill>
              <a:latin typeface="HGSｺﾞｼｯｸE"/>
              <a:ea typeface="HGSｺﾞｼｯｸE"/>
            </a:rPr>
            <a:t>９．（参考）ＤＩ時系列グラフ（昭和54年以降）</a:t>
          </a:r>
          <a:endParaRPr lang="ja-JP" altLang="en-US"/>
        </a:p>
      </xdr:txBody>
    </xdr:sp>
    <xdr:clientData/>
  </xdr:twoCellAnchor>
  <xdr:twoCellAnchor>
    <xdr:from>
      <xdr:col>0</xdr:col>
      <xdr:colOff>228600</xdr:colOff>
      <xdr:row>13</xdr:row>
      <xdr:rowOff>28575</xdr:rowOff>
    </xdr:from>
    <xdr:to>
      <xdr:col>15</xdr:col>
      <xdr:colOff>561975</xdr:colOff>
      <xdr:row>24</xdr:row>
      <xdr:rowOff>38100</xdr:rowOff>
    </xdr:to>
    <xdr:graphicFrame macro="">
      <xdr:nvGraphicFramePr>
        <xdr:cNvPr id="46576699" name="Chart 11">
          <a:extLst>
            <a:ext uri="{FF2B5EF4-FFF2-40B4-BE49-F238E27FC236}">
              <a16:creationId xmlns:a16="http://schemas.microsoft.com/office/drawing/2014/main" id="{00000000-0008-0000-0D00-00003B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180975</xdr:colOff>
      <xdr:row>25</xdr:row>
      <xdr:rowOff>47625</xdr:rowOff>
    </xdr:from>
    <xdr:to>
      <xdr:col>16</xdr:col>
      <xdr:colOff>0</xdr:colOff>
      <xdr:row>36</xdr:row>
      <xdr:rowOff>28575</xdr:rowOff>
    </xdr:to>
    <xdr:graphicFrame macro="">
      <xdr:nvGraphicFramePr>
        <xdr:cNvPr id="46576700" name="Chart 12">
          <a:extLst>
            <a:ext uri="{FF2B5EF4-FFF2-40B4-BE49-F238E27FC236}">
              <a16:creationId xmlns:a16="http://schemas.microsoft.com/office/drawing/2014/main" id="{00000000-0008-0000-0D00-00003C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86995</xdr:colOff>
      <xdr:row>35</xdr:row>
      <xdr:rowOff>142875</xdr:rowOff>
    </xdr:from>
    <xdr:to>
      <xdr:col>9</xdr:col>
      <xdr:colOff>371587</xdr:colOff>
      <xdr:row>36</xdr:row>
      <xdr:rowOff>97155</xdr:rowOff>
    </xdr:to>
    <xdr:sp macro="" textlink="">
      <xdr:nvSpPr>
        <xdr:cNvPr id="10375" name="Text Box 32">
          <a:extLst>
            <a:ext uri="{FF2B5EF4-FFF2-40B4-BE49-F238E27FC236}">
              <a16:creationId xmlns:a16="http://schemas.microsoft.com/office/drawing/2014/main" id="{00000000-0008-0000-0D00-000087280000}"/>
            </a:ext>
          </a:extLst>
        </xdr:cNvPr>
        <xdr:cNvSpPr txBox="1">
          <a:spLocks noChangeArrowheads="1"/>
        </xdr:cNvSpPr>
      </xdr:nvSpPr>
      <xdr:spPr bwMode="auto">
        <a:xfrm>
          <a:off x="688975" y="6810375"/>
          <a:ext cx="52451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0" rIns="0" bIns="0" anchor="t"/>
        <a:lstStyle/>
        <a:p>
          <a:pPr algn="l" rtl="0">
            <a:lnSpc>
              <a:spcPts val="1100"/>
            </a:lnSpc>
            <a:defRPr sz="1000"/>
          </a:pPr>
          <a:r>
            <a:rPr lang="ja-JP" altLang="en-US" sz="900" b="0" i="0" u="none" strike="noStrike" baseline="0">
              <a:solidFill>
                <a:srgbClr val="000000"/>
              </a:solidFill>
              <a:latin typeface="HGSｺﾞｼｯｸM"/>
              <a:ea typeface="HGSｺﾞｼｯｸM"/>
            </a:rPr>
            <a:t>（注）網かけ部分は、景気の後退局面を示す。</a:t>
          </a:r>
        </a:p>
        <a:p>
          <a:pPr algn="l" rtl="0">
            <a:lnSpc>
              <a:spcPts val="1100"/>
            </a:lnSpc>
            <a:defRPr sz="1000"/>
          </a:pPr>
          <a:r>
            <a:rPr lang="ja-JP" altLang="en-US" sz="900" b="0" i="0" u="none" strike="noStrike" baseline="0">
              <a:solidFill>
                <a:srgbClr val="000000"/>
              </a:solidFill>
              <a:latin typeface="HGSｺﾞｼｯｸM"/>
              <a:ea typeface="HGSｺﾞｼｯｸM"/>
            </a:rPr>
            <a:t>　　　</a:t>
          </a:r>
          <a:endParaRPr lang="ja-JP" altLang="en-US" sz="900"/>
        </a:p>
      </xdr:txBody>
    </xdr:sp>
    <xdr:clientData/>
  </xdr:twoCellAnchor>
  <xdr:twoCellAnchor>
    <xdr:from>
      <xdr:col>0</xdr:col>
      <xdr:colOff>0</xdr:colOff>
      <xdr:row>17</xdr:row>
      <xdr:rowOff>12700</xdr:rowOff>
    </xdr:from>
    <xdr:to>
      <xdr:col>0</xdr:col>
      <xdr:colOff>165163</xdr:colOff>
      <xdr:row>22</xdr:row>
      <xdr:rowOff>12700</xdr:rowOff>
    </xdr:to>
    <xdr:sp macro="" textlink="">
      <xdr:nvSpPr>
        <xdr:cNvPr id="10273" name="Text Box 33">
          <a:extLst>
            <a:ext uri="{FF2B5EF4-FFF2-40B4-BE49-F238E27FC236}">
              <a16:creationId xmlns:a16="http://schemas.microsoft.com/office/drawing/2014/main" id="{00000000-0008-0000-0D00-000021280000}"/>
            </a:ext>
          </a:extLst>
        </xdr:cNvPr>
        <xdr:cNvSpPr txBox="1">
          <a:spLocks noChangeArrowheads="1"/>
        </xdr:cNvSpPr>
      </xdr:nvSpPr>
      <xdr:spPr bwMode="auto">
        <a:xfrm>
          <a:off x="0" y="3371850"/>
          <a:ext cx="161925" cy="857250"/>
        </a:xfrm>
        <a:prstGeom prst="rect">
          <a:avLst/>
        </a:prstGeom>
        <a:noFill/>
        <a:ln w="9525">
          <a:noFill/>
          <a:miter lim="800000"/>
          <a:headEnd/>
          <a:tailEnd/>
        </a:ln>
        <a:effectLst/>
      </xdr:spPr>
      <xdr:txBody>
        <a:bodyPr vertOverflow="clip" vert="vert" wrap="square" lIns="27432" tIns="18288" rIns="0" bIns="0" anchor="b" upright="1"/>
        <a:lstStyle/>
        <a:p>
          <a:pPr algn="l" rtl="0">
            <a:defRPr sz="1000"/>
          </a:pPr>
          <a:r>
            <a:rPr lang="en-US" altLang="ja-JP" sz="700" b="0" i="0" u="none" strike="noStrike" baseline="0">
              <a:solidFill>
                <a:srgbClr val="000000"/>
              </a:solidFill>
              <a:latin typeface="ＭＳ ゴシック"/>
              <a:ea typeface="ＭＳ ゴシック"/>
            </a:rPr>
            <a:t>-11-</a:t>
          </a:r>
        </a:p>
      </xdr:txBody>
    </xdr:sp>
    <xdr:clientData/>
  </xdr:twoCellAnchor>
  <xdr:twoCellAnchor>
    <xdr:from>
      <xdr:col>10</xdr:col>
      <xdr:colOff>337037</xdr:colOff>
      <xdr:row>2</xdr:row>
      <xdr:rowOff>115766</xdr:rowOff>
    </xdr:from>
    <xdr:to>
      <xdr:col>12</xdr:col>
      <xdr:colOff>81374</xdr:colOff>
      <xdr:row>3</xdr:row>
      <xdr:rowOff>144341</xdr:rowOff>
    </xdr:to>
    <xdr:sp macro="" textlink="">
      <xdr:nvSpPr>
        <xdr:cNvPr id="13" name="Text Box 9">
          <a:extLst>
            <a:ext uri="{FF2B5EF4-FFF2-40B4-BE49-F238E27FC236}">
              <a16:creationId xmlns:a16="http://schemas.microsoft.com/office/drawing/2014/main" id="{00000000-0008-0000-0D00-00000D000000}"/>
            </a:ext>
          </a:extLst>
        </xdr:cNvPr>
        <xdr:cNvSpPr txBox="1">
          <a:spLocks noChangeArrowheads="1"/>
        </xdr:cNvSpPr>
      </xdr:nvSpPr>
      <xdr:spPr bwMode="auto">
        <a:xfrm>
          <a:off x="6518762" y="496766"/>
          <a:ext cx="967887"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0.04688</cdr:x>
      <cdr:y>0.08019</cdr:y>
    </cdr:from>
    <cdr:to>
      <cdr:x>0.1599</cdr:x>
      <cdr:y>0.1445</cdr:y>
    </cdr:to>
    <cdr:sp macro="" textlink="">
      <cdr:nvSpPr>
        <cdr:cNvPr id="2" name="Text Box 34"/>
        <cdr:cNvSpPr txBox="1">
          <a:spLocks xmlns:a="http://schemas.openxmlformats.org/drawingml/2006/main" noChangeArrowheads="1"/>
        </cdr:cNvSpPr>
      </cdr:nvSpPr>
      <cdr:spPr bwMode="auto">
        <a:xfrm xmlns:a="http://schemas.openxmlformats.org/drawingml/2006/main">
          <a:off x="449460" y="181480"/>
          <a:ext cx="1080962"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0.15977</cdr:x>
      <cdr:y>0.07763</cdr:y>
    </cdr:from>
    <cdr:to>
      <cdr:x>0.23625</cdr:x>
      <cdr:y>0.14285</cdr:y>
    </cdr:to>
    <cdr:sp macro="" textlink="">
      <cdr:nvSpPr>
        <cdr:cNvPr id="3" name="Text Box 36"/>
        <cdr:cNvSpPr txBox="1">
          <a:spLocks xmlns:a="http://schemas.openxmlformats.org/drawingml/2006/main" noChangeArrowheads="1"/>
        </cdr:cNvSpPr>
      </cdr:nvSpPr>
      <cdr:spPr bwMode="auto">
        <a:xfrm xmlns:a="http://schemas.openxmlformats.org/drawingml/2006/main">
          <a:off x="1561282" y="175938"/>
          <a:ext cx="771127"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0.26387</cdr:x>
      <cdr:y>0.08083</cdr:y>
    </cdr:from>
    <cdr:to>
      <cdr:x>0.3545</cdr:x>
      <cdr:y>0.13523</cdr:y>
    </cdr:to>
    <cdr:sp macro="" textlink="">
      <cdr:nvSpPr>
        <cdr:cNvPr id="5" name="Text Box 38"/>
        <cdr:cNvSpPr txBox="1">
          <a:spLocks xmlns:a="http://schemas.openxmlformats.org/drawingml/2006/main" noChangeArrowheads="1"/>
        </cdr:cNvSpPr>
      </cdr:nvSpPr>
      <cdr:spPr bwMode="auto">
        <a:xfrm xmlns:a="http://schemas.openxmlformats.org/drawingml/2006/main">
          <a:off x="2572663" y="183350"/>
          <a:ext cx="878034" cy="126085"/>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0.38677</cdr:x>
      <cdr:y>0.07762</cdr:y>
    </cdr:from>
    <cdr:to>
      <cdr:x>0.47252</cdr:x>
      <cdr:y>0.14284</cdr:y>
    </cdr:to>
    <cdr:sp macro="" textlink="">
      <cdr:nvSpPr>
        <cdr:cNvPr id="6" name="Text Box 40"/>
        <cdr:cNvSpPr txBox="1">
          <a:spLocks xmlns:a="http://schemas.openxmlformats.org/drawingml/2006/main" noChangeArrowheads="1"/>
        </cdr:cNvSpPr>
      </cdr:nvSpPr>
      <cdr:spPr bwMode="auto">
        <a:xfrm xmlns:a="http://schemas.openxmlformats.org/drawingml/2006/main">
          <a:off x="3758576" y="176426"/>
          <a:ext cx="815012"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0.45429</cdr:x>
      <cdr:y>0.08253</cdr:y>
    </cdr:from>
    <cdr:to>
      <cdr:x>0.53723</cdr:x>
      <cdr:y>0.14733</cdr:y>
    </cdr:to>
    <cdr:sp macro="" textlink="">
      <cdr:nvSpPr>
        <cdr:cNvPr id="7" name="Text Box 42"/>
        <cdr:cNvSpPr txBox="1">
          <a:spLocks xmlns:a="http://schemas.openxmlformats.org/drawingml/2006/main" noChangeArrowheads="1"/>
        </cdr:cNvSpPr>
      </cdr:nvSpPr>
      <cdr:spPr bwMode="auto">
        <a:xfrm xmlns:a="http://schemas.openxmlformats.org/drawingml/2006/main">
          <a:off x="4404569" y="186982"/>
          <a:ext cx="788887"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0.58509</cdr:x>
      <cdr:y>0.07714</cdr:y>
    </cdr:from>
    <cdr:to>
      <cdr:x>0.67517</cdr:x>
      <cdr:y>0.14212</cdr:y>
    </cdr:to>
    <cdr:sp macro="" textlink="">
      <cdr:nvSpPr>
        <cdr:cNvPr id="8" name="Text Box 43"/>
        <cdr:cNvSpPr txBox="1">
          <a:spLocks xmlns:a="http://schemas.openxmlformats.org/drawingml/2006/main" noChangeArrowheads="1"/>
        </cdr:cNvSpPr>
      </cdr:nvSpPr>
      <cdr:spPr bwMode="auto">
        <a:xfrm xmlns:a="http://schemas.openxmlformats.org/drawingml/2006/main">
          <a:off x="5654459" y="175406"/>
          <a:ext cx="860873"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0.73146</cdr:x>
      <cdr:y>0.06862</cdr:y>
    </cdr:from>
    <cdr:to>
      <cdr:x>0.92203</cdr:x>
      <cdr:y>0.12977</cdr:y>
    </cdr:to>
    <cdr:sp macro="" textlink="">
      <cdr:nvSpPr>
        <cdr:cNvPr id="9" name="Text Box 9"/>
        <cdr:cNvSpPr txBox="1">
          <a:spLocks xmlns:a="http://schemas.openxmlformats.org/drawingml/2006/main" noChangeArrowheads="1"/>
        </cdr:cNvSpPr>
      </cdr:nvSpPr>
      <cdr:spPr bwMode="auto">
        <a:xfrm xmlns:a="http://schemas.openxmlformats.org/drawingml/2006/main">
          <a:off x="7047320" y="154845"/>
          <a:ext cx="1813943" cy="14254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5.xml><?xml version="1.0" encoding="utf-8"?>
<c:userShapes xmlns:c="http://schemas.openxmlformats.org/drawingml/2006/chart">
  <cdr:relSizeAnchor xmlns:cdr="http://schemas.openxmlformats.org/drawingml/2006/chartDrawing">
    <cdr:from>
      <cdr:x>0.04877</cdr:x>
      <cdr:y>0.12463</cdr:y>
    </cdr:from>
    <cdr:to>
      <cdr:x>0.16092</cdr:x>
      <cdr:y>0.1928</cdr:y>
    </cdr:to>
    <cdr:sp macro="" textlink="">
      <cdr:nvSpPr>
        <cdr:cNvPr id="12" name="Text Box 34"/>
        <cdr:cNvSpPr txBox="1">
          <a:spLocks xmlns:a="http://schemas.openxmlformats.org/drawingml/2006/main" noChangeArrowheads="1"/>
        </cdr:cNvSpPr>
      </cdr:nvSpPr>
      <cdr:spPr bwMode="auto">
        <a:xfrm xmlns:a="http://schemas.openxmlformats.org/drawingml/2006/main">
          <a:off x="470035" y="283411"/>
          <a:ext cx="1080879"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0.16866</cdr:x>
      <cdr:y>0.12314</cdr:y>
    </cdr:from>
    <cdr:to>
      <cdr:x>0.24859</cdr:x>
      <cdr:y>0.18988</cdr:y>
    </cdr:to>
    <cdr:sp macro="" textlink="">
      <cdr:nvSpPr>
        <cdr:cNvPr id="13" name="Text Box 36"/>
        <cdr:cNvSpPr txBox="1">
          <a:spLocks xmlns:a="http://schemas.openxmlformats.org/drawingml/2006/main" noChangeArrowheads="1"/>
        </cdr:cNvSpPr>
      </cdr:nvSpPr>
      <cdr:spPr bwMode="auto">
        <a:xfrm xmlns:a="http://schemas.openxmlformats.org/drawingml/2006/main">
          <a:off x="1624493" y="280242"/>
          <a:ext cx="771093"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0.27641</cdr:x>
      <cdr:y>0.12426</cdr:y>
    </cdr:from>
    <cdr:to>
      <cdr:x>0.38157</cdr:x>
      <cdr:y>0.19121</cdr:y>
    </cdr:to>
    <cdr:sp macro="" textlink="">
      <cdr:nvSpPr>
        <cdr:cNvPr id="14" name="Text Box 38"/>
        <cdr:cNvSpPr txBox="1">
          <a:spLocks xmlns:a="http://schemas.openxmlformats.org/drawingml/2006/main" noChangeArrowheads="1"/>
        </cdr:cNvSpPr>
      </cdr:nvSpPr>
      <cdr:spPr bwMode="auto">
        <a:xfrm xmlns:a="http://schemas.openxmlformats.org/drawingml/2006/main">
          <a:off x="2653865" y="281610"/>
          <a:ext cx="1008030" cy="143963"/>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0.39637</cdr:x>
      <cdr:y>0.11968</cdr:y>
    </cdr:from>
    <cdr:to>
      <cdr:x>0.48085</cdr:x>
      <cdr:y>0.18619</cdr:y>
    </cdr:to>
    <cdr:sp macro="" textlink="">
      <cdr:nvSpPr>
        <cdr:cNvPr id="15" name="Text Box 40"/>
        <cdr:cNvSpPr txBox="1">
          <a:spLocks xmlns:a="http://schemas.openxmlformats.org/drawingml/2006/main" noChangeArrowheads="1"/>
        </cdr:cNvSpPr>
      </cdr:nvSpPr>
      <cdr:spPr bwMode="auto">
        <a:xfrm xmlns:a="http://schemas.openxmlformats.org/drawingml/2006/main">
          <a:off x="3801629" y="271969"/>
          <a:ext cx="815142"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0.46323</cdr:x>
      <cdr:y>0.12127</cdr:y>
    </cdr:from>
    <cdr:to>
      <cdr:x>0.54614</cdr:x>
      <cdr:y>0.1873</cdr:y>
    </cdr:to>
    <cdr:sp macro="" textlink="">
      <cdr:nvSpPr>
        <cdr:cNvPr id="16" name="Text Box 42"/>
        <cdr:cNvSpPr txBox="1">
          <a:spLocks xmlns:a="http://schemas.openxmlformats.org/drawingml/2006/main" noChangeArrowheads="1"/>
        </cdr:cNvSpPr>
      </cdr:nvSpPr>
      <cdr:spPr bwMode="auto">
        <a:xfrm xmlns:a="http://schemas.openxmlformats.org/drawingml/2006/main">
          <a:off x="4454742" y="274306"/>
          <a:ext cx="788835"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0.59401</cdr:x>
      <cdr:y>0.11829</cdr:y>
    </cdr:from>
    <cdr:to>
      <cdr:x>0.68442</cdr:x>
      <cdr:y>0.18502</cdr:y>
    </cdr:to>
    <cdr:sp macro="" textlink="">
      <cdr:nvSpPr>
        <cdr:cNvPr id="17" name="Text Box 43"/>
        <cdr:cNvSpPr txBox="1">
          <a:spLocks xmlns:a="http://schemas.openxmlformats.org/drawingml/2006/main" noChangeArrowheads="1"/>
        </cdr:cNvSpPr>
      </cdr:nvSpPr>
      <cdr:spPr bwMode="auto">
        <a:xfrm xmlns:a="http://schemas.openxmlformats.org/drawingml/2006/main">
          <a:off x="5710404" y="268012"/>
          <a:ext cx="860843" cy="1439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0.6589</cdr:x>
      <cdr:y>0.10349</cdr:y>
    </cdr:from>
    <cdr:to>
      <cdr:x>0.76009</cdr:x>
      <cdr:y>0.20378</cdr:y>
    </cdr:to>
    <cdr:sp macro="" textlink="">
      <cdr:nvSpPr>
        <cdr:cNvPr id="8" name="Text Box 9"/>
        <cdr:cNvSpPr txBox="1">
          <a:spLocks xmlns:a="http://schemas.openxmlformats.org/drawingml/2006/main" noChangeArrowheads="1"/>
        </cdr:cNvSpPr>
      </cdr:nvSpPr>
      <cdr:spPr bwMode="auto">
        <a:xfrm xmlns:a="http://schemas.openxmlformats.org/drawingml/2006/main">
          <a:off x="6326241" y="233931"/>
          <a:ext cx="971546" cy="21909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0.74358</cdr:x>
      <cdr:y>0.11441</cdr:y>
    </cdr:from>
    <cdr:to>
      <cdr:x>0.9313</cdr:x>
      <cdr:y>0.17974</cdr:y>
    </cdr:to>
    <cdr:sp macro="" textlink="">
      <cdr:nvSpPr>
        <cdr:cNvPr id="11" name="Text Box 9"/>
        <cdr:cNvSpPr txBox="1">
          <a:spLocks xmlns:a="http://schemas.openxmlformats.org/drawingml/2006/main" noChangeArrowheads="1"/>
        </cdr:cNvSpPr>
      </cdr:nvSpPr>
      <cdr:spPr bwMode="auto">
        <a:xfrm xmlns:a="http://schemas.openxmlformats.org/drawingml/2006/main">
          <a:off x="7136887" y="260349"/>
          <a:ext cx="1813955" cy="14255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6.xml><?xml version="1.0" encoding="utf-8"?>
<c:userShapes xmlns:c="http://schemas.openxmlformats.org/drawingml/2006/chart">
  <cdr:relSizeAnchor xmlns:cdr="http://schemas.openxmlformats.org/drawingml/2006/chartDrawing">
    <cdr:from>
      <cdr:x>0.58888</cdr:x>
      <cdr:y>0.10411</cdr:y>
    </cdr:from>
    <cdr:to>
      <cdr:x>0.67694</cdr:x>
      <cdr:y>0.17516</cdr:y>
    </cdr:to>
    <cdr:sp macro="" textlink="">
      <cdr:nvSpPr>
        <cdr:cNvPr id="12" name="Text Box 43"/>
        <cdr:cNvSpPr txBox="1">
          <a:spLocks xmlns:a="http://schemas.openxmlformats.org/drawingml/2006/main" noChangeArrowheads="1"/>
        </cdr:cNvSpPr>
      </cdr:nvSpPr>
      <cdr:spPr bwMode="auto">
        <a:xfrm xmlns:a="http://schemas.openxmlformats.org/drawingml/2006/main">
          <a:off x="5703085" y="215286"/>
          <a:ext cx="860851"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0.46603</cdr:x>
      <cdr:y>0.10482</cdr:y>
    </cdr:from>
    <cdr:to>
      <cdr:x>0.54672</cdr:x>
      <cdr:y>0.17682</cdr:y>
    </cdr:to>
    <cdr:sp macro="" textlink="">
      <cdr:nvSpPr>
        <cdr:cNvPr id="13" name="Text Box 42"/>
        <cdr:cNvSpPr txBox="1">
          <a:spLocks xmlns:a="http://schemas.openxmlformats.org/drawingml/2006/main" noChangeArrowheads="1"/>
        </cdr:cNvSpPr>
      </cdr:nvSpPr>
      <cdr:spPr bwMode="auto">
        <a:xfrm xmlns:a="http://schemas.openxmlformats.org/drawingml/2006/main">
          <a:off x="4512474" y="216761"/>
          <a:ext cx="788806" cy="14400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0.39865</cdr:x>
      <cdr:y>0.10128</cdr:y>
    </cdr:from>
    <cdr:to>
      <cdr:x>0.48117</cdr:x>
      <cdr:y>0.17209</cdr:y>
    </cdr:to>
    <cdr:sp macro="" textlink="">
      <cdr:nvSpPr>
        <cdr:cNvPr id="14" name="Text Box 40"/>
        <cdr:cNvSpPr txBox="1">
          <a:spLocks xmlns:a="http://schemas.openxmlformats.org/drawingml/2006/main" noChangeArrowheads="1"/>
        </cdr:cNvSpPr>
      </cdr:nvSpPr>
      <cdr:spPr bwMode="auto">
        <a:xfrm xmlns:a="http://schemas.openxmlformats.org/drawingml/2006/main">
          <a:off x="3851347" y="208434"/>
          <a:ext cx="815084"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0.28168</cdr:x>
      <cdr:y>0.10772</cdr:y>
    </cdr:from>
    <cdr:to>
      <cdr:x>0.3814</cdr:x>
      <cdr:y>0.17828</cdr:y>
    </cdr:to>
    <cdr:sp macro="" textlink="">
      <cdr:nvSpPr>
        <cdr:cNvPr id="15" name="Text Box 38"/>
        <cdr:cNvSpPr txBox="1">
          <a:spLocks xmlns:a="http://schemas.openxmlformats.org/drawingml/2006/main" noChangeArrowheads="1"/>
        </cdr:cNvSpPr>
      </cdr:nvSpPr>
      <cdr:spPr bwMode="auto">
        <a:xfrm xmlns:a="http://schemas.openxmlformats.org/drawingml/2006/main">
          <a:off x="2683216" y="221267"/>
          <a:ext cx="1008043" cy="144001"/>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0.18204</cdr:x>
      <cdr:y>0.11301</cdr:y>
    </cdr:from>
    <cdr:to>
      <cdr:x>0.25845</cdr:x>
      <cdr:y>0.18422</cdr:y>
    </cdr:to>
    <cdr:sp macro="" textlink="">
      <cdr:nvSpPr>
        <cdr:cNvPr id="16" name="Text Box 36"/>
        <cdr:cNvSpPr txBox="1">
          <a:spLocks xmlns:a="http://schemas.openxmlformats.org/drawingml/2006/main" noChangeArrowheads="1"/>
        </cdr:cNvSpPr>
      </cdr:nvSpPr>
      <cdr:spPr bwMode="auto">
        <a:xfrm xmlns:a="http://schemas.openxmlformats.org/drawingml/2006/main">
          <a:off x="1678323" y="233113"/>
          <a:ext cx="770626"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0.06334</cdr:x>
      <cdr:y>0.11542</cdr:y>
    </cdr:from>
    <cdr:to>
      <cdr:x>0.17146</cdr:x>
      <cdr:y>0.18663</cdr:y>
    </cdr:to>
    <cdr:sp macro="" textlink="">
      <cdr:nvSpPr>
        <cdr:cNvPr id="17" name="Text Box 34"/>
        <cdr:cNvSpPr txBox="1">
          <a:spLocks xmlns:a="http://schemas.openxmlformats.org/drawingml/2006/main" noChangeArrowheads="1"/>
        </cdr:cNvSpPr>
      </cdr:nvSpPr>
      <cdr:spPr bwMode="auto">
        <a:xfrm xmlns:a="http://schemas.openxmlformats.org/drawingml/2006/main">
          <a:off x="518099" y="237632"/>
          <a:ext cx="1081175"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0.65168</cdr:x>
      <cdr:y>0.0813</cdr:y>
    </cdr:from>
    <cdr:to>
      <cdr:x>0.75188</cdr:x>
      <cdr:y>0.18891</cdr:y>
    </cdr:to>
    <cdr:sp macro="" textlink="">
      <cdr:nvSpPr>
        <cdr:cNvPr id="8" name="Text Box 9"/>
        <cdr:cNvSpPr txBox="1">
          <a:spLocks xmlns:a="http://schemas.openxmlformats.org/drawingml/2006/main" noChangeArrowheads="1"/>
        </cdr:cNvSpPr>
      </cdr:nvSpPr>
      <cdr:spPr bwMode="auto">
        <a:xfrm xmlns:a="http://schemas.openxmlformats.org/drawingml/2006/main">
          <a:off x="6318988" y="167300"/>
          <a:ext cx="971585" cy="21906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0.73925</cdr:x>
      <cdr:y>0.11117</cdr:y>
    </cdr:from>
    <cdr:to>
      <cdr:x>0.92536</cdr:x>
      <cdr:y>0.18124</cdr:y>
    </cdr:to>
    <cdr:sp macro="" textlink="">
      <cdr:nvSpPr>
        <cdr:cNvPr id="11" name="Text Box 9"/>
        <cdr:cNvSpPr txBox="1">
          <a:spLocks xmlns:a="http://schemas.openxmlformats.org/drawingml/2006/main" noChangeArrowheads="1"/>
        </cdr:cNvSpPr>
      </cdr:nvSpPr>
      <cdr:spPr bwMode="auto">
        <a:xfrm xmlns:a="http://schemas.openxmlformats.org/drawingml/2006/main">
          <a:off x="7158805" y="227392"/>
          <a:ext cx="1813915" cy="142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276225</xdr:colOff>
      <xdr:row>1</xdr:row>
      <xdr:rowOff>28575</xdr:rowOff>
    </xdr:from>
    <xdr:to>
      <xdr:col>15</xdr:col>
      <xdr:colOff>600075</xdr:colOff>
      <xdr:row>37</xdr:row>
      <xdr:rowOff>38100</xdr:rowOff>
    </xdr:to>
    <xdr:graphicFrame macro="">
      <xdr:nvGraphicFramePr>
        <xdr:cNvPr id="45470330" name="Chart 1">
          <a:extLst>
            <a:ext uri="{FF2B5EF4-FFF2-40B4-BE49-F238E27FC236}">
              <a16:creationId xmlns:a16="http://schemas.microsoft.com/office/drawing/2014/main" id="{00000000-0008-0000-0F00-00007AD2B5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266700</xdr:colOff>
      <xdr:row>37</xdr:row>
      <xdr:rowOff>88900</xdr:rowOff>
    </xdr:from>
    <xdr:to>
      <xdr:col>14</xdr:col>
      <xdr:colOff>129540</xdr:colOff>
      <xdr:row>41</xdr:row>
      <xdr:rowOff>38100</xdr:rowOff>
    </xdr:to>
    <xdr:sp macro="" textlink="">
      <xdr:nvSpPr>
        <xdr:cNvPr id="14353" name="Text Box 2">
          <a:extLst>
            <a:ext uri="{FF2B5EF4-FFF2-40B4-BE49-F238E27FC236}">
              <a16:creationId xmlns:a16="http://schemas.microsoft.com/office/drawing/2014/main" id="{00000000-0008-0000-0F00-000011380000}"/>
            </a:ext>
          </a:extLst>
        </xdr:cNvPr>
        <xdr:cNvSpPr txBox="1">
          <a:spLocks noChangeArrowheads="1"/>
        </xdr:cNvSpPr>
      </xdr:nvSpPr>
      <xdr:spPr bwMode="auto">
        <a:xfrm>
          <a:off x="876300" y="7200900"/>
          <a:ext cx="781050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800" b="0" i="0" u="none" strike="noStrike" baseline="0">
              <a:solidFill>
                <a:srgbClr val="000000"/>
              </a:solidFill>
              <a:latin typeface="HGSｺﾞｼｯｸM"/>
              <a:ea typeface="HGSｺﾞｼｯｸM"/>
            </a:rPr>
            <a:t>（注）１．網かけ部分は、景気の後退局面を示す。</a:t>
          </a:r>
        </a:p>
        <a:p>
          <a:pPr algn="l" rtl="0">
            <a:lnSpc>
              <a:spcPts val="900"/>
            </a:lnSpc>
            <a:defRPr sz="1000"/>
          </a:pPr>
          <a:r>
            <a:rPr lang="ja-JP" altLang="en-US" sz="800" b="0" i="0" u="none" strike="noStrike" baseline="0">
              <a:solidFill>
                <a:srgbClr val="000000"/>
              </a:solidFill>
              <a:latin typeface="HGSｺﾞｼｯｸM"/>
              <a:ea typeface="HGSｺﾞｼｯｸM"/>
            </a:rPr>
            <a:t>　　　２．累積指数は、各月の景気動向指数（ＤＩ）を次の式により累積したものである。（累積ＤＩ）t＝（累積ＤＩ）t-1＋（ＤＩt－50）</a:t>
          </a:r>
        </a:p>
        <a:p>
          <a:pPr algn="l" rtl="0">
            <a:lnSpc>
              <a:spcPts val="800"/>
            </a:lnSpc>
            <a:defRPr sz="1000"/>
          </a:pPr>
          <a:r>
            <a:rPr lang="ja-JP" altLang="en-US" sz="800" b="0" i="0" u="none" strike="noStrike" baseline="0">
              <a:solidFill>
                <a:srgbClr val="000000"/>
              </a:solidFill>
              <a:latin typeface="HGSｺﾞｼｯｸM"/>
              <a:ea typeface="HGSｺﾞｼｯｸM"/>
            </a:rPr>
            <a:t>　　　３．先行指数は2,000、遅行指数は－500を加算している。</a:t>
          </a:r>
          <a:endParaRPr lang="ja-JP" altLang="en-US"/>
        </a:p>
      </xdr:txBody>
    </xdr:sp>
    <xdr:clientData/>
  </xdr:twoCellAnchor>
  <xdr:twoCellAnchor>
    <xdr:from>
      <xdr:col>0</xdr:col>
      <xdr:colOff>371475</xdr:colOff>
      <xdr:row>0</xdr:row>
      <xdr:rowOff>63500</xdr:rowOff>
    </xdr:from>
    <xdr:to>
      <xdr:col>7</xdr:col>
      <xdr:colOff>556324</xdr:colOff>
      <xdr:row>1</xdr:row>
      <xdr:rowOff>38100</xdr:rowOff>
    </xdr:to>
    <xdr:sp macro="" textlink="">
      <xdr:nvSpPr>
        <xdr:cNvPr id="14354" name="Text Box 3">
          <a:extLst>
            <a:ext uri="{FF2B5EF4-FFF2-40B4-BE49-F238E27FC236}">
              <a16:creationId xmlns:a16="http://schemas.microsoft.com/office/drawing/2014/main" id="{00000000-0008-0000-0F00-000012380000}"/>
            </a:ext>
          </a:extLst>
        </xdr:cNvPr>
        <xdr:cNvSpPr txBox="1">
          <a:spLocks noChangeArrowheads="1"/>
        </xdr:cNvSpPr>
      </xdr:nvSpPr>
      <xdr:spPr bwMode="auto">
        <a:xfrm>
          <a:off x="371475" y="63500"/>
          <a:ext cx="4378332"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400" b="1" i="0" u="none" strike="noStrike" baseline="0">
              <a:solidFill>
                <a:srgbClr val="000000"/>
              </a:solidFill>
              <a:latin typeface="HGSｺﾞｼｯｸE"/>
              <a:ea typeface="HGSｺﾞｼｯｸE"/>
            </a:rPr>
            <a:t>11．（参考）累積ＤＩグラフ（昭和54年以降）</a:t>
          </a:r>
          <a:endParaRPr lang="ja-JP" altLang="en-US"/>
        </a:p>
      </xdr:txBody>
    </xdr:sp>
    <xdr:clientData/>
  </xdr:twoCellAnchor>
  <xdr:twoCellAnchor>
    <xdr:from>
      <xdr:col>0</xdr:col>
      <xdr:colOff>-3175</xdr:colOff>
      <xdr:row>18</xdr:row>
      <xdr:rowOff>161925</xdr:rowOff>
    </xdr:from>
    <xdr:to>
      <xdr:col>0</xdr:col>
      <xdr:colOff>202416</xdr:colOff>
      <xdr:row>21</xdr:row>
      <xdr:rowOff>85725</xdr:rowOff>
    </xdr:to>
    <xdr:sp macro="" textlink="">
      <xdr:nvSpPr>
        <xdr:cNvPr id="14340" name="Text Box 4">
          <a:extLst>
            <a:ext uri="{FF2B5EF4-FFF2-40B4-BE49-F238E27FC236}">
              <a16:creationId xmlns:a16="http://schemas.microsoft.com/office/drawing/2014/main" id="{00000000-0008-0000-0F00-000004380000}"/>
            </a:ext>
          </a:extLst>
        </xdr:cNvPr>
        <xdr:cNvSpPr txBox="1">
          <a:spLocks noChangeArrowheads="1"/>
        </xdr:cNvSpPr>
      </xdr:nvSpPr>
      <xdr:spPr bwMode="auto">
        <a:xfrm>
          <a:off x="47625" y="3248025"/>
          <a:ext cx="238125" cy="438150"/>
        </a:xfrm>
        <a:prstGeom prst="rect">
          <a:avLst/>
        </a:prstGeom>
        <a:noFill/>
        <a:ln w="9525" algn="ctr">
          <a:noFill/>
          <a:miter lim="800000"/>
          <a:headEnd/>
          <a:tailEnd/>
        </a:ln>
        <a:effectLst/>
      </xdr:spPr>
      <xdr:txBody>
        <a:bodyPr vertOverflow="clip" vert="vert" wrap="square" lIns="27432" tIns="18288" rIns="0" bIns="0" anchor="b" upright="1"/>
        <a:lstStyle/>
        <a:p>
          <a:pPr algn="l" rtl="0">
            <a:defRPr sz="1000"/>
          </a:pPr>
          <a:r>
            <a:rPr lang="ja-JP" altLang="en-US" sz="700" b="0" i="0" u="none" strike="noStrike" baseline="0">
              <a:solidFill>
                <a:srgbClr val="000000"/>
              </a:solidFill>
              <a:latin typeface="ＭＳ Ｐゴシック"/>
              <a:ea typeface="ＭＳ Ｐゴシック"/>
            </a:rPr>
            <a:t>-13-</a:t>
          </a:r>
          <a:endParaRPr lang="ja-JP" altLang="en-US"/>
        </a:p>
      </xdr:txBody>
    </xdr:sp>
    <xdr:clientData/>
  </xdr:twoCellAnchor>
  <xdr:twoCellAnchor>
    <xdr:from>
      <xdr:col>15</xdr:col>
      <xdr:colOff>243522</xdr:colOff>
      <xdr:row>35</xdr:row>
      <xdr:rowOff>77470</xdr:rowOff>
    </xdr:from>
    <xdr:to>
      <xdr:col>18</xdr:col>
      <xdr:colOff>309562</xdr:colOff>
      <xdr:row>38</xdr:row>
      <xdr:rowOff>160863</xdr:rowOff>
    </xdr:to>
    <xdr:sp macro="" textlink="">
      <xdr:nvSpPr>
        <xdr:cNvPr id="14341" name="Text Box 5">
          <a:extLst>
            <a:ext uri="{FF2B5EF4-FFF2-40B4-BE49-F238E27FC236}">
              <a16:creationId xmlns:a16="http://schemas.microsoft.com/office/drawing/2014/main" id="{00000000-0008-0000-0F00-000005380000}"/>
            </a:ext>
          </a:extLst>
        </xdr:cNvPr>
        <xdr:cNvSpPr txBox="1">
          <a:spLocks noChangeArrowheads="1"/>
        </xdr:cNvSpPr>
      </xdr:nvSpPr>
      <xdr:spPr bwMode="auto">
        <a:xfrm>
          <a:off x="9387522" y="6887845"/>
          <a:ext cx="1887696" cy="654893"/>
        </a:xfrm>
        <a:prstGeom prst="rect">
          <a:avLst/>
        </a:prstGeom>
        <a:noFill/>
        <a:ln w="9525">
          <a:noFill/>
          <a:miter lim="800000"/>
          <a:headEnd/>
          <a:tailEnd/>
        </a:ln>
        <a:effectLst/>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SｺﾞｼｯｸM"/>
              <a:ea typeface="HGSｺﾞｼｯｸM"/>
            </a:rPr>
            <a:t>（年）</a:t>
          </a:r>
        </a:p>
      </xdr:txBody>
    </xdr:sp>
    <xdr:clientData/>
  </xdr:twoCellAnchor>
  <xdr:twoCellAnchor>
    <xdr:from>
      <xdr:col>10</xdr:col>
      <xdr:colOff>493330</xdr:colOff>
      <xdr:row>1</xdr:row>
      <xdr:rowOff>116403</xdr:rowOff>
    </xdr:from>
    <xdr:to>
      <xdr:col>12</xdr:col>
      <xdr:colOff>211209</xdr:colOff>
      <xdr:row>2</xdr:row>
      <xdr:rowOff>142875</xdr:rowOff>
    </xdr:to>
    <xdr:sp macro="" textlink="">
      <xdr:nvSpPr>
        <xdr:cNvPr id="8" name="Text Box 9">
          <a:extLst>
            <a:ext uri="{FF2B5EF4-FFF2-40B4-BE49-F238E27FC236}">
              <a16:creationId xmlns:a16="http://schemas.microsoft.com/office/drawing/2014/main" id="{00000000-0008-0000-0F00-000008000000}"/>
            </a:ext>
          </a:extLst>
        </xdr:cNvPr>
        <xdr:cNvSpPr txBox="1">
          <a:spLocks noChangeArrowheads="1"/>
        </xdr:cNvSpPr>
      </xdr:nvSpPr>
      <xdr:spPr bwMode="auto">
        <a:xfrm>
          <a:off x="6551230" y="449778"/>
          <a:ext cx="956129" cy="216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18.xml><?xml version="1.0" encoding="utf-8"?>
<c:userShapes xmlns:c="http://schemas.openxmlformats.org/drawingml/2006/chart">
  <cdr:relSizeAnchor xmlns:cdr="http://schemas.openxmlformats.org/drawingml/2006/chartDrawing">
    <cdr:from>
      <cdr:x>0.4877</cdr:x>
      <cdr:y>0.50026</cdr:y>
    </cdr:from>
    <cdr:to>
      <cdr:x>0.49885</cdr:x>
      <cdr:y>0.56655</cdr:y>
    </cdr:to>
    <cdr:sp macro="" textlink="">
      <cdr:nvSpPr>
        <cdr:cNvPr id="15362" name="Text Box 2"/>
        <cdr:cNvSpPr txBox="1">
          <a:spLocks xmlns:a="http://schemas.openxmlformats.org/drawingml/2006/main" noChangeArrowheads="1"/>
        </cdr:cNvSpPr>
      </cdr:nvSpPr>
      <cdr:spPr bwMode="auto">
        <a:xfrm xmlns:a="http://schemas.openxmlformats.org/drawingml/2006/main">
          <a:off x="4617508" y="3435548"/>
          <a:ext cx="105567" cy="45524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0.47475</cdr:x>
      <cdr:y>0.01462</cdr:y>
    </cdr:from>
    <cdr:to>
      <cdr:x>0.55634</cdr:x>
      <cdr:y>0.03606</cdr:y>
    </cdr:to>
    <cdr:sp macro="" textlink="">
      <cdr:nvSpPr>
        <cdr:cNvPr id="199683" name="Text Box 3"/>
        <cdr:cNvSpPr txBox="1">
          <a:spLocks xmlns:a="http://schemas.openxmlformats.org/drawingml/2006/main" noChangeArrowheads="1"/>
        </cdr:cNvSpPr>
      </cdr:nvSpPr>
      <cdr:spPr bwMode="auto">
        <a:xfrm xmlns:a="http://schemas.openxmlformats.org/drawingml/2006/main">
          <a:off x="4494839" y="100397"/>
          <a:ext cx="772486" cy="14725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0.4071</cdr:x>
      <cdr:y>0.01879</cdr:y>
    </cdr:from>
    <cdr:to>
      <cdr:x>0.49184</cdr:x>
      <cdr:y>0.04151</cdr:y>
    </cdr:to>
    <cdr:sp macro="" textlink="">
      <cdr:nvSpPr>
        <cdr:cNvPr id="199685" name="Text Box 5"/>
        <cdr:cNvSpPr txBox="1">
          <a:spLocks xmlns:a="http://schemas.openxmlformats.org/drawingml/2006/main" noChangeArrowheads="1"/>
        </cdr:cNvSpPr>
      </cdr:nvSpPr>
      <cdr:spPr bwMode="auto">
        <a:xfrm xmlns:a="http://schemas.openxmlformats.org/drawingml/2006/main">
          <a:off x="3854378" y="129041"/>
          <a:ext cx="802306" cy="1560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H9.7     </a:t>
          </a:r>
          <a:r>
            <a:rPr lang="en-US" altLang="ja-JP" sz="700" b="0" i="0" u="none" strike="noStrike" baseline="0">
              <a:solidFill>
                <a:srgbClr val="000000"/>
              </a:solidFill>
              <a:latin typeface="HGSｺﾞｼｯｸM"/>
              <a:ea typeface="HGSｺﾞｼｯｸM"/>
            </a:rPr>
            <a:t>H11.5</a:t>
          </a:r>
          <a:endParaRPr lang="ja-JP" altLang="en-US" sz="700"/>
        </a:p>
      </cdr:txBody>
    </cdr:sp>
  </cdr:relSizeAnchor>
  <cdr:relSizeAnchor xmlns:cdr="http://schemas.openxmlformats.org/drawingml/2006/chartDrawing">
    <cdr:from>
      <cdr:x>0.29367</cdr:x>
      <cdr:y>0.01841</cdr:y>
    </cdr:from>
    <cdr:to>
      <cdr:x>0.40766</cdr:x>
      <cdr:y>0.03938</cdr:y>
    </cdr:to>
    <cdr:sp macro="" textlink="">
      <cdr:nvSpPr>
        <cdr:cNvPr id="199687" name="Text Box 7"/>
        <cdr:cNvSpPr txBox="1">
          <a:spLocks xmlns:a="http://schemas.openxmlformats.org/drawingml/2006/main" noChangeArrowheads="1"/>
        </cdr:cNvSpPr>
      </cdr:nvSpPr>
      <cdr:spPr bwMode="auto">
        <a:xfrm xmlns:a="http://schemas.openxmlformats.org/drawingml/2006/main">
          <a:off x="2780383" y="126431"/>
          <a:ext cx="1079240"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0.17182</cdr:x>
      <cdr:y>0.01884</cdr:y>
    </cdr:from>
    <cdr:to>
      <cdr:x>0.28047</cdr:x>
      <cdr:y>0.03966</cdr:y>
    </cdr:to>
    <cdr:sp macro="" textlink="">
      <cdr:nvSpPr>
        <cdr:cNvPr id="199689" name="Text Box 9"/>
        <cdr:cNvSpPr txBox="1">
          <a:spLocks xmlns:a="http://schemas.openxmlformats.org/drawingml/2006/main" noChangeArrowheads="1"/>
        </cdr:cNvSpPr>
      </cdr:nvSpPr>
      <cdr:spPr bwMode="auto">
        <a:xfrm xmlns:a="http://schemas.openxmlformats.org/drawingml/2006/main">
          <a:off x="1695393" y="132818"/>
          <a:ext cx="1026443" cy="139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0.06971</cdr:x>
      <cdr:y>0.01605</cdr:y>
    </cdr:from>
    <cdr:to>
      <cdr:x>0.2025</cdr:x>
      <cdr:y>0.03894</cdr:y>
    </cdr:to>
    <cdr:sp macro="" textlink="">
      <cdr:nvSpPr>
        <cdr:cNvPr id="199691" name="Text Box 11"/>
        <cdr:cNvSpPr txBox="1">
          <a:spLocks xmlns:a="http://schemas.openxmlformats.org/drawingml/2006/main" noChangeArrowheads="1"/>
        </cdr:cNvSpPr>
      </cdr:nvSpPr>
      <cdr:spPr bwMode="auto">
        <a:xfrm xmlns:a="http://schemas.openxmlformats.org/drawingml/2006/main">
          <a:off x="692578" y="123436"/>
          <a:ext cx="1250230"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S54.10          </a:t>
          </a:r>
          <a:r>
            <a:rPr lang="en-US" altLang="ja-JP" sz="700" b="0" i="0" u="none" strike="noStrike" baseline="0">
              <a:solidFill>
                <a:srgbClr val="000000"/>
              </a:solidFill>
              <a:latin typeface="HGSｺﾞｼｯｸM"/>
              <a:ea typeface="HGSｺﾞｼｯｸM"/>
            </a:rPr>
            <a:t>S57.8</a:t>
          </a:r>
          <a:endParaRPr lang="ja-JP" altLang="en-US" sz="700"/>
        </a:p>
      </cdr:txBody>
    </cdr:sp>
  </cdr:relSizeAnchor>
  <cdr:relSizeAnchor xmlns:cdr="http://schemas.openxmlformats.org/drawingml/2006/chartDrawing">
    <cdr:from>
      <cdr:x>0.51331</cdr:x>
      <cdr:y>0.07639</cdr:y>
    </cdr:from>
    <cdr:to>
      <cdr:x>0.61866</cdr:x>
      <cdr:y>0.11077</cdr:y>
    </cdr:to>
    <cdr:sp macro="" textlink="">
      <cdr:nvSpPr>
        <cdr:cNvPr id="199692" name="Text Box 12"/>
        <cdr:cNvSpPr txBox="1">
          <a:spLocks xmlns:a="http://schemas.openxmlformats.org/drawingml/2006/main" noChangeArrowheads="1"/>
        </cdr:cNvSpPr>
      </cdr:nvSpPr>
      <cdr:spPr bwMode="auto">
        <a:xfrm xmlns:a="http://schemas.openxmlformats.org/drawingml/2006/main">
          <a:off x="4895100" y="524628"/>
          <a:ext cx="964660" cy="237822"/>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100" b="1" i="0" u="none" strike="noStrike" baseline="0">
              <a:solidFill>
                <a:srgbClr val="000000"/>
              </a:solidFill>
              <a:latin typeface="HGSｺﾞｼｯｸE"/>
              <a:ea typeface="HGSｺﾞｼｯｸE"/>
            </a:rPr>
            <a:t>　</a:t>
          </a:r>
          <a:r>
            <a:rPr lang="ja-JP" altLang="en-US" sz="1200" b="1" i="0" u="none" strike="noStrike" baseline="0">
              <a:solidFill>
                <a:srgbClr val="0000FF"/>
              </a:solidFill>
              <a:latin typeface="HGSｺﾞｼｯｸE"/>
              <a:ea typeface="HGSｺﾞｼｯｸE"/>
            </a:rPr>
            <a:t>先行指数　</a:t>
          </a:r>
          <a:endParaRPr lang="ja-JP" altLang="en-US"/>
        </a:p>
      </cdr:txBody>
    </cdr:sp>
  </cdr:relSizeAnchor>
  <cdr:relSizeAnchor xmlns:cdr="http://schemas.openxmlformats.org/drawingml/2006/chartDrawing">
    <cdr:from>
      <cdr:x>0.5107</cdr:x>
      <cdr:y>0.30467</cdr:y>
    </cdr:from>
    <cdr:to>
      <cdr:x>0.6191</cdr:x>
      <cdr:y>0.33699</cdr:y>
    </cdr:to>
    <cdr:sp macro="" textlink="">
      <cdr:nvSpPr>
        <cdr:cNvPr id="199693" name="Text Box 13"/>
        <cdr:cNvSpPr txBox="1">
          <a:spLocks xmlns:a="http://schemas.openxmlformats.org/drawingml/2006/main" noChangeArrowheads="1"/>
        </cdr:cNvSpPr>
      </cdr:nvSpPr>
      <cdr:spPr bwMode="auto">
        <a:xfrm xmlns:a="http://schemas.openxmlformats.org/drawingml/2006/main">
          <a:off x="4875018" y="2092362"/>
          <a:ext cx="988935" cy="228551"/>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200" b="1" i="0" u="none" strike="noStrike" baseline="0">
              <a:solidFill>
                <a:srgbClr val="FF0000"/>
              </a:solidFill>
              <a:latin typeface="HGSｺﾞｼｯｸE"/>
              <a:ea typeface="HGSｺﾞｼｯｸE"/>
            </a:rPr>
            <a:t>　一致指数　</a:t>
          </a:r>
          <a:endParaRPr lang="ja-JP" altLang="en-US"/>
        </a:p>
      </cdr:txBody>
    </cdr:sp>
  </cdr:relSizeAnchor>
  <cdr:relSizeAnchor xmlns:cdr="http://schemas.openxmlformats.org/drawingml/2006/chartDrawing">
    <cdr:from>
      <cdr:x>0.56838</cdr:x>
      <cdr:y>0.71482</cdr:y>
    </cdr:from>
    <cdr:to>
      <cdr:x>0.66942</cdr:x>
      <cdr:y>0.74944</cdr:y>
    </cdr:to>
    <cdr:sp macro="" textlink="">
      <cdr:nvSpPr>
        <cdr:cNvPr id="199694" name="Text Box 14"/>
        <cdr:cNvSpPr txBox="1">
          <a:spLocks xmlns:a="http://schemas.openxmlformats.org/drawingml/2006/main" noChangeArrowheads="1"/>
        </cdr:cNvSpPr>
      </cdr:nvSpPr>
      <cdr:spPr bwMode="auto">
        <a:xfrm xmlns:a="http://schemas.openxmlformats.org/drawingml/2006/main">
          <a:off x="5393044" y="4909064"/>
          <a:ext cx="947335" cy="237754"/>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200" b="1" i="0" u="none" strike="noStrike" baseline="0">
              <a:solidFill>
                <a:srgbClr val="000000"/>
              </a:solidFill>
              <a:latin typeface="HGSｺﾞｼｯｸE"/>
              <a:ea typeface="HGSｺﾞｼｯｸE"/>
            </a:rPr>
            <a:t>　</a:t>
          </a:r>
          <a:r>
            <a:rPr lang="ja-JP" altLang="en-US" sz="1200" b="1" i="0" u="none" strike="noStrike" baseline="0">
              <a:solidFill>
                <a:srgbClr val="008000"/>
              </a:solidFill>
              <a:latin typeface="HGSｺﾞｼｯｸE"/>
              <a:ea typeface="HGSｺﾞｼｯｸE"/>
            </a:rPr>
            <a:t>遅行指数　</a:t>
          </a:r>
          <a:endParaRPr lang="ja-JP" altLang="en-US"/>
        </a:p>
      </cdr:txBody>
    </cdr:sp>
  </cdr:relSizeAnchor>
  <cdr:relSizeAnchor xmlns:cdr="http://schemas.openxmlformats.org/drawingml/2006/chartDrawing">
    <cdr:from>
      <cdr:x>0.58987</cdr:x>
      <cdr:y>0.01576</cdr:y>
    </cdr:from>
    <cdr:to>
      <cdr:x>0.68954</cdr:x>
      <cdr:y>0.04033</cdr:y>
    </cdr:to>
    <cdr:sp macro="" textlink="">
      <cdr:nvSpPr>
        <cdr:cNvPr id="199695" name="Text Box 1"/>
        <cdr:cNvSpPr txBox="1">
          <a:spLocks xmlns:a="http://schemas.openxmlformats.org/drawingml/2006/main" noChangeArrowheads="1"/>
        </cdr:cNvSpPr>
      </cdr:nvSpPr>
      <cdr:spPr bwMode="auto">
        <a:xfrm xmlns:a="http://schemas.openxmlformats.org/drawingml/2006/main">
          <a:off x="5584755" y="108211"/>
          <a:ext cx="943660" cy="16873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18288"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0.77748</cdr:x>
      <cdr:y>0.01561</cdr:y>
    </cdr:from>
    <cdr:to>
      <cdr:x>0.8833</cdr:x>
      <cdr:y>0.04438</cdr:y>
    </cdr:to>
    <cdr:sp macro="" textlink="">
      <cdr:nvSpPr>
        <cdr:cNvPr id="13" name="Text Box 9"/>
        <cdr:cNvSpPr txBox="1">
          <a:spLocks xmlns:a="http://schemas.openxmlformats.org/drawingml/2006/main" noChangeArrowheads="1"/>
        </cdr:cNvSpPr>
      </cdr:nvSpPr>
      <cdr:spPr bwMode="auto">
        <a:xfrm xmlns:a="http://schemas.openxmlformats.org/drawingml/2006/main">
          <a:off x="7361064" y="107202"/>
          <a:ext cx="1001886" cy="1975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        </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628650</xdr:colOff>
      <xdr:row>41</xdr:row>
      <xdr:rowOff>28575</xdr:rowOff>
    </xdr:from>
    <xdr:to>
      <xdr:col>7</xdr:col>
      <xdr:colOff>152400</xdr:colOff>
      <xdr:row>43</xdr:row>
      <xdr:rowOff>38100</xdr:rowOff>
    </xdr:to>
    <xdr:grpSp>
      <xdr:nvGrpSpPr>
        <xdr:cNvPr id="41463694" name="Group 49">
          <a:extLst>
            <a:ext uri="{FF2B5EF4-FFF2-40B4-BE49-F238E27FC236}">
              <a16:creationId xmlns:a16="http://schemas.microsoft.com/office/drawing/2014/main" id="{00000000-0008-0000-1000-00008EAF7802}"/>
            </a:ext>
          </a:extLst>
        </xdr:cNvPr>
        <xdr:cNvGrpSpPr>
          <a:grpSpLocks/>
        </xdr:cNvGrpSpPr>
      </xdr:nvGrpSpPr>
      <xdr:grpSpPr bwMode="auto">
        <a:xfrm>
          <a:off x="628650" y="7124700"/>
          <a:ext cx="4324350" cy="352425"/>
          <a:chOff x="118" y="445"/>
          <a:chExt cx="372" cy="52"/>
        </a:xfrm>
      </xdr:grpSpPr>
      <xdr:sp macro="" textlink="">
        <xdr:nvSpPr>
          <xdr:cNvPr id="3" name="Text Box 50">
            <a:extLst>
              <a:ext uri="{FF2B5EF4-FFF2-40B4-BE49-F238E27FC236}">
                <a16:creationId xmlns:a16="http://schemas.microsoft.com/office/drawing/2014/main" id="{00000000-0008-0000-1000-000003000000}"/>
              </a:ext>
            </a:extLst>
          </xdr:cNvPr>
          <xdr:cNvSpPr txBox="1">
            <a:spLocks noChangeArrowheads="1"/>
          </xdr:cNvSpPr>
        </xdr:nvSpPr>
        <xdr:spPr bwMode="auto">
          <a:xfrm>
            <a:off x="118" y="445"/>
            <a:ext cx="372" cy="5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marL="0" marR="0" lvl="0" indent="0" algn="dist" defTabSz="914400" rtl="0" eaLnBrk="1" fontAlgn="auto" latinLnBrk="0" hangingPunct="1">
              <a:lnSpc>
                <a:spcPts val="13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HGSｺﾞｼｯｸM"/>
              <a:ea typeface="HGSｺﾞｼｯｸM"/>
            </a:endParaRPr>
          </a:p>
          <a:p>
            <a:pPr marL="0" marR="0" lvl="0" indent="0" algn="dist"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HGSｺﾞｼｯｸM"/>
              <a:ea typeface="HGSｺﾞｼｯｸM"/>
            </a:endParaRPr>
          </a:p>
        </xdr:txBody>
      </xdr:sp>
    </xdr:grpSp>
    <xdr:clientData/>
  </xdr:twoCellAnchor>
  <mc:AlternateContent xmlns:mc="http://schemas.openxmlformats.org/markup-compatibility/2006">
    <mc:Choice xmlns:a14="http://schemas.microsoft.com/office/drawing/2010/main" Requires="a14">
      <xdr:twoCellAnchor>
        <xdr:from>
          <xdr:col>1</xdr:col>
          <xdr:colOff>38100</xdr:colOff>
          <xdr:row>41</xdr:row>
          <xdr:rowOff>57150</xdr:rowOff>
        </xdr:from>
        <xdr:to>
          <xdr:col>7</xdr:col>
          <xdr:colOff>28575</xdr:colOff>
          <xdr:row>43</xdr:row>
          <xdr:rowOff>47625</xdr:rowOff>
        </xdr:to>
        <xdr:sp macro="" textlink="">
          <xdr:nvSpPr>
            <xdr:cNvPr id="41462785" name="Object 1" hidden="1">
              <a:extLst>
                <a:ext uri="{63B3BB69-23CF-44E3-9099-C40C66FF867C}">
                  <a14:compatExt spid="_x0000_s41462785"/>
                </a:ext>
                <a:ext uri="{FF2B5EF4-FFF2-40B4-BE49-F238E27FC236}">
                  <a16:creationId xmlns:a16="http://schemas.microsoft.com/office/drawing/2014/main" id="{00000000-0008-0000-1000-000001AC780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142875</xdr:colOff>
      <xdr:row>32</xdr:row>
      <xdr:rowOff>0</xdr:rowOff>
    </xdr:from>
    <xdr:to>
      <xdr:col>5</xdr:col>
      <xdr:colOff>142875</xdr:colOff>
      <xdr:row>33</xdr:row>
      <xdr:rowOff>114300</xdr:rowOff>
    </xdr:to>
    <xdr:sp macro="" textlink="">
      <xdr:nvSpPr>
        <xdr:cNvPr id="46374319" name="Line 11">
          <a:extLst>
            <a:ext uri="{FF2B5EF4-FFF2-40B4-BE49-F238E27FC236}">
              <a16:creationId xmlns:a16="http://schemas.microsoft.com/office/drawing/2014/main" id="{00000000-0008-0000-0300-0000AF9DC302}"/>
            </a:ext>
          </a:extLst>
        </xdr:cNvPr>
        <xdr:cNvSpPr>
          <a:spLocks noChangeShapeType="1"/>
        </xdr:cNvSpPr>
      </xdr:nvSpPr>
      <xdr:spPr bwMode="auto">
        <a:xfrm>
          <a:off x="2571750" y="6705600"/>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47625</xdr:colOff>
      <xdr:row>32</xdr:row>
      <xdr:rowOff>28575</xdr:rowOff>
    </xdr:from>
    <xdr:to>
      <xdr:col>8</xdr:col>
      <xdr:colOff>47625</xdr:colOff>
      <xdr:row>33</xdr:row>
      <xdr:rowOff>123825</xdr:rowOff>
    </xdr:to>
    <xdr:sp macro="" textlink="">
      <xdr:nvSpPr>
        <xdr:cNvPr id="46374320" name="Line 12">
          <a:extLst>
            <a:ext uri="{FF2B5EF4-FFF2-40B4-BE49-F238E27FC236}">
              <a16:creationId xmlns:a16="http://schemas.microsoft.com/office/drawing/2014/main" id="{00000000-0008-0000-0300-0000B09DC302}"/>
            </a:ext>
          </a:extLst>
        </xdr:cNvPr>
        <xdr:cNvSpPr>
          <a:spLocks noChangeShapeType="1"/>
        </xdr:cNvSpPr>
      </xdr:nvSpPr>
      <xdr:spPr bwMode="auto">
        <a:xfrm>
          <a:off x="4333875" y="6734175"/>
          <a:ext cx="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457200</xdr:colOff>
      <xdr:row>32</xdr:row>
      <xdr:rowOff>9525</xdr:rowOff>
    </xdr:from>
    <xdr:to>
      <xdr:col>10</xdr:col>
      <xdr:colOff>457200</xdr:colOff>
      <xdr:row>33</xdr:row>
      <xdr:rowOff>123825</xdr:rowOff>
    </xdr:to>
    <xdr:sp macro="" textlink="">
      <xdr:nvSpPr>
        <xdr:cNvPr id="46374321" name="Line 13">
          <a:extLst>
            <a:ext uri="{FF2B5EF4-FFF2-40B4-BE49-F238E27FC236}">
              <a16:creationId xmlns:a16="http://schemas.microsoft.com/office/drawing/2014/main" id="{00000000-0008-0000-0300-0000B19DC302}"/>
            </a:ext>
          </a:extLst>
        </xdr:cNvPr>
        <xdr:cNvSpPr>
          <a:spLocks noChangeShapeType="1"/>
        </xdr:cNvSpPr>
      </xdr:nvSpPr>
      <xdr:spPr bwMode="auto">
        <a:xfrm>
          <a:off x="6115050" y="671512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17</xdr:row>
      <xdr:rowOff>38100</xdr:rowOff>
    </xdr:from>
    <xdr:to>
      <xdr:col>11</xdr:col>
      <xdr:colOff>704850</xdr:colOff>
      <xdr:row>34</xdr:row>
      <xdr:rowOff>171450</xdr:rowOff>
    </xdr:to>
    <xdr:graphicFrame macro="">
      <xdr:nvGraphicFramePr>
        <xdr:cNvPr id="46374322" name="Chart 18">
          <a:extLst>
            <a:ext uri="{FF2B5EF4-FFF2-40B4-BE49-F238E27FC236}">
              <a16:creationId xmlns:a16="http://schemas.microsoft.com/office/drawing/2014/main" id="{00000000-0008-0000-0300-0000B29DC3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161925</xdr:colOff>
      <xdr:row>76</xdr:row>
      <xdr:rowOff>9525</xdr:rowOff>
    </xdr:from>
    <xdr:to>
      <xdr:col>18</xdr:col>
      <xdr:colOff>161925</xdr:colOff>
      <xdr:row>78</xdr:row>
      <xdr:rowOff>9525</xdr:rowOff>
    </xdr:to>
    <xdr:sp macro="" textlink="">
      <xdr:nvSpPr>
        <xdr:cNvPr id="46374323" name="Line 19">
          <a:extLst>
            <a:ext uri="{FF2B5EF4-FFF2-40B4-BE49-F238E27FC236}">
              <a16:creationId xmlns:a16="http://schemas.microsoft.com/office/drawing/2014/main" id="{00000000-0008-0000-0300-0000B39DC302}"/>
            </a:ext>
          </a:extLst>
        </xdr:cNvPr>
        <xdr:cNvSpPr>
          <a:spLocks noChangeShapeType="1"/>
        </xdr:cNvSpPr>
      </xdr:nvSpPr>
      <xdr:spPr bwMode="auto">
        <a:xfrm>
          <a:off x="11210925" y="1418272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352425</xdr:colOff>
      <xdr:row>29</xdr:row>
      <xdr:rowOff>161925</xdr:rowOff>
    </xdr:from>
    <xdr:to>
      <xdr:col>11</xdr:col>
      <xdr:colOff>571500</xdr:colOff>
      <xdr:row>33</xdr:row>
      <xdr:rowOff>38100</xdr:rowOff>
    </xdr:to>
    <xdr:grpSp>
      <xdr:nvGrpSpPr>
        <xdr:cNvPr id="46374324" name="グループ化 1">
          <a:extLst>
            <a:ext uri="{FF2B5EF4-FFF2-40B4-BE49-F238E27FC236}">
              <a16:creationId xmlns:a16="http://schemas.microsoft.com/office/drawing/2014/main" id="{00000000-0008-0000-0300-0000B49DC302}"/>
            </a:ext>
          </a:extLst>
        </xdr:cNvPr>
        <xdr:cNvGrpSpPr>
          <a:grpSpLocks/>
        </xdr:cNvGrpSpPr>
      </xdr:nvGrpSpPr>
      <xdr:grpSpPr bwMode="auto">
        <a:xfrm>
          <a:off x="4152900" y="6296025"/>
          <a:ext cx="2562225" cy="638175"/>
          <a:chOff x="4171950" y="6115050"/>
          <a:chExt cx="2343150" cy="638175"/>
        </a:xfrm>
      </xdr:grpSpPr>
      <xdr:sp macro="" textlink="">
        <xdr:nvSpPr>
          <xdr:cNvPr id="9223" name="Text Box 7">
            <a:extLst>
              <a:ext uri="{FF2B5EF4-FFF2-40B4-BE49-F238E27FC236}">
                <a16:creationId xmlns:a16="http://schemas.microsoft.com/office/drawing/2014/main" id="{00000000-0008-0000-0300-000007240000}"/>
              </a:ext>
            </a:extLst>
          </xdr:cNvPr>
          <xdr:cNvSpPr txBox="1">
            <a:spLocks noChangeArrowheads="1"/>
          </xdr:cNvSpPr>
        </xdr:nvSpPr>
        <xdr:spPr bwMode="auto">
          <a:xfrm>
            <a:off x="4171950" y="6115050"/>
            <a:ext cx="2343150" cy="638175"/>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一致指数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6374333" name="Line 8">
            <a:extLst>
              <a:ext uri="{FF2B5EF4-FFF2-40B4-BE49-F238E27FC236}">
                <a16:creationId xmlns:a16="http://schemas.microsoft.com/office/drawing/2014/main" id="{00000000-0008-0000-0300-0000BD9DC302}"/>
              </a:ext>
            </a:extLst>
          </xdr:cNvPr>
          <xdr:cNvSpPr>
            <a:spLocks noChangeShapeType="1"/>
          </xdr:cNvSpPr>
        </xdr:nvSpPr>
        <xdr:spPr bwMode="auto">
          <a:xfrm>
            <a:off x="4264291" y="6191631"/>
            <a:ext cx="438619"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6374334" name="Line 9">
            <a:extLst>
              <a:ext uri="{FF2B5EF4-FFF2-40B4-BE49-F238E27FC236}">
                <a16:creationId xmlns:a16="http://schemas.microsoft.com/office/drawing/2014/main" id="{00000000-0008-0000-0300-0000BE9DC302}"/>
              </a:ext>
            </a:extLst>
          </xdr:cNvPr>
          <xdr:cNvSpPr>
            <a:spLocks noChangeShapeType="1"/>
          </xdr:cNvSpPr>
        </xdr:nvSpPr>
        <xdr:spPr bwMode="auto">
          <a:xfrm>
            <a:off x="4252748" y="6370320"/>
            <a:ext cx="438619"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6374335" name="Line 10">
            <a:extLst>
              <a:ext uri="{FF2B5EF4-FFF2-40B4-BE49-F238E27FC236}">
                <a16:creationId xmlns:a16="http://schemas.microsoft.com/office/drawing/2014/main" id="{00000000-0008-0000-0300-0000BF9DC302}"/>
              </a:ext>
            </a:extLst>
          </xdr:cNvPr>
          <xdr:cNvSpPr>
            <a:spLocks noChangeShapeType="1"/>
          </xdr:cNvSpPr>
        </xdr:nvSpPr>
        <xdr:spPr bwMode="auto">
          <a:xfrm>
            <a:off x="4275833" y="6561773"/>
            <a:ext cx="403991"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57150</xdr:colOff>
      <xdr:row>33</xdr:row>
      <xdr:rowOff>104775</xdr:rowOff>
    </xdr:from>
    <xdr:to>
      <xdr:col>4</xdr:col>
      <xdr:colOff>57150</xdr:colOff>
      <xdr:row>36</xdr:row>
      <xdr:rowOff>104775</xdr:rowOff>
    </xdr:to>
    <xdr:sp macro="" textlink="">
      <xdr:nvSpPr>
        <xdr:cNvPr id="46374326" name="Line 20">
          <a:extLst>
            <a:ext uri="{FF2B5EF4-FFF2-40B4-BE49-F238E27FC236}">
              <a16:creationId xmlns:a16="http://schemas.microsoft.com/office/drawing/2014/main" id="{00000000-0008-0000-0300-0000B69DC302}"/>
            </a:ext>
          </a:extLst>
        </xdr:cNvPr>
        <xdr:cNvSpPr>
          <a:spLocks noChangeShapeType="1"/>
        </xdr:cNvSpPr>
      </xdr:nvSpPr>
      <xdr:spPr bwMode="auto">
        <a:xfrm>
          <a:off x="2000250" y="7000875"/>
          <a:ext cx="0" cy="571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33</xdr:row>
      <xdr:rowOff>114300</xdr:rowOff>
    </xdr:from>
    <xdr:to>
      <xdr:col>6</xdr:col>
      <xdr:colOff>323850</xdr:colOff>
      <xdr:row>36</xdr:row>
      <xdr:rowOff>104775</xdr:rowOff>
    </xdr:to>
    <xdr:sp macro="" textlink="">
      <xdr:nvSpPr>
        <xdr:cNvPr id="46374327" name="Line 21">
          <a:extLst>
            <a:ext uri="{FF2B5EF4-FFF2-40B4-BE49-F238E27FC236}">
              <a16:creationId xmlns:a16="http://schemas.microsoft.com/office/drawing/2014/main" id="{00000000-0008-0000-0300-0000B79DC302}"/>
            </a:ext>
          </a:extLst>
        </xdr:cNvPr>
        <xdr:cNvSpPr>
          <a:spLocks noChangeShapeType="1"/>
        </xdr:cNvSpPr>
      </xdr:nvSpPr>
      <xdr:spPr bwMode="auto">
        <a:xfrm flipH="1">
          <a:off x="3600450" y="7010400"/>
          <a:ext cx="0" cy="5619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66675</xdr:colOff>
      <xdr:row>33</xdr:row>
      <xdr:rowOff>104775</xdr:rowOff>
    </xdr:from>
    <xdr:to>
      <xdr:col>9</xdr:col>
      <xdr:colOff>66675</xdr:colOff>
      <xdr:row>36</xdr:row>
      <xdr:rowOff>104775</xdr:rowOff>
    </xdr:to>
    <xdr:sp macro="" textlink="">
      <xdr:nvSpPr>
        <xdr:cNvPr id="46374331" name="Line 22">
          <a:extLst>
            <a:ext uri="{FF2B5EF4-FFF2-40B4-BE49-F238E27FC236}">
              <a16:creationId xmlns:a16="http://schemas.microsoft.com/office/drawing/2014/main" id="{00000000-0008-0000-0300-0000BB9DC302}"/>
            </a:ext>
          </a:extLst>
        </xdr:cNvPr>
        <xdr:cNvSpPr>
          <a:spLocks noChangeShapeType="1"/>
        </xdr:cNvSpPr>
      </xdr:nvSpPr>
      <xdr:spPr bwMode="auto">
        <a:xfrm flipH="1">
          <a:off x="5200650" y="7000875"/>
          <a:ext cx="0" cy="571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166687</xdr:colOff>
      <xdr:row>35</xdr:row>
      <xdr:rowOff>0</xdr:rowOff>
    </xdr:from>
    <xdr:to>
      <xdr:col>8</xdr:col>
      <xdr:colOff>326531</xdr:colOff>
      <xdr:row>36</xdr:row>
      <xdr:rowOff>61500</xdr:rowOff>
    </xdr:to>
    <xdr:sp macro="" textlink="">
      <xdr:nvSpPr>
        <xdr:cNvPr id="2" name="Text Box 15">
          <a:extLst>
            <a:ext uri="{FF2B5EF4-FFF2-40B4-BE49-F238E27FC236}">
              <a16:creationId xmlns:a16="http://schemas.microsoft.com/office/drawing/2014/main" id="{566EC958-E2AD-4443-A20B-CEAC45F318E0}"/>
            </a:ext>
          </a:extLst>
        </xdr:cNvPr>
        <xdr:cNvSpPr txBox="1">
          <a:spLocks noChangeArrowheads="1"/>
        </xdr:cNvSpPr>
      </xdr:nvSpPr>
      <xdr:spPr bwMode="auto">
        <a:xfrm>
          <a:off x="3964781" y="7274719"/>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panose="020B0600000000000000" pitchFamily="50" charset="-128"/>
              <a:ea typeface="HGSｺﾞｼｯｸM" panose="020B0600000000000000" pitchFamily="50" charset="-128"/>
            </a:rPr>
            <a:t>令和７年</a:t>
          </a:r>
          <a:endParaRPr lang="ja-JP" altLang="en-US">
            <a:latin typeface="HGSｺﾞｼｯｸM" panose="020B0600000000000000" pitchFamily="50" charset="-128"/>
            <a:ea typeface="HGSｺﾞｼｯｸM" panose="020B0600000000000000" pitchFamily="50" charset="-128"/>
          </a:endParaRPr>
        </a:p>
      </xdr:txBody>
    </xdr:sp>
    <xdr:clientData/>
  </xdr:twoCellAnchor>
  <xdr:twoCellAnchor editAs="oneCell">
    <xdr:from>
      <xdr:col>9</xdr:col>
      <xdr:colOff>385762</xdr:colOff>
      <xdr:row>35</xdr:row>
      <xdr:rowOff>0</xdr:rowOff>
    </xdr:from>
    <xdr:to>
      <xdr:col>11</xdr:col>
      <xdr:colOff>21731</xdr:colOff>
      <xdr:row>36</xdr:row>
      <xdr:rowOff>61500</xdr:rowOff>
    </xdr:to>
    <xdr:sp macro="" textlink="">
      <xdr:nvSpPr>
        <xdr:cNvPr id="3" name="Text Box 16">
          <a:extLst>
            <a:ext uri="{FF2B5EF4-FFF2-40B4-BE49-F238E27FC236}">
              <a16:creationId xmlns:a16="http://schemas.microsoft.com/office/drawing/2014/main" id="{DB1C1945-9C89-4D96-95C5-7D4F7A176CFD}"/>
            </a:ext>
          </a:extLst>
        </xdr:cNvPr>
        <xdr:cNvSpPr txBox="1">
          <a:spLocks noChangeArrowheads="1"/>
        </xdr:cNvSpPr>
      </xdr:nvSpPr>
      <xdr:spPr bwMode="auto">
        <a:xfrm>
          <a:off x="5517356" y="7274719"/>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a:ea typeface="HGSｺﾞｼｯｸM"/>
            </a:rPr>
            <a:t>令和８年</a:t>
          </a:r>
          <a:endParaRPr lang="ja-JP" altLang="en-US"/>
        </a:p>
      </xdr:txBody>
    </xdr:sp>
    <xdr:clientData/>
  </xdr:twoCellAnchor>
  <xdr:twoCellAnchor editAs="oneCell">
    <xdr:from>
      <xdr:col>1</xdr:col>
      <xdr:colOff>523875</xdr:colOff>
      <xdr:row>35</xdr:row>
      <xdr:rowOff>0</xdr:rowOff>
    </xdr:from>
    <xdr:to>
      <xdr:col>3</xdr:col>
      <xdr:colOff>52687</xdr:colOff>
      <xdr:row>36</xdr:row>
      <xdr:rowOff>61500</xdr:rowOff>
    </xdr:to>
    <xdr:sp macro="" textlink="">
      <xdr:nvSpPr>
        <xdr:cNvPr id="4" name="Text Box 17">
          <a:extLst>
            <a:ext uri="{FF2B5EF4-FFF2-40B4-BE49-F238E27FC236}">
              <a16:creationId xmlns:a16="http://schemas.microsoft.com/office/drawing/2014/main" id="{B96BE4FA-32A1-4037-A79C-37F51864808F}"/>
            </a:ext>
          </a:extLst>
        </xdr:cNvPr>
        <xdr:cNvSpPr txBox="1">
          <a:spLocks noChangeArrowheads="1"/>
        </xdr:cNvSpPr>
      </xdr:nvSpPr>
      <xdr:spPr bwMode="auto">
        <a:xfrm>
          <a:off x="821531" y="7274719"/>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editAs="oneCell">
    <xdr:from>
      <xdr:col>4</xdr:col>
      <xdr:colOff>471487</xdr:colOff>
      <xdr:row>35</xdr:row>
      <xdr:rowOff>0</xdr:rowOff>
    </xdr:from>
    <xdr:to>
      <xdr:col>5</xdr:col>
      <xdr:colOff>631331</xdr:colOff>
      <xdr:row>36</xdr:row>
      <xdr:rowOff>61500</xdr:rowOff>
    </xdr:to>
    <xdr:sp macro="" textlink="">
      <xdr:nvSpPr>
        <xdr:cNvPr id="5" name="Text Box 17">
          <a:extLst>
            <a:ext uri="{FF2B5EF4-FFF2-40B4-BE49-F238E27FC236}">
              <a16:creationId xmlns:a16="http://schemas.microsoft.com/office/drawing/2014/main" id="{DFEE765E-35BF-4E2B-925F-5136372AB5C0}"/>
            </a:ext>
          </a:extLst>
        </xdr:cNvPr>
        <xdr:cNvSpPr txBox="1">
          <a:spLocks noChangeArrowheads="1"/>
        </xdr:cNvSpPr>
      </xdr:nvSpPr>
      <xdr:spPr bwMode="auto">
        <a:xfrm>
          <a:off x="2412206" y="7274719"/>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485775</xdr:colOff>
      <xdr:row>0</xdr:row>
      <xdr:rowOff>0</xdr:rowOff>
    </xdr:from>
    <xdr:to>
      <xdr:col>6</xdr:col>
      <xdr:colOff>571500</xdr:colOff>
      <xdr:row>0</xdr:row>
      <xdr:rowOff>0</xdr:rowOff>
    </xdr:to>
    <xdr:grpSp>
      <xdr:nvGrpSpPr>
        <xdr:cNvPr id="46624168" name="Group 1">
          <a:extLst>
            <a:ext uri="{FF2B5EF4-FFF2-40B4-BE49-F238E27FC236}">
              <a16:creationId xmlns:a16="http://schemas.microsoft.com/office/drawing/2014/main" id="{00000000-0008-0000-1100-0000A86DC702}"/>
            </a:ext>
          </a:extLst>
        </xdr:cNvPr>
        <xdr:cNvGrpSpPr>
          <a:grpSpLocks/>
        </xdr:cNvGrpSpPr>
      </xdr:nvGrpSpPr>
      <xdr:grpSpPr bwMode="auto">
        <a:xfrm>
          <a:off x="1162050" y="0"/>
          <a:ext cx="3467100" cy="0"/>
          <a:chOff x="241" y="334"/>
          <a:chExt cx="372" cy="52"/>
        </a:xfrm>
      </xdr:grpSpPr>
      <xdr:sp macro="" textlink="">
        <xdr:nvSpPr>
          <xdr:cNvPr id="24" name="Text Box 2">
            <a:extLst>
              <a:ext uri="{FF2B5EF4-FFF2-40B4-BE49-F238E27FC236}">
                <a16:creationId xmlns:a16="http://schemas.microsoft.com/office/drawing/2014/main" id="{00000000-0008-0000-1100-000018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328978</xdr:colOff>
      <xdr:row>19</xdr:row>
      <xdr:rowOff>133594</xdr:rowOff>
    </xdr:from>
    <xdr:to>
      <xdr:col>1</xdr:col>
      <xdr:colOff>549403</xdr:colOff>
      <xdr:row>21</xdr:row>
      <xdr:rowOff>50966</xdr:rowOff>
    </xdr:to>
    <xdr:sp macro="" textlink="">
      <xdr:nvSpPr>
        <xdr:cNvPr id="17413" name="Text Box 5">
          <a:extLst>
            <a:ext uri="{FF2B5EF4-FFF2-40B4-BE49-F238E27FC236}">
              <a16:creationId xmlns:a16="http://schemas.microsoft.com/office/drawing/2014/main" id="{00000000-0008-0000-1100-000005440000}"/>
            </a:ext>
          </a:extLst>
        </xdr:cNvPr>
        <xdr:cNvSpPr txBox="1">
          <a:spLocks noChangeArrowheads="1"/>
        </xdr:cNvSpPr>
      </xdr:nvSpPr>
      <xdr:spPr bwMode="auto">
        <a:xfrm>
          <a:off x="1003055" y="3753094"/>
          <a:ext cx="235195" cy="306021"/>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defRPr sz="1000"/>
          </a:pPr>
          <a:r>
            <a:rPr lang="en-US" altLang="ja-JP" sz="1100" b="0" i="0" u="none" strike="noStrike" baseline="0">
              <a:solidFill>
                <a:srgbClr val="000000"/>
              </a:solidFill>
              <a:latin typeface="ＭＳ 明朝"/>
              <a:ea typeface="ＭＳ 明朝"/>
            </a:rPr>
            <a:t>0</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248432</xdr:colOff>
      <xdr:row>15</xdr:row>
      <xdr:rowOff>179265</xdr:rowOff>
    </xdr:from>
    <xdr:to>
      <xdr:col>1</xdr:col>
      <xdr:colOff>629711</xdr:colOff>
      <xdr:row>17</xdr:row>
      <xdr:rowOff>50960</xdr:rowOff>
    </xdr:to>
    <xdr:sp macro="" textlink="">
      <xdr:nvSpPr>
        <xdr:cNvPr id="17414" name="Text Box 6">
          <a:extLst>
            <a:ext uri="{FF2B5EF4-FFF2-40B4-BE49-F238E27FC236}">
              <a16:creationId xmlns:a16="http://schemas.microsoft.com/office/drawing/2014/main" id="{00000000-0008-0000-1100-000006440000}"/>
            </a:ext>
          </a:extLst>
        </xdr:cNvPr>
        <xdr:cNvSpPr txBox="1">
          <a:spLocks noChangeArrowheads="1"/>
        </xdr:cNvSpPr>
      </xdr:nvSpPr>
      <xdr:spPr bwMode="auto">
        <a:xfrm>
          <a:off x="914889" y="3036765"/>
          <a:ext cx="381977" cy="260350"/>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lnSpc>
              <a:spcPts val="900"/>
            </a:lnSpc>
            <a:defRPr sz="1000"/>
          </a:pPr>
          <a:r>
            <a:rPr lang="en-US" altLang="ja-JP" sz="1100" b="0" i="0" u="none" strike="noStrike" baseline="0">
              <a:solidFill>
                <a:srgbClr val="000000"/>
              </a:solidFill>
              <a:latin typeface="ＭＳ 明朝"/>
              <a:ea typeface="ＭＳ 明朝"/>
            </a:rPr>
            <a:t>50</a:t>
          </a:r>
          <a:endParaRPr lang="en-US" altLang="ja-JP" sz="1100" b="0" i="0" u="none" strike="noStrike" baseline="0">
            <a:solidFill>
              <a:srgbClr val="000000"/>
            </a:solidFill>
            <a:latin typeface="ＭＳ Ｐゴシック"/>
            <a:ea typeface="ＭＳ Ｐゴシック"/>
          </a:endParaRPr>
        </a:p>
        <a:p>
          <a:pPr algn="l" rtl="0">
            <a:lnSpc>
              <a:spcPts val="10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169545</xdr:colOff>
      <xdr:row>11</xdr:row>
      <xdr:rowOff>104775</xdr:rowOff>
    </xdr:from>
    <xdr:to>
      <xdr:col>1</xdr:col>
      <xdr:colOff>638557</xdr:colOff>
      <xdr:row>13</xdr:row>
      <xdr:rowOff>25527</xdr:rowOff>
    </xdr:to>
    <xdr:sp macro="" textlink="">
      <xdr:nvSpPr>
        <xdr:cNvPr id="17415" name="Text Box 7">
          <a:extLst>
            <a:ext uri="{FF2B5EF4-FFF2-40B4-BE49-F238E27FC236}">
              <a16:creationId xmlns:a16="http://schemas.microsoft.com/office/drawing/2014/main" id="{00000000-0008-0000-1100-000007440000}"/>
            </a:ext>
          </a:extLst>
        </xdr:cNvPr>
        <xdr:cNvSpPr txBox="1">
          <a:spLocks noChangeArrowheads="1"/>
        </xdr:cNvSpPr>
      </xdr:nvSpPr>
      <xdr:spPr bwMode="auto">
        <a:xfrm>
          <a:off x="836002" y="2200275"/>
          <a:ext cx="476250" cy="301752"/>
        </a:xfrm>
        <a:prstGeom prst="rect">
          <a:avLst/>
        </a:prstGeom>
        <a:solidFill>
          <a:srgbClr val="FFFFFF"/>
        </a:solidFill>
        <a:ln w="9525">
          <a:noFill/>
          <a:miter lim="800000"/>
          <a:headEnd/>
          <a:tailEnd/>
        </a:ln>
        <a:effectLst/>
      </xdr:spPr>
      <xdr:txBody>
        <a:bodyPr vertOverflow="clip" wrap="square" lIns="91440" tIns="45720" rIns="91440" bIns="45720" anchor="ctr" upright="1"/>
        <a:lstStyle/>
        <a:p>
          <a:pPr algn="l" rtl="0">
            <a:defRPr sz="1000"/>
          </a:pPr>
          <a:r>
            <a:rPr lang="en-US" altLang="ja-JP" sz="1100" b="0" i="0" u="none" strike="noStrike" baseline="0">
              <a:solidFill>
                <a:srgbClr val="000000"/>
              </a:solidFill>
              <a:latin typeface="ＭＳ 明朝"/>
              <a:ea typeface="ＭＳ 明朝"/>
            </a:rPr>
            <a:t>100</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72" name="Freeform 8">
          <a:extLst>
            <a:ext uri="{FF2B5EF4-FFF2-40B4-BE49-F238E27FC236}">
              <a16:creationId xmlns:a16="http://schemas.microsoft.com/office/drawing/2014/main" id="{00000000-0008-0000-1100-0000AC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561975</xdr:colOff>
      <xdr:row>6</xdr:row>
      <xdr:rowOff>28575</xdr:rowOff>
    </xdr:from>
    <xdr:to>
      <xdr:col>3</xdr:col>
      <xdr:colOff>561975</xdr:colOff>
      <xdr:row>8</xdr:row>
      <xdr:rowOff>152400</xdr:rowOff>
    </xdr:to>
    <xdr:sp macro="" textlink="">
      <xdr:nvSpPr>
        <xdr:cNvPr id="46624173" name="Line 10">
          <a:extLst>
            <a:ext uri="{FF2B5EF4-FFF2-40B4-BE49-F238E27FC236}">
              <a16:creationId xmlns:a16="http://schemas.microsoft.com/office/drawing/2014/main" id="{00000000-0008-0000-1100-0000AD6DC702}"/>
            </a:ext>
          </a:extLst>
        </xdr:cNvPr>
        <xdr:cNvSpPr>
          <a:spLocks noChangeShapeType="1"/>
        </xdr:cNvSpPr>
      </xdr:nvSpPr>
      <xdr:spPr bwMode="auto">
        <a:xfrm>
          <a:off x="2590800"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6</xdr:row>
      <xdr:rowOff>28575</xdr:rowOff>
    </xdr:from>
    <xdr:to>
      <xdr:col>6</xdr:col>
      <xdr:colOff>47625</xdr:colOff>
      <xdr:row>8</xdr:row>
      <xdr:rowOff>152400</xdr:rowOff>
    </xdr:to>
    <xdr:sp macro="" textlink="">
      <xdr:nvSpPr>
        <xdr:cNvPr id="46624174" name="Line 11">
          <a:extLst>
            <a:ext uri="{FF2B5EF4-FFF2-40B4-BE49-F238E27FC236}">
              <a16:creationId xmlns:a16="http://schemas.microsoft.com/office/drawing/2014/main" id="{00000000-0008-0000-1100-0000AE6DC702}"/>
            </a:ext>
          </a:extLst>
        </xdr:cNvPr>
        <xdr:cNvSpPr>
          <a:spLocks noChangeShapeType="1"/>
        </xdr:cNvSpPr>
      </xdr:nvSpPr>
      <xdr:spPr bwMode="auto">
        <a:xfrm>
          <a:off x="4105275"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12</xdr:row>
      <xdr:rowOff>38100</xdr:rowOff>
    </xdr:from>
    <xdr:to>
      <xdr:col>1</xdr:col>
      <xdr:colOff>523875</xdr:colOff>
      <xdr:row>20</xdr:row>
      <xdr:rowOff>123825</xdr:rowOff>
    </xdr:to>
    <xdr:sp macro="" textlink="">
      <xdr:nvSpPr>
        <xdr:cNvPr id="46624175" name="Line 14">
          <a:extLst>
            <a:ext uri="{FF2B5EF4-FFF2-40B4-BE49-F238E27FC236}">
              <a16:creationId xmlns:a16="http://schemas.microsoft.com/office/drawing/2014/main" id="{00000000-0008-0000-1100-0000AF6DC702}"/>
            </a:ext>
          </a:extLst>
        </xdr:cNvPr>
        <xdr:cNvSpPr>
          <a:spLocks noChangeShapeType="1"/>
        </xdr:cNvSpPr>
      </xdr:nvSpPr>
      <xdr:spPr bwMode="auto">
        <a:xfrm>
          <a:off x="1200150" y="2438400"/>
          <a:ext cx="0" cy="1685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76" name="Freeform 15">
          <a:extLst>
            <a:ext uri="{FF2B5EF4-FFF2-40B4-BE49-F238E27FC236}">
              <a16:creationId xmlns:a16="http://schemas.microsoft.com/office/drawing/2014/main" id="{00000000-0008-0000-1100-0000B0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20</xdr:row>
      <xdr:rowOff>123825</xdr:rowOff>
    </xdr:from>
    <xdr:to>
      <xdr:col>2</xdr:col>
      <xdr:colOff>85725</xdr:colOff>
      <xdr:row>20</xdr:row>
      <xdr:rowOff>123825</xdr:rowOff>
    </xdr:to>
    <xdr:sp macro="" textlink="">
      <xdr:nvSpPr>
        <xdr:cNvPr id="46624177" name="Freeform 17">
          <a:extLst>
            <a:ext uri="{FF2B5EF4-FFF2-40B4-BE49-F238E27FC236}">
              <a16:creationId xmlns:a16="http://schemas.microsoft.com/office/drawing/2014/main" id="{00000000-0008-0000-1100-0000B16DC702}"/>
            </a:ext>
          </a:extLst>
        </xdr:cNvPr>
        <xdr:cNvSpPr>
          <a:spLocks/>
        </xdr:cNvSpPr>
      </xdr:nvSpPr>
      <xdr:spPr bwMode="auto">
        <a:xfrm>
          <a:off x="1200150" y="4124325"/>
          <a:ext cx="238125" cy="0"/>
        </a:xfrm>
        <a:custGeom>
          <a:avLst/>
          <a:gdLst>
            <a:gd name="T0" fmla="*/ 0 w 285"/>
            <a:gd name="T1" fmla="*/ 0 h 1"/>
            <a:gd name="T2" fmla="*/ 2147483646 w 285"/>
            <a:gd name="T3" fmla="*/ 0 h 1"/>
            <a:gd name="T4" fmla="*/ 0 60000 65536"/>
            <a:gd name="T5" fmla="*/ 0 60000 65536"/>
            <a:gd name="T6" fmla="*/ 0 w 285"/>
            <a:gd name="T7" fmla="*/ 0 h 1"/>
            <a:gd name="T8" fmla="*/ 285 w 285"/>
            <a:gd name="T9" fmla="*/ 0 h 1"/>
          </a:gdLst>
          <a:ahLst/>
          <a:cxnLst>
            <a:cxn ang="T4">
              <a:pos x="T0" y="T1"/>
            </a:cxn>
            <a:cxn ang="T5">
              <a:pos x="T2" y="T3"/>
            </a:cxn>
          </a:cxnLst>
          <a:rect l="T6" t="T7" r="T8" b="T9"/>
          <a:pathLst>
            <a:path w="285" h="1">
              <a:moveTo>
                <a:pt x="0" y="0"/>
              </a:moveTo>
              <a:lnTo>
                <a:pt x="285" y="0"/>
              </a:lnTo>
            </a:path>
          </a:pathLst>
        </a:custGeom>
        <a:noFill/>
        <a:ln w="95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28" name="Text Box 20">
          <a:extLst>
            <a:ext uri="{FF2B5EF4-FFF2-40B4-BE49-F238E27FC236}">
              <a16:creationId xmlns:a16="http://schemas.microsoft.com/office/drawing/2014/main" id="{00000000-0008-0000-1100-000014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79" name="Group 21">
          <a:extLst>
            <a:ext uri="{FF2B5EF4-FFF2-40B4-BE49-F238E27FC236}">
              <a16:creationId xmlns:a16="http://schemas.microsoft.com/office/drawing/2014/main" id="{00000000-0008-0000-1100-0000B36DC702}"/>
            </a:ext>
          </a:extLst>
        </xdr:cNvPr>
        <xdr:cNvGrpSpPr>
          <a:grpSpLocks/>
        </xdr:cNvGrpSpPr>
      </xdr:nvGrpSpPr>
      <xdr:grpSpPr bwMode="auto">
        <a:xfrm>
          <a:off x="1162050" y="0"/>
          <a:ext cx="3467100" cy="0"/>
          <a:chOff x="241" y="334"/>
          <a:chExt cx="372" cy="52"/>
        </a:xfrm>
      </xdr:grpSpPr>
      <xdr:sp macro="" textlink="">
        <xdr:nvSpPr>
          <xdr:cNvPr id="23" name="Text Box 22">
            <a:extLst>
              <a:ext uri="{FF2B5EF4-FFF2-40B4-BE49-F238E27FC236}">
                <a16:creationId xmlns:a16="http://schemas.microsoft.com/office/drawing/2014/main" id="{00000000-0008-0000-1100-000017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0" name="Freeform 25">
          <a:extLst>
            <a:ext uri="{FF2B5EF4-FFF2-40B4-BE49-F238E27FC236}">
              <a16:creationId xmlns:a16="http://schemas.microsoft.com/office/drawing/2014/main" id="{00000000-0008-0000-1100-0000B4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81" name="Freeform 26">
          <a:extLst>
            <a:ext uri="{FF2B5EF4-FFF2-40B4-BE49-F238E27FC236}">
              <a16:creationId xmlns:a16="http://schemas.microsoft.com/office/drawing/2014/main" id="{00000000-0008-0000-1100-0000B5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328002</xdr:colOff>
      <xdr:row>10</xdr:row>
      <xdr:rowOff>154842</xdr:rowOff>
    </xdr:from>
    <xdr:to>
      <xdr:col>1</xdr:col>
      <xdr:colOff>586531</xdr:colOff>
      <xdr:row>11</xdr:row>
      <xdr:rowOff>183173</xdr:rowOff>
    </xdr:to>
    <xdr:sp macro="" textlink="">
      <xdr:nvSpPr>
        <xdr:cNvPr id="17436" name="Text Box 28">
          <a:extLst>
            <a:ext uri="{FF2B5EF4-FFF2-40B4-BE49-F238E27FC236}">
              <a16:creationId xmlns:a16="http://schemas.microsoft.com/office/drawing/2014/main" id="{00000000-0008-0000-1100-00001C440000}"/>
            </a:ext>
          </a:extLst>
        </xdr:cNvPr>
        <xdr:cNvSpPr txBox="1">
          <a:spLocks noChangeArrowheads="1"/>
        </xdr:cNvSpPr>
      </xdr:nvSpPr>
      <xdr:spPr bwMode="auto">
        <a:xfrm>
          <a:off x="1002079" y="2059842"/>
          <a:ext cx="258152" cy="218831"/>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HGSｺﾞｼｯｸM"/>
              <a:ea typeface="HGSｺﾞｼｯｸM"/>
            </a:rPr>
            <a:t>％</a:t>
          </a:r>
        </a:p>
        <a:p>
          <a:pPr algn="l" rtl="0">
            <a:defRPr sz="1000"/>
          </a:pPr>
          <a:endParaRPr lang="ja-JP" altLang="en-US" sz="1100" b="0" i="0" u="none" strike="noStrike" baseline="0">
            <a:solidFill>
              <a:srgbClr val="000000"/>
            </a:solidFill>
            <a:latin typeface="HGSｺﾞｼｯｸM"/>
            <a:ea typeface="HGSｺﾞｼｯｸM"/>
          </a:endParaRPr>
        </a:p>
      </xdr:txBody>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37" name="Text Box 29">
          <a:extLst>
            <a:ext uri="{FF2B5EF4-FFF2-40B4-BE49-F238E27FC236}">
              <a16:creationId xmlns:a16="http://schemas.microsoft.com/office/drawing/2014/main" id="{00000000-0008-0000-1100-00001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84" name="Group 30">
          <a:extLst>
            <a:ext uri="{FF2B5EF4-FFF2-40B4-BE49-F238E27FC236}">
              <a16:creationId xmlns:a16="http://schemas.microsoft.com/office/drawing/2014/main" id="{00000000-0008-0000-1100-0000B86DC702}"/>
            </a:ext>
          </a:extLst>
        </xdr:cNvPr>
        <xdr:cNvGrpSpPr>
          <a:grpSpLocks/>
        </xdr:cNvGrpSpPr>
      </xdr:nvGrpSpPr>
      <xdr:grpSpPr bwMode="auto">
        <a:xfrm>
          <a:off x="1162050" y="0"/>
          <a:ext cx="3467100" cy="0"/>
          <a:chOff x="241" y="334"/>
          <a:chExt cx="372" cy="52"/>
        </a:xfrm>
      </xdr:grpSpPr>
      <xdr:sp macro="" textlink="">
        <xdr:nvSpPr>
          <xdr:cNvPr id="22" name="Text Box 31">
            <a:extLst>
              <a:ext uri="{FF2B5EF4-FFF2-40B4-BE49-F238E27FC236}">
                <a16:creationId xmlns:a16="http://schemas.microsoft.com/office/drawing/2014/main" id="{00000000-0008-0000-1100-000016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5" name="Freeform 34">
          <a:extLst>
            <a:ext uri="{FF2B5EF4-FFF2-40B4-BE49-F238E27FC236}">
              <a16:creationId xmlns:a16="http://schemas.microsoft.com/office/drawing/2014/main" id="{00000000-0008-0000-1100-0000B9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86" name="Freeform 35">
          <a:extLst>
            <a:ext uri="{FF2B5EF4-FFF2-40B4-BE49-F238E27FC236}">
              <a16:creationId xmlns:a16="http://schemas.microsoft.com/office/drawing/2014/main" id="{00000000-0008-0000-1100-0000BA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45" name="Text Box 37">
          <a:extLst>
            <a:ext uri="{FF2B5EF4-FFF2-40B4-BE49-F238E27FC236}">
              <a16:creationId xmlns:a16="http://schemas.microsoft.com/office/drawing/2014/main" id="{00000000-0008-0000-1100-00002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88" name="Group 38">
          <a:extLst>
            <a:ext uri="{FF2B5EF4-FFF2-40B4-BE49-F238E27FC236}">
              <a16:creationId xmlns:a16="http://schemas.microsoft.com/office/drawing/2014/main" id="{00000000-0008-0000-1100-0000BC6DC702}"/>
            </a:ext>
          </a:extLst>
        </xdr:cNvPr>
        <xdr:cNvGrpSpPr>
          <a:grpSpLocks/>
        </xdr:cNvGrpSpPr>
      </xdr:nvGrpSpPr>
      <xdr:grpSpPr bwMode="auto">
        <a:xfrm>
          <a:off x="1162050" y="0"/>
          <a:ext cx="3467100" cy="0"/>
          <a:chOff x="241" y="334"/>
          <a:chExt cx="372" cy="52"/>
        </a:xfrm>
      </xdr:grpSpPr>
      <xdr:sp macro="" textlink="">
        <xdr:nvSpPr>
          <xdr:cNvPr id="21" name="Text Box 39">
            <a:extLst>
              <a:ext uri="{FF2B5EF4-FFF2-40B4-BE49-F238E27FC236}">
                <a16:creationId xmlns:a16="http://schemas.microsoft.com/office/drawing/2014/main" id="{00000000-0008-0000-1100-000015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9" name="Freeform 42">
          <a:extLst>
            <a:ext uri="{FF2B5EF4-FFF2-40B4-BE49-F238E27FC236}">
              <a16:creationId xmlns:a16="http://schemas.microsoft.com/office/drawing/2014/main" id="{00000000-0008-0000-1100-0000BD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0" name="Freeform 43">
          <a:extLst>
            <a:ext uri="{FF2B5EF4-FFF2-40B4-BE49-F238E27FC236}">
              <a16:creationId xmlns:a16="http://schemas.microsoft.com/office/drawing/2014/main" id="{00000000-0008-0000-1100-0000BE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53" name="Text Box 45">
          <a:extLst>
            <a:ext uri="{FF2B5EF4-FFF2-40B4-BE49-F238E27FC236}">
              <a16:creationId xmlns:a16="http://schemas.microsoft.com/office/drawing/2014/main" id="{00000000-0008-0000-1100-00002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92" name="Group 46">
          <a:extLst>
            <a:ext uri="{FF2B5EF4-FFF2-40B4-BE49-F238E27FC236}">
              <a16:creationId xmlns:a16="http://schemas.microsoft.com/office/drawing/2014/main" id="{00000000-0008-0000-1100-0000C06DC702}"/>
            </a:ext>
          </a:extLst>
        </xdr:cNvPr>
        <xdr:cNvGrpSpPr>
          <a:grpSpLocks/>
        </xdr:cNvGrpSpPr>
      </xdr:nvGrpSpPr>
      <xdr:grpSpPr bwMode="auto">
        <a:xfrm>
          <a:off x="1162050" y="0"/>
          <a:ext cx="3467100" cy="0"/>
          <a:chOff x="241" y="334"/>
          <a:chExt cx="372" cy="52"/>
        </a:xfrm>
      </xdr:grpSpPr>
      <xdr:sp macro="" textlink="">
        <xdr:nvSpPr>
          <xdr:cNvPr id="20" name="Text Box 47">
            <a:extLst>
              <a:ext uri="{FF2B5EF4-FFF2-40B4-BE49-F238E27FC236}">
                <a16:creationId xmlns:a16="http://schemas.microsoft.com/office/drawing/2014/main" id="{00000000-0008-0000-1100-000014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93" name="Freeform 50">
          <a:extLst>
            <a:ext uri="{FF2B5EF4-FFF2-40B4-BE49-F238E27FC236}">
              <a16:creationId xmlns:a16="http://schemas.microsoft.com/office/drawing/2014/main" id="{00000000-0008-0000-1100-0000C1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4" name="Freeform 51">
          <a:extLst>
            <a:ext uri="{FF2B5EF4-FFF2-40B4-BE49-F238E27FC236}">
              <a16:creationId xmlns:a16="http://schemas.microsoft.com/office/drawing/2014/main" id="{00000000-0008-0000-1100-0000C2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61" name="Text Box 53">
          <a:extLst>
            <a:ext uri="{FF2B5EF4-FFF2-40B4-BE49-F238E27FC236}">
              <a16:creationId xmlns:a16="http://schemas.microsoft.com/office/drawing/2014/main" id="{00000000-0008-0000-1100-00003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96" name="Group 54">
          <a:extLst>
            <a:ext uri="{FF2B5EF4-FFF2-40B4-BE49-F238E27FC236}">
              <a16:creationId xmlns:a16="http://schemas.microsoft.com/office/drawing/2014/main" id="{00000000-0008-0000-1100-0000C46DC702}"/>
            </a:ext>
          </a:extLst>
        </xdr:cNvPr>
        <xdr:cNvGrpSpPr>
          <a:grpSpLocks/>
        </xdr:cNvGrpSpPr>
      </xdr:nvGrpSpPr>
      <xdr:grpSpPr bwMode="auto">
        <a:xfrm>
          <a:off x="1162050" y="0"/>
          <a:ext cx="3467100" cy="0"/>
          <a:chOff x="241" y="334"/>
          <a:chExt cx="372" cy="52"/>
        </a:xfrm>
      </xdr:grpSpPr>
      <xdr:sp macro="" textlink="">
        <xdr:nvSpPr>
          <xdr:cNvPr id="19" name="Text Box 55">
            <a:extLst>
              <a:ext uri="{FF2B5EF4-FFF2-40B4-BE49-F238E27FC236}">
                <a16:creationId xmlns:a16="http://schemas.microsoft.com/office/drawing/2014/main" id="{00000000-0008-0000-1100-000013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97" name="Freeform 58">
          <a:extLst>
            <a:ext uri="{FF2B5EF4-FFF2-40B4-BE49-F238E27FC236}">
              <a16:creationId xmlns:a16="http://schemas.microsoft.com/office/drawing/2014/main" id="{00000000-0008-0000-1100-0000C5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8" name="Freeform 59">
          <a:extLst>
            <a:ext uri="{FF2B5EF4-FFF2-40B4-BE49-F238E27FC236}">
              <a16:creationId xmlns:a16="http://schemas.microsoft.com/office/drawing/2014/main" id="{00000000-0008-0000-1100-0000C6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69" name="Text Box 61">
          <a:extLst>
            <a:ext uri="{FF2B5EF4-FFF2-40B4-BE49-F238E27FC236}">
              <a16:creationId xmlns:a16="http://schemas.microsoft.com/office/drawing/2014/main" id="{00000000-0008-0000-1100-00003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00" name="Group 62">
          <a:extLst>
            <a:ext uri="{FF2B5EF4-FFF2-40B4-BE49-F238E27FC236}">
              <a16:creationId xmlns:a16="http://schemas.microsoft.com/office/drawing/2014/main" id="{00000000-0008-0000-1100-0000C86DC702}"/>
            </a:ext>
          </a:extLst>
        </xdr:cNvPr>
        <xdr:cNvGrpSpPr>
          <a:grpSpLocks/>
        </xdr:cNvGrpSpPr>
      </xdr:nvGrpSpPr>
      <xdr:grpSpPr bwMode="auto">
        <a:xfrm>
          <a:off x="1162050" y="0"/>
          <a:ext cx="3467100" cy="0"/>
          <a:chOff x="241" y="334"/>
          <a:chExt cx="372" cy="52"/>
        </a:xfrm>
      </xdr:grpSpPr>
      <xdr:sp macro="" textlink="">
        <xdr:nvSpPr>
          <xdr:cNvPr id="18" name="Text Box 63">
            <a:extLst>
              <a:ext uri="{FF2B5EF4-FFF2-40B4-BE49-F238E27FC236}">
                <a16:creationId xmlns:a16="http://schemas.microsoft.com/office/drawing/2014/main" id="{00000000-0008-0000-1100-000012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01" name="Freeform 66">
          <a:extLst>
            <a:ext uri="{FF2B5EF4-FFF2-40B4-BE49-F238E27FC236}">
              <a16:creationId xmlns:a16="http://schemas.microsoft.com/office/drawing/2014/main" id="{00000000-0008-0000-1100-0000C9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02" name="Freeform 67">
          <a:extLst>
            <a:ext uri="{FF2B5EF4-FFF2-40B4-BE49-F238E27FC236}">
              <a16:creationId xmlns:a16="http://schemas.microsoft.com/office/drawing/2014/main" id="{00000000-0008-0000-1100-0000CA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77" name="Text Box 69">
          <a:extLst>
            <a:ext uri="{FF2B5EF4-FFF2-40B4-BE49-F238E27FC236}">
              <a16:creationId xmlns:a16="http://schemas.microsoft.com/office/drawing/2014/main" id="{00000000-0008-0000-1100-00004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HGSｺﾞｼｯｸM"/>
              <a:ea typeface="HGSｺﾞｼｯｸM"/>
            </a:rPr>
            <a:t>景気局面</a:t>
          </a:r>
        </a:p>
        <a:p>
          <a:pPr algn="l" rtl="0">
            <a:defRPr sz="1000"/>
          </a:pPr>
          <a:endParaRPr lang="ja-JP" altLang="en-US" sz="1100" b="0" i="0" u="none" strike="noStrike" baseline="0">
            <a:solidFill>
              <a:srgbClr val="000000"/>
            </a:solidFill>
            <a:latin typeface="HGSｺﾞｼｯｸM"/>
            <a:ea typeface="HGSｺﾞｼｯｸM"/>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04" name="Group 1">
          <a:extLst>
            <a:ext uri="{FF2B5EF4-FFF2-40B4-BE49-F238E27FC236}">
              <a16:creationId xmlns:a16="http://schemas.microsoft.com/office/drawing/2014/main" id="{00000000-0008-0000-1100-0000CC6DC702}"/>
            </a:ext>
          </a:extLst>
        </xdr:cNvPr>
        <xdr:cNvGrpSpPr>
          <a:grpSpLocks/>
        </xdr:cNvGrpSpPr>
      </xdr:nvGrpSpPr>
      <xdr:grpSpPr bwMode="auto">
        <a:xfrm>
          <a:off x="1162050" y="0"/>
          <a:ext cx="3467100" cy="0"/>
          <a:chOff x="241" y="334"/>
          <a:chExt cx="372" cy="52"/>
        </a:xfrm>
      </xdr:grpSpPr>
      <xdr:sp macro="" textlink="">
        <xdr:nvSpPr>
          <xdr:cNvPr id="17410" name="Text Box 2">
            <a:extLst>
              <a:ext uri="{FF2B5EF4-FFF2-40B4-BE49-F238E27FC236}">
                <a16:creationId xmlns:a16="http://schemas.microsoft.com/office/drawing/2014/main" id="{00000000-0008-0000-1100-000002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05" name="Freeform 8">
          <a:extLst>
            <a:ext uri="{FF2B5EF4-FFF2-40B4-BE49-F238E27FC236}">
              <a16:creationId xmlns:a16="http://schemas.microsoft.com/office/drawing/2014/main" id="{00000000-0008-0000-1100-0000CD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3</xdr:row>
      <xdr:rowOff>152400</xdr:rowOff>
    </xdr:from>
    <xdr:to>
      <xdr:col>5</xdr:col>
      <xdr:colOff>0</xdr:colOff>
      <xdr:row>20</xdr:row>
      <xdr:rowOff>142875</xdr:rowOff>
    </xdr:to>
    <xdr:sp macro="" textlink="">
      <xdr:nvSpPr>
        <xdr:cNvPr id="46624206" name="Line 9">
          <a:extLst>
            <a:ext uri="{FF2B5EF4-FFF2-40B4-BE49-F238E27FC236}">
              <a16:creationId xmlns:a16="http://schemas.microsoft.com/office/drawing/2014/main" id="{00000000-0008-0000-1100-0000CE6DC702}"/>
            </a:ext>
          </a:extLst>
        </xdr:cNvPr>
        <xdr:cNvSpPr>
          <a:spLocks noChangeShapeType="1"/>
        </xdr:cNvSpPr>
      </xdr:nvSpPr>
      <xdr:spPr bwMode="auto">
        <a:xfrm>
          <a:off x="3381375" y="752475"/>
          <a:ext cx="0" cy="33909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561975</xdr:colOff>
      <xdr:row>6</xdr:row>
      <xdr:rowOff>28575</xdr:rowOff>
    </xdr:from>
    <xdr:to>
      <xdr:col>3</xdr:col>
      <xdr:colOff>561975</xdr:colOff>
      <xdr:row>8</xdr:row>
      <xdr:rowOff>152400</xdr:rowOff>
    </xdr:to>
    <xdr:sp macro="" textlink="">
      <xdr:nvSpPr>
        <xdr:cNvPr id="46624207" name="Line 10">
          <a:extLst>
            <a:ext uri="{FF2B5EF4-FFF2-40B4-BE49-F238E27FC236}">
              <a16:creationId xmlns:a16="http://schemas.microsoft.com/office/drawing/2014/main" id="{00000000-0008-0000-1100-0000CF6DC702}"/>
            </a:ext>
          </a:extLst>
        </xdr:cNvPr>
        <xdr:cNvSpPr>
          <a:spLocks noChangeShapeType="1"/>
        </xdr:cNvSpPr>
      </xdr:nvSpPr>
      <xdr:spPr bwMode="auto">
        <a:xfrm>
          <a:off x="2590800"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6</xdr:row>
      <xdr:rowOff>28575</xdr:rowOff>
    </xdr:from>
    <xdr:to>
      <xdr:col>6</xdr:col>
      <xdr:colOff>47625</xdr:colOff>
      <xdr:row>8</xdr:row>
      <xdr:rowOff>152400</xdr:rowOff>
    </xdr:to>
    <xdr:sp macro="" textlink="">
      <xdr:nvSpPr>
        <xdr:cNvPr id="46624208" name="Line 11">
          <a:extLst>
            <a:ext uri="{FF2B5EF4-FFF2-40B4-BE49-F238E27FC236}">
              <a16:creationId xmlns:a16="http://schemas.microsoft.com/office/drawing/2014/main" id="{00000000-0008-0000-1100-0000D06DC702}"/>
            </a:ext>
          </a:extLst>
        </xdr:cNvPr>
        <xdr:cNvSpPr>
          <a:spLocks noChangeShapeType="1"/>
        </xdr:cNvSpPr>
      </xdr:nvSpPr>
      <xdr:spPr bwMode="auto">
        <a:xfrm>
          <a:off x="4105275"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104775</xdr:colOff>
      <xdr:row>3</xdr:row>
      <xdr:rowOff>123825</xdr:rowOff>
    </xdr:from>
    <xdr:to>
      <xdr:col>7</xdr:col>
      <xdr:colOff>590550</xdr:colOff>
      <xdr:row>8</xdr:row>
      <xdr:rowOff>161925</xdr:rowOff>
    </xdr:to>
    <xdr:sp macro="" textlink="">
      <xdr:nvSpPr>
        <xdr:cNvPr id="46624209" name="Freeform 12">
          <a:extLst>
            <a:ext uri="{FF2B5EF4-FFF2-40B4-BE49-F238E27FC236}">
              <a16:creationId xmlns:a16="http://schemas.microsoft.com/office/drawing/2014/main" id="{00000000-0008-0000-1100-0000D16DC702}"/>
            </a:ext>
          </a:extLst>
        </xdr:cNvPr>
        <xdr:cNvSpPr>
          <a:spLocks/>
        </xdr:cNvSpPr>
      </xdr:nvSpPr>
      <xdr:spPr bwMode="auto">
        <a:xfrm>
          <a:off x="1457325" y="723900"/>
          <a:ext cx="3867150" cy="1038225"/>
        </a:xfrm>
        <a:custGeom>
          <a:avLst/>
          <a:gdLst>
            <a:gd name="T0" fmla="*/ 0 w 10104"/>
            <a:gd name="T1" fmla="*/ 2147483646 h 10000"/>
            <a:gd name="T2" fmla="*/ 2147483646 w 10104"/>
            <a:gd name="T3" fmla="*/ 2147483646 h 10000"/>
            <a:gd name="T4" fmla="*/ 2147483646 w 10104"/>
            <a:gd name="T5" fmla="*/ 2147483646 h 10000"/>
            <a:gd name="T6" fmla="*/ 2147483646 w 10104"/>
            <a:gd name="T7" fmla="*/ 0 h 10000"/>
            <a:gd name="T8" fmla="*/ 2147483646 w 10104"/>
            <a:gd name="T9" fmla="*/ 2147483646 h 10000"/>
            <a:gd name="T10" fmla="*/ 2147483646 w 10104"/>
            <a:gd name="T11" fmla="*/ 2147483646 h 10000"/>
            <a:gd name="T12" fmla="*/ 2147483646 w 10104"/>
            <a:gd name="T13" fmla="*/ 2147483646 h 1000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0104" h="10000">
              <a:moveTo>
                <a:pt x="0" y="9065"/>
              </a:moveTo>
              <a:cubicBezTo>
                <a:pt x="229" y="9618"/>
                <a:pt x="337" y="9999"/>
                <a:pt x="619" y="10000"/>
              </a:cubicBezTo>
              <a:cubicBezTo>
                <a:pt x="901" y="10001"/>
                <a:pt x="2266" y="6610"/>
                <a:pt x="3000" y="4645"/>
              </a:cubicBezTo>
              <a:cubicBezTo>
                <a:pt x="3734" y="2680"/>
                <a:pt x="4359" y="-12"/>
                <a:pt x="5026" y="0"/>
              </a:cubicBezTo>
              <a:cubicBezTo>
                <a:pt x="5693" y="12"/>
                <a:pt x="6521" y="3057"/>
                <a:pt x="6995" y="4273"/>
              </a:cubicBezTo>
              <a:cubicBezTo>
                <a:pt x="7469" y="5491"/>
                <a:pt x="9095" y="9917"/>
                <a:pt x="9481" y="9969"/>
              </a:cubicBezTo>
              <a:cubicBezTo>
                <a:pt x="9742" y="9941"/>
                <a:pt x="9985" y="9353"/>
                <a:pt x="10104" y="90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200025</xdr:colOff>
      <xdr:row>12</xdr:row>
      <xdr:rowOff>66675</xdr:rowOff>
    </xdr:from>
    <xdr:to>
      <xdr:col>7</xdr:col>
      <xdr:colOff>457200</xdr:colOff>
      <xdr:row>20</xdr:row>
      <xdr:rowOff>95250</xdr:rowOff>
    </xdr:to>
    <xdr:sp macro="" textlink="">
      <xdr:nvSpPr>
        <xdr:cNvPr id="46624210" name="Freeform 13">
          <a:extLst>
            <a:ext uri="{FF2B5EF4-FFF2-40B4-BE49-F238E27FC236}">
              <a16:creationId xmlns:a16="http://schemas.microsoft.com/office/drawing/2014/main" id="{00000000-0008-0000-1100-0000D26DC702}"/>
            </a:ext>
          </a:extLst>
        </xdr:cNvPr>
        <xdr:cNvSpPr>
          <a:spLocks/>
        </xdr:cNvSpPr>
      </xdr:nvSpPr>
      <xdr:spPr bwMode="auto">
        <a:xfrm>
          <a:off x="1552575" y="2466975"/>
          <a:ext cx="3638550" cy="1628775"/>
        </a:xfrm>
        <a:custGeom>
          <a:avLst/>
          <a:gdLst>
            <a:gd name="T0" fmla="*/ 0 w 10129"/>
            <a:gd name="T1" fmla="*/ 2147483646 h 10546"/>
            <a:gd name="T2" fmla="*/ 2147483646 w 10129"/>
            <a:gd name="T3" fmla="*/ 2147483646 h 10546"/>
            <a:gd name="T4" fmla="*/ 2147483646 w 10129"/>
            <a:gd name="T5" fmla="*/ 0 h 10546"/>
            <a:gd name="T6" fmla="*/ 2147483646 w 10129"/>
            <a:gd name="T7" fmla="*/ 2147483646 h 10546"/>
            <a:gd name="T8" fmla="*/ 2147483646 w 10129"/>
            <a:gd name="T9" fmla="*/ 2147483646 h 10546"/>
            <a:gd name="T10" fmla="*/ 2147483646 w 10129"/>
            <a:gd name="T11" fmla="*/ 2147483646 h 10546"/>
            <a:gd name="T12" fmla="*/ 2147483646 w 10129"/>
            <a:gd name="T13" fmla="*/ 2147483646 h 10546"/>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0129" h="10546">
              <a:moveTo>
                <a:pt x="0" y="6261"/>
              </a:moveTo>
              <a:cubicBezTo>
                <a:pt x="69" y="6094"/>
                <a:pt x="21" y="6049"/>
                <a:pt x="370" y="5254"/>
              </a:cubicBezTo>
              <a:cubicBezTo>
                <a:pt x="719" y="4459"/>
                <a:pt x="1918" y="0"/>
                <a:pt x="2704" y="0"/>
              </a:cubicBezTo>
              <a:cubicBezTo>
                <a:pt x="3490" y="0"/>
                <a:pt x="4842" y="4737"/>
                <a:pt x="5084" y="5254"/>
              </a:cubicBezTo>
              <a:cubicBezTo>
                <a:pt x="5326" y="5771"/>
                <a:pt x="6684" y="10535"/>
                <a:pt x="7468" y="10546"/>
              </a:cubicBezTo>
              <a:cubicBezTo>
                <a:pt x="8252" y="10557"/>
                <a:pt x="9496" y="6123"/>
                <a:pt x="9789" y="5319"/>
              </a:cubicBezTo>
              <a:cubicBezTo>
                <a:pt x="10022" y="4665"/>
                <a:pt x="10082" y="4611"/>
                <a:pt x="10129" y="4476"/>
              </a:cubicBezTo>
            </a:path>
          </a:pathLst>
        </a:custGeom>
        <a:noFill/>
        <a:ln w="95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12</xdr:row>
      <xdr:rowOff>38100</xdr:rowOff>
    </xdr:from>
    <xdr:to>
      <xdr:col>1</xdr:col>
      <xdr:colOff>523875</xdr:colOff>
      <xdr:row>20</xdr:row>
      <xdr:rowOff>104775</xdr:rowOff>
    </xdr:to>
    <xdr:sp macro="" textlink="">
      <xdr:nvSpPr>
        <xdr:cNvPr id="46624211" name="Line 14">
          <a:extLst>
            <a:ext uri="{FF2B5EF4-FFF2-40B4-BE49-F238E27FC236}">
              <a16:creationId xmlns:a16="http://schemas.microsoft.com/office/drawing/2014/main" id="{00000000-0008-0000-1100-0000D36DC702}"/>
            </a:ext>
          </a:extLst>
        </xdr:cNvPr>
        <xdr:cNvSpPr>
          <a:spLocks noChangeShapeType="1"/>
        </xdr:cNvSpPr>
      </xdr:nvSpPr>
      <xdr:spPr bwMode="auto">
        <a:xfrm>
          <a:off x="1200150" y="2438400"/>
          <a:ext cx="0" cy="1666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12" name="Freeform 15">
          <a:extLst>
            <a:ext uri="{FF2B5EF4-FFF2-40B4-BE49-F238E27FC236}">
              <a16:creationId xmlns:a16="http://schemas.microsoft.com/office/drawing/2014/main" id="{00000000-0008-0000-1100-0000D4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6" name="Text Box 20">
          <a:extLst>
            <a:ext uri="{FF2B5EF4-FFF2-40B4-BE49-F238E27FC236}">
              <a16:creationId xmlns:a16="http://schemas.microsoft.com/office/drawing/2014/main" id="{00000000-0008-0000-1100-000006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14" name="Group 21">
          <a:extLst>
            <a:ext uri="{FF2B5EF4-FFF2-40B4-BE49-F238E27FC236}">
              <a16:creationId xmlns:a16="http://schemas.microsoft.com/office/drawing/2014/main" id="{00000000-0008-0000-1100-0000D66DC702}"/>
            </a:ext>
          </a:extLst>
        </xdr:cNvPr>
        <xdr:cNvGrpSpPr>
          <a:grpSpLocks/>
        </xdr:cNvGrpSpPr>
      </xdr:nvGrpSpPr>
      <xdr:grpSpPr bwMode="auto">
        <a:xfrm>
          <a:off x="1162050" y="0"/>
          <a:ext cx="3467100" cy="0"/>
          <a:chOff x="241" y="334"/>
          <a:chExt cx="372" cy="52"/>
        </a:xfrm>
      </xdr:grpSpPr>
      <xdr:sp macro="" textlink="">
        <xdr:nvSpPr>
          <xdr:cNvPr id="17430" name="Text Box 22">
            <a:extLst>
              <a:ext uri="{FF2B5EF4-FFF2-40B4-BE49-F238E27FC236}">
                <a16:creationId xmlns:a16="http://schemas.microsoft.com/office/drawing/2014/main" id="{00000000-0008-0000-1100-000016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15" name="Freeform 25">
          <a:extLst>
            <a:ext uri="{FF2B5EF4-FFF2-40B4-BE49-F238E27FC236}">
              <a16:creationId xmlns:a16="http://schemas.microsoft.com/office/drawing/2014/main" id="{00000000-0008-0000-1100-0000D7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16" name="Freeform 26">
          <a:extLst>
            <a:ext uri="{FF2B5EF4-FFF2-40B4-BE49-F238E27FC236}">
              <a16:creationId xmlns:a16="http://schemas.microsoft.com/office/drawing/2014/main" id="{00000000-0008-0000-1100-0000D8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9" name="Text Box 29">
          <a:extLst>
            <a:ext uri="{FF2B5EF4-FFF2-40B4-BE49-F238E27FC236}">
              <a16:creationId xmlns:a16="http://schemas.microsoft.com/office/drawing/2014/main" id="{00000000-0008-0000-1100-000009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18" name="Group 30">
          <a:extLst>
            <a:ext uri="{FF2B5EF4-FFF2-40B4-BE49-F238E27FC236}">
              <a16:creationId xmlns:a16="http://schemas.microsoft.com/office/drawing/2014/main" id="{00000000-0008-0000-1100-0000DA6DC702}"/>
            </a:ext>
          </a:extLst>
        </xdr:cNvPr>
        <xdr:cNvGrpSpPr>
          <a:grpSpLocks/>
        </xdr:cNvGrpSpPr>
      </xdr:nvGrpSpPr>
      <xdr:grpSpPr bwMode="auto">
        <a:xfrm>
          <a:off x="1162050" y="0"/>
          <a:ext cx="3467100" cy="0"/>
          <a:chOff x="241" y="334"/>
          <a:chExt cx="372" cy="52"/>
        </a:xfrm>
      </xdr:grpSpPr>
      <xdr:sp macro="" textlink="">
        <xdr:nvSpPr>
          <xdr:cNvPr id="17439" name="Text Box 31">
            <a:extLst>
              <a:ext uri="{FF2B5EF4-FFF2-40B4-BE49-F238E27FC236}">
                <a16:creationId xmlns:a16="http://schemas.microsoft.com/office/drawing/2014/main" id="{00000000-0008-0000-1100-00001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19" name="Freeform 34">
          <a:extLst>
            <a:ext uri="{FF2B5EF4-FFF2-40B4-BE49-F238E27FC236}">
              <a16:creationId xmlns:a16="http://schemas.microsoft.com/office/drawing/2014/main" id="{00000000-0008-0000-1100-0000DB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0" name="Freeform 35">
          <a:extLst>
            <a:ext uri="{FF2B5EF4-FFF2-40B4-BE49-F238E27FC236}">
              <a16:creationId xmlns:a16="http://schemas.microsoft.com/office/drawing/2014/main" id="{00000000-0008-0000-1100-0000DC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1" name="Text Box 37">
          <a:extLst>
            <a:ext uri="{FF2B5EF4-FFF2-40B4-BE49-F238E27FC236}">
              <a16:creationId xmlns:a16="http://schemas.microsoft.com/office/drawing/2014/main" id="{00000000-0008-0000-1100-00000B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22" name="Group 38">
          <a:extLst>
            <a:ext uri="{FF2B5EF4-FFF2-40B4-BE49-F238E27FC236}">
              <a16:creationId xmlns:a16="http://schemas.microsoft.com/office/drawing/2014/main" id="{00000000-0008-0000-1100-0000DE6DC702}"/>
            </a:ext>
          </a:extLst>
        </xdr:cNvPr>
        <xdr:cNvGrpSpPr>
          <a:grpSpLocks/>
        </xdr:cNvGrpSpPr>
      </xdr:nvGrpSpPr>
      <xdr:grpSpPr bwMode="auto">
        <a:xfrm>
          <a:off x="1162050" y="0"/>
          <a:ext cx="3467100" cy="0"/>
          <a:chOff x="241" y="334"/>
          <a:chExt cx="372" cy="52"/>
        </a:xfrm>
      </xdr:grpSpPr>
      <xdr:sp macro="" textlink="">
        <xdr:nvSpPr>
          <xdr:cNvPr id="17447" name="Text Box 39">
            <a:extLst>
              <a:ext uri="{FF2B5EF4-FFF2-40B4-BE49-F238E27FC236}">
                <a16:creationId xmlns:a16="http://schemas.microsoft.com/office/drawing/2014/main" id="{00000000-0008-0000-1100-000027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23" name="Freeform 42">
          <a:extLst>
            <a:ext uri="{FF2B5EF4-FFF2-40B4-BE49-F238E27FC236}">
              <a16:creationId xmlns:a16="http://schemas.microsoft.com/office/drawing/2014/main" id="{00000000-0008-0000-1100-0000DF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4" name="Freeform 43">
          <a:extLst>
            <a:ext uri="{FF2B5EF4-FFF2-40B4-BE49-F238E27FC236}">
              <a16:creationId xmlns:a16="http://schemas.microsoft.com/office/drawing/2014/main" id="{00000000-0008-0000-1100-0000E0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3" name="Text Box 45">
          <a:extLst>
            <a:ext uri="{FF2B5EF4-FFF2-40B4-BE49-F238E27FC236}">
              <a16:creationId xmlns:a16="http://schemas.microsoft.com/office/drawing/2014/main" id="{00000000-0008-0000-1100-00000D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26" name="Group 46">
          <a:extLst>
            <a:ext uri="{FF2B5EF4-FFF2-40B4-BE49-F238E27FC236}">
              <a16:creationId xmlns:a16="http://schemas.microsoft.com/office/drawing/2014/main" id="{00000000-0008-0000-1100-0000E26DC702}"/>
            </a:ext>
          </a:extLst>
        </xdr:cNvPr>
        <xdr:cNvGrpSpPr>
          <a:grpSpLocks/>
        </xdr:cNvGrpSpPr>
      </xdr:nvGrpSpPr>
      <xdr:grpSpPr bwMode="auto">
        <a:xfrm>
          <a:off x="1162050" y="0"/>
          <a:ext cx="3467100" cy="0"/>
          <a:chOff x="241" y="334"/>
          <a:chExt cx="372" cy="52"/>
        </a:xfrm>
      </xdr:grpSpPr>
      <xdr:sp macro="" textlink="">
        <xdr:nvSpPr>
          <xdr:cNvPr id="17455" name="Text Box 47">
            <a:extLst>
              <a:ext uri="{FF2B5EF4-FFF2-40B4-BE49-F238E27FC236}">
                <a16:creationId xmlns:a16="http://schemas.microsoft.com/office/drawing/2014/main" id="{00000000-0008-0000-1100-00002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27" name="Freeform 50">
          <a:extLst>
            <a:ext uri="{FF2B5EF4-FFF2-40B4-BE49-F238E27FC236}">
              <a16:creationId xmlns:a16="http://schemas.microsoft.com/office/drawing/2014/main" id="{00000000-0008-0000-1100-0000E3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8" name="Freeform 51">
          <a:extLst>
            <a:ext uri="{FF2B5EF4-FFF2-40B4-BE49-F238E27FC236}">
              <a16:creationId xmlns:a16="http://schemas.microsoft.com/office/drawing/2014/main" id="{00000000-0008-0000-1100-0000E4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168519</xdr:colOff>
      <xdr:row>14</xdr:row>
      <xdr:rowOff>164562</xdr:rowOff>
    </xdr:from>
    <xdr:to>
      <xdr:col>0</xdr:col>
      <xdr:colOff>638520</xdr:colOff>
      <xdr:row>19</xdr:row>
      <xdr:rowOff>29</xdr:rowOff>
    </xdr:to>
    <xdr:sp macro="" textlink="">
      <xdr:nvSpPr>
        <xdr:cNvPr id="14" name="Text Box 52">
          <a:extLst>
            <a:ext uri="{FF2B5EF4-FFF2-40B4-BE49-F238E27FC236}">
              <a16:creationId xmlns:a16="http://schemas.microsoft.com/office/drawing/2014/main" id="{00000000-0008-0000-1100-00000E000000}"/>
            </a:ext>
          </a:extLst>
        </xdr:cNvPr>
        <xdr:cNvSpPr txBox="1">
          <a:spLocks noChangeArrowheads="1"/>
        </xdr:cNvSpPr>
      </xdr:nvSpPr>
      <xdr:spPr bwMode="auto">
        <a:xfrm>
          <a:off x="168519" y="2839182"/>
          <a:ext cx="461598" cy="780318"/>
        </a:xfrm>
        <a:prstGeom prst="rect">
          <a:avLst/>
        </a:prstGeom>
        <a:solidFill>
          <a:srgbClr val="FFFFFF"/>
        </a:solidFill>
        <a:ln w="9525">
          <a:noFill/>
          <a:miter lim="800000"/>
          <a:headEnd/>
          <a:tailEnd/>
        </a:ln>
        <a:effectLst/>
      </xdr:spPr>
      <xdr:txBody>
        <a:bodyPr vertOverflow="clip" vert="wordArtVertRtl" wrap="square" lIns="91440" tIns="45720" rIns="91440" bIns="45720" anchor="ctr" anchorCtr="0" upright="1"/>
        <a:lstStyle/>
        <a:p>
          <a:pPr algn="l" rtl="0">
            <a:defRPr sz="1000"/>
          </a:pPr>
          <a:r>
            <a:rPr lang="ja-JP" altLang="en-US" sz="1100" b="0" i="0" u="none" strike="noStrike" baseline="0">
              <a:solidFill>
                <a:srgbClr val="000000"/>
              </a:solidFill>
              <a:latin typeface="ＭＳ ゴシック"/>
              <a:ea typeface="ＭＳ ゴシック"/>
            </a:rPr>
            <a:t>の動き</a:t>
          </a: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30" name="Group 54">
          <a:extLst>
            <a:ext uri="{FF2B5EF4-FFF2-40B4-BE49-F238E27FC236}">
              <a16:creationId xmlns:a16="http://schemas.microsoft.com/office/drawing/2014/main" id="{00000000-0008-0000-1100-0000E66DC702}"/>
            </a:ext>
          </a:extLst>
        </xdr:cNvPr>
        <xdr:cNvGrpSpPr>
          <a:grpSpLocks/>
        </xdr:cNvGrpSpPr>
      </xdr:nvGrpSpPr>
      <xdr:grpSpPr bwMode="auto">
        <a:xfrm>
          <a:off x="1162050" y="0"/>
          <a:ext cx="3467100" cy="0"/>
          <a:chOff x="241" y="334"/>
          <a:chExt cx="372" cy="52"/>
        </a:xfrm>
      </xdr:grpSpPr>
      <xdr:sp macro="" textlink="">
        <xdr:nvSpPr>
          <xdr:cNvPr id="17463" name="Text Box 55">
            <a:extLst>
              <a:ext uri="{FF2B5EF4-FFF2-40B4-BE49-F238E27FC236}">
                <a16:creationId xmlns:a16="http://schemas.microsoft.com/office/drawing/2014/main" id="{00000000-0008-0000-1100-000037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31" name="Freeform 58">
          <a:extLst>
            <a:ext uri="{FF2B5EF4-FFF2-40B4-BE49-F238E27FC236}">
              <a16:creationId xmlns:a16="http://schemas.microsoft.com/office/drawing/2014/main" id="{00000000-0008-0000-1100-0000E7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32" name="Freeform 59">
          <a:extLst>
            <a:ext uri="{FF2B5EF4-FFF2-40B4-BE49-F238E27FC236}">
              <a16:creationId xmlns:a16="http://schemas.microsoft.com/office/drawing/2014/main" id="{00000000-0008-0000-1100-0000E8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485775</xdr:colOff>
      <xdr:row>0</xdr:row>
      <xdr:rowOff>0</xdr:rowOff>
    </xdr:from>
    <xdr:to>
      <xdr:col>6</xdr:col>
      <xdr:colOff>571500</xdr:colOff>
      <xdr:row>0</xdr:row>
      <xdr:rowOff>0</xdr:rowOff>
    </xdr:to>
    <xdr:grpSp>
      <xdr:nvGrpSpPr>
        <xdr:cNvPr id="46624233" name="Group 62">
          <a:extLst>
            <a:ext uri="{FF2B5EF4-FFF2-40B4-BE49-F238E27FC236}">
              <a16:creationId xmlns:a16="http://schemas.microsoft.com/office/drawing/2014/main" id="{00000000-0008-0000-1100-0000E96DC702}"/>
            </a:ext>
          </a:extLst>
        </xdr:cNvPr>
        <xdr:cNvGrpSpPr>
          <a:grpSpLocks/>
        </xdr:cNvGrpSpPr>
      </xdr:nvGrpSpPr>
      <xdr:grpSpPr bwMode="auto">
        <a:xfrm>
          <a:off x="1162050" y="0"/>
          <a:ext cx="3467100" cy="0"/>
          <a:chOff x="241" y="334"/>
          <a:chExt cx="372" cy="52"/>
        </a:xfrm>
      </xdr:grpSpPr>
      <xdr:sp macro="" textlink="">
        <xdr:nvSpPr>
          <xdr:cNvPr id="17471" name="Text Box 63">
            <a:extLst>
              <a:ext uri="{FF2B5EF4-FFF2-40B4-BE49-F238E27FC236}">
                <a16:creationId xmlns:a16="http://schemas.microsoft.com/office/drawing/2014/main" id="{00000000-0008-0000-1100-00003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0</xdr:col>
      <xdr:colOff>247456</xdr:colOff>
      <xdr:row>13</xdr:row>
      <xdr:rowOff>188547</xdr:rowOff>
    </xdr:from>
    <xdr:to>
      <xdr:col>0</xdr:col>
      <xdr:colOff>666240</xdr:colOff>
      <xdr:row>15</xdr:row>
      <xdr:rowOff>29309</xdr:rowOff>
    </xdr:to>
    <xdr:sp macro="" textlink="">
      <xdr:nvSpPr>
        <xdr:cNvPr id="17718" name="Text Box 65">
          <a:extLst>
            <a:ext uri="{FF2B5EF4-FFF2-40B4-BE49-F238E27FC236}">
              <a16:creationId xmlns:a16="http://schemas.microsoft.com/office/drawing/2014/main" id="{00000000-0008-0000-1100-000036450000}"/>
            </a:ext>
          </a:extLst>
        </xdr:cNvPr>
        <xdr:cNvSpPr txBox="1">
          <a:spLocks noChangeArrowheads="1"/>
        </xdr:cNvSpPr>
      </xdr:nvSpPr>
      <xdr:spPr bwMode="auto">
        <a:xfrm>
          <a:off x="239836" y="2665047"/>
          <a:ext cx="426915" cy="22176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ゴシック" pitchFamily="49" charset="-128"/>
              <a:ea typeface="ＭＳ ゴシック" pitchFamily="49" charset="-128"/>
            </a:rPr>
            <a:t>ＤＩ</a:t>
          </a:r>
        </a:p>
        <a:p>
          <a:pPr algn="l" rtl="0">
            <a:defRPr sz="1000"/>
          </a:pPr>
          <a:endParaRPr lang="ja-JP" altLang="en-US">
            <a:latin typeface="ＭＳ ゴシック" pitchFamily="49" charset="-128"/>
            <a:ea typeface="ＭＳ ゴシック" pitchFamily="49" charset="-128"/>
          </a:endParaRPr>
        </a:p>
      </xdr:txBody>
    </xdr: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35" name="Freeform 66">
          <a:extLst>
            <a:ext uri="{FF2B5EF4-FFF2-40B4-BE49-F238E27FC236}">
              <a16:creationId xmlns:a16="http://schemas.microsoft.com/office/drawing/2014/main" id="{00000000-0008-0000-1100-0000EB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36" name="Freeform 67">
          <a:extLst>
            <a:ext uri="{FF2B5EF4-FFF2-40B4-BE49-F238E27FC236}">
              <a16:creationId xmlns:a16="http://schemas.microsoft.com/office/drawing/2014/main" id="{00000000-0008-0000-1100-0000EC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342900</xdr:colOff>
      <xdr:row>9</xdr:row>
      <xdr:rowOff>0</xdr:rowOff>
    </xdr:from>
    <xdr:to>
      <xdr:col>7</xdr:col>
      <xdr:colOff>342900</xdr:colOff>
      <xdr:row>20</xdr:row>
      <xdr:rowOff>133350</xdr:rowOff>
    </xdr:to>
    <xdr:sp macro="" textlink="">
      <xdr:nvSpPr>
        <xdr:cNvPr id="46624237" name="Line 70">
          <a:extLst>
            <a:ext uri="{FF2B5EF4-FFF2-40B4-BE49-F238E27FC236}">
              <a16:creationId xmlns:a16="http://schemas.microsoft.com/office/drawing/2014/main" id="{00000000-0008-0000-1100-0000ED6DC702}"/>
            </a:ext>
          </a:extLst>
        </xdr:cNvPr>
        <xdr:cNvSpPr>
          <a:spLocks noChangeShapeType="1"/>
        </xdr:cNvSpPr>
      </xdr:nvSpPr>
      <xdr:spPr bwMode="auto">
        <a:xfrm>
          <a:off x="5076825" y="1800225"/>
          <a:ext cx="0" cy="233362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333375</xdr:colOff>
      <xdr:row>8</xdr:row>
      <xdr:rowOff>180975</xdr:rowOff>
    </xdr:from>
    <xdr:to>
      <xdr:col>2</xdr:col>
      <xdr:colOff>333375</xdr:colOff>
      <xdr:row>20</xdr:row>
      <xdr:rowOff>123825</xdr:rowOff>
    </xdr:to>
    <xdr:sp macro="" textlink="">
      <xdr:nvSpPr>
        <xdr:cNvPr id="46624238" name="Line 71">
          <a:extLst>
            <a:ext uri="{FF2B5EF4-FFF2-40B4-BE49-F238E27FC236}">
              <a16:creationId xmlns:a16="http://schemas.microsoft.com/office/drawing/2014/main" id="{00000000-0008-0000-1100-0000EE6DC702}"/>
            </a:ext>
          </a:extLst>
        </xdr:cNvPr>
        <xdr:cNvSpPr>
          <a:spLocks noChangeShapeType="1"/>
        </xdr:cNvSpPr>
      </xdr:nvSpPr>
      <xdr:spPr bwMode="auto">
        <a:xfrm>
          <a:off x="1685925" y="1781175"/>
          <a:ext cx="0" cy="23431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12</xdr:row>
      <xdr:rowOff>38100</xdr:rowOff>
    </xdr:from>
    <xdr:to>
      <xdr:col>2</xdr:col>
      <xdr:colOff>76200</xdr:colOff>
      <xdr:row>12</xdr:row>
      <xdr:rowOff>38100</xdr:rowOff>
    </xdr:to>
    <xdr:sp macro="" textlink="">
      <xdr:nvSpPr>
        <xdr:cNvPr id="46624239" name="Line 16">
          <a:extLst>
            <a:ext uri="{FF2B5EF4-FFF2-40B4-BE49-F238E27FC236}">
              <a16:creationId xmlns:a16="http://schemas.microsoft.com/office/drawing/2014/main" id="{00000000-0008-0000-1100-0000EF6DC702}"/>
            </a:ext>
          </a:extLst>
        </xdr:cNvPr>
        <xdr:cNvSpPr>
          <a:spLocks noChangeShapeType="1"/>
        </xdr:cNvSpPr>
      </xdr:nvSpPr>
      <xdr:spPr bwMode="auto">
        <a:xfrm>
          <a:off x="1200150" y="2438400"/>
          <a:ext cx="22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390698</xdr:colOff>
      <xdr:row>10</xdr:row>
      <xdr:rowOff>103909</xdr:rowOff>
    </xdr:from>
    <xdr:to>
      <xdr:col>4</xdr:col>
      <xdr:colOff>583106</xdr:colOff>
      <xdr:row>11</xdr:row>
      <xdr:rowOff>138545</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1749136" y="2095500"/>
          <a:ext cx="1549978" cy="2337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景気拡張局面</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5</xdr:col>
      <xdr:colOff>86590</xdr:colOff>
      <xdr:row>10</xdr:row>
      <xdr:rowOff>112568</xdr:rowOff>
    </xdr:from>
    <xdr:to>
      <xdr:col>7</xdr:col>
      <xdr:colOff>279421</xdr:colOff>
      <xdr:row>11</xdr:row>
      <xdr:rowOff>147204</xdr:rowOff>
    </xdr:to>
    <xdr:sp macro="" textlink="">
      <xdr:nvSpPr>
        <xdr:cNvPr id="92" name="正方形/長方形 91">
          <a:extLst>
            <a:ext uri="{FF2B5EF4-FFF2-40B4-BE49-F238E27FC236}">
              <a16:creationId xmlns:a16="http://schemas.microsoft.com/office/drawing/2014/main" id="{00000000-0008-0000-1100-00005C000000}"/>
            </a:ext>
          </a:extLst>
        </xdr:cNvPr>
        <xdr:cNvSpPr/>
      </xdr:nvSpPr>
      <xdr:spPr>
        <a:xfrm>
          <a:off x="3463635" y="2104159"/>
          <a:ext cx="1549978" cy="2337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noProof="0">
              <a:solidFill>
                <a:sysClr val="windowText" lastClr="000000"/>
              </a:solidFill>
              <a:latin typeface="+mn-lt"/>
              <a:ea typeface="+mn-ea"/>
              <a:cs typeface="+mn-cs"/>
            </a:rPr>
            <a:t>景気後退局面</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468630</xdr:colOff>
      <xdr:row>185</xdr:row>
      <xdr:rowOff>57150</xdr:rowOff>
    </xdr:from>
    <xdr:to>
      <xdr:col>10</xdr:col>
      <xdr:colOff>208160</xdr:colOff>
      <xdr:row>192</xdr:row>
      <xdr:rowOff>12700</xdr:rowOff>
    </xdr:to>
    <xdr:sp macro="" textlink="">
      <xdr:nvSpPr>
        <xdr:cNvPr id="84996" name="AutoShape 1">
          <a:extLst>
            <a:ext uri="{FF2B5EF4-FFF2-40B4-BE49-F238E27FC236}">
              <a16:creationId xmlns:a16="http://schemas.microsoft.com/office/drawing/2014/main" id="{00000000-0008-0000-1600-0000044C0100}"/>
            </a:ext>
          </a:extLst>
        </xdr:cNvPr>
        <xdr:cNvSpPr>
          <a:spLocks noChangeArrowheads="1"/>
        </xdr:cNvSpPr>
      </xdr:nvSpPr>
      <xdr:spPr bwMode="auto">
        <a:xfrm>
          <a:off x="1438275" y="35680650"/>
          <a:ext cx="4549806" cy="1289050"/>
        </a:xfrm>
        <a:prstGeom prst="wedgeRectCallout">
          <a:avLst>
            <a:gd name="adj1" fmla="val -78495"/>
            <a:gd name="adj2" fmla="val 105912"/>
          </a:avLst>
        </a:prstGeom>
        <a:solidFill>
          <a:srgbClr val="CCFFFF"/>
        </a:solidFill>
        <a:ln w="9525">
          <a:solidFill>
            <a:srgbClr val="000000"/>
          </a:solidFill>
          <a:miter lim="800000"/>
          <a:headEnd/>
          <a:tailEnd/>
        </a:ln>
      </xdr:spPr>
      <xdr:txBody>
        <a:bodyPr vertOverflow="clip" wrap="square" lIns="27432" tIns="18288" rIns="0" bIns="18288" anchor="ctr"/>
        <a:lstStyle/>
        <a:p>
          <a:pPr algn="l" rtl="0">
            <a:lnSpc>
              <a:spcPts val="1000"/>
            </a:lnSpc>
            <a:defRPr sz="1000"/>
          </a:pPr>
          <a:r>
            <a:rPr lang="ja-JP" altLang="en-US" sz="900" b="0" i="0" u="none" strike="noStrike" baseline="0">
              <a:solidFill>
                <a:srgbClr val="000000"/>
              </a:solidFill>
              <a:latin typeface="ＭＳ Ｐゴシック"/>
              <a:ea typeface="ＭＳ Ｐゴシック"/>
            </a:rPr>
            <a:t>平成7年1月からのDIは、平成14年に改訂された採用系列により構成されている。したがって、</a:t>
          </a:r>
        </a:p>
        <a:p>
          <a:pPr algn="l" rtl="0">
            <a:lnSpc>
              <a:spcPts val="1000"/>
            </a:lnSpc>
            <a:defRPr sz="1000"/>
          </a:pPr>
          <a:r>
            <a:rPr lang="ja-JP" altLang="en-US" sz="900" b="0" i="0" u="none" strike="noStrike" baseline="0">
              <a:solidFill>
                <a:srgbClr val="000000"/>
              </a:solidFill>
              <a:latin typeface="ＭＳ Ｐゴシック"/>
              <a:ea typeface="ＭＳ Ｐゴシック"/>
            </a:rPr>
            <a:t>旧系列により構成されている平成6年以前のDIについては、季節調整等による数値の差し替えは行わなず、固定する。</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142875</xdr:colOff>
      <xdr:row>15</xdr:row>
      <xdr:rowOff>114300</xdr:rowOff>
    </xdr:from>
    <xdr:to>
      <xdr:col>7</xdr:col>
      <xdr:colOff>447675</xdr:colOff>
      <xdr:row>18</xdr:row>
      <xdr:rowOff>104775</xdr:rowOff>
    </xdr:to>
    <xdr:sp macro="" textlink="">
      <xdr:nvSpPr>
        <xdr:cNvPr id="2" name="Text Box 27">
          <a:extLst>
            <a:ext uri="{FF2B5EF4-FFF2-40B4-BE49-F238E27FC236}">
              <a16:creationId xmlns:a16="http://schemas.microsoft.com/office/drawing/2014/main" id="{32A746B9-5203-44E1-A067-990560DB3F1F}"/>
            </a:ext>
          </a:extLst>
        </xdr:cNvPr>
        <xdr:cNvSpPr txBox="1">
          <a:spLocks noChangeArrowheads="1"/>
        </xdr:cNvSpPr>
      </xdr:nvSpPr>
      <xdr:spPr bwMode="auto">
        <a:xfrm>
          <a:off x="3810000" y="2981325"/>
          <a:ext cx="2247900" cy="56197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先行指数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clientData/>
  </xdr:twoCellAnchor>
  <xdr:twoCellAnchor>
    <xdr:from>
      <xdr:col>0</xdr:col>
      <xdr:colOff>0</xdr:colOff>
      <xdr:row>2</xdr:row>
      <xdr:rowOff>47625</xdr:rowOff>
    </xdr:from>
    <xdr:to>
      <xdr:col>9</xdr:col>
      <xdr:colOff>0</xdr:colOff>
      <xdr:row>22</xdr:row>
      <xdr:rowOff>0</xdr:rowOff>
    </xdr:to>
    <xdr:graphicFrame macro="">
      <xdr:nvGraphicFramePr>
        <xdr:cNvPr id="45949936" name="Chart 25">
          <a:extLst>
            <a:ext uri="{FF2B5EF4-FFF2-40B4-BE49-F238E27FC236}">
              <a16:creationId xmlns:a16="http://schemas.microsoft.com/office/drawing/2014/main" id="{00000000-0008-0000-0400-0000F023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134904</xdr:colOff>
      <xdr:row>16</xdr:row>
      <xdr:rowOff>19812</xdr:rowOff>
    </xdr:from>
    <xdr:to>
      <xdr:col>4</xdr:col>
      <xdr:colOff>70161</xdr:colOff>
      <xdr:row>16</xdr:row>
      <xdr:rowOff>19812</xdr:rowOff>
    </xdr:to>
    <xdr:sp macro="" textlink="">
      <xdr:nvSpPr>
        <xdr:cNvPr id="45949949" name="Line 28">
          <a:extLst>
            <a:ext uri="{FF2B5EF4-FFF2-40B4-BE49-F238E27FC236}">
              <a16:creationId xmlns:a16="http://schemas.microsoft.com/office/drawing/2014/main" id="{00000000-0008-0000-0400-0000FD23BD02}"/>
            </a:ext>
          </a:extLst>
        </xdr:cNvPr>
        <xdr:cNvSpPr>
          <a:spLocks noChangeShapeType="1"/>
        </xdr:cNvSpPr>
      </xdr:nvSpPr>
      <xdr:spPr bwMode="auto">
        <a:xfrm>
          <a:off x="3802029" y="3077337"/>
          <a:ext cx="421032"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123825</xdr:colOff>
      <xdr:row>16</xdr:row>
      <xdr:rowOff>177165</xdr:rowOff>
    </xdr:from>
    <xdr:to>
      <xdr:col>4</xdr:col>
      <xdr:colOff>59082</xdr:colOff>
      <xdr:row>16</xdr:row>
      <xdr:rowOff>177165</xdr:rowOff>
    </xdr:to>
    <xdr:sp macro="" textlink="">
      <xdr:nvSpPr>
        <xdr:cNvPr id="45949950" name="Line 29">
          <a:extLst>
            <a:ext uri="{FF2B5EF4-FFF2-40B4-BE49-F238E27FC236}">
              <a16:creationId xmlns:a16="http://schemas.microsoft.com/office/drawing/2014/main" id="{00000000-0008-0000-0400-0000FE23BD02}"/>
            </a:ext>
          </a:extLst>
        </xdr:cNvPr>
        <xdr:cNvSpPr>
          <a:spLocks noChangeShapeType="1"/>
        </xdr:cNvSpPr>
      </xdr:nvSpPr>
      <xdr:spPr bwMode="auto">
        <a:xfrm>
          <a:off x="3790950" y="3234690"/>
          <a:ext cx="421032"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145985</xdr:colOff>
      <xdr:row>17</xdr:row>
      <xdr:rowOff>155258</xdr:rowOff>
    </xdr:from>
    <xdr:to>
      <xdr:col>4</xdr:col>
      <xdr:colOff>48003</xdr:colOff>
      <xdr:row>17</xdr:row>
      <xdr:rowOff>155258</xdr:rowOff>
    </xdr:to>
    <xdr:sp macro="" textlink="">
      <xdr:nvSpPr>
        <xdr:cNvPr id="45949951" name="Line 30">
          <a:extLst>
            <a:ext uri="{FF2B5EF4-FFF2-40B4-BE49-F238E27FC236}">
              <a16:creationId xmlns:a16="http://schemas.microsoft.com/office/drawing/2014/main" id="{00000000-0008-0000-0400-0000FF23BD02}"/>
            </a:ext>
          </a:extLst>
        </xdr:cNvPr>
        <xdr:cNvSpPr>
          <a:spLocks noChangeShapeType="1"/>
        </xdr:cNvSpPr>
      </xdr:nvSpPr>
      <xdr:spPr bwMode="auto">
        <a:xfrm>
          <a:off x="3813110" y="3403283"/>
          <a:ext cx="387793"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144230</xdr:colOff>
      <xdr:row>21</xdr:row>
      <xdr:rowOff>976</xdr:rowOff>
    </xdr:from>
    <xdr:to>
      <xdr:col>4</xdr:col>
      <xdr:colOff>300485</xdr:colOff>
      <xdr:row>21</xdr:row>
      <xdr:rowOff>180976</xdr:rowOff>
    </xdr:to>
    <xdr:sp macro="" textlink="">
      <xdr:nvSpPr>
        <xdr:cNvPr id="1104" name="Text Box 37">
          <a:extLst>
            <a:ext uri="{FF2B5EF4-FFF2-40B4-BE49-F238E27FC236}">
              <a16:creationId xmlns:a16="http://schemas.microsoft.com/office/drawing/2014/main" id="{00000000-0008-0000-0400-000050040000}"/>
            </a:ext>
          </a:extLst>
        </xdr:cNvPr>
        <xdr:cNvSpPr txBox="1">
          <a:spLocks noChangeArrowheads="1"/>
        </xdr:cNvSpPr>
      </xdr:nvSpPr>
      <xdr:spPr bwMode="auto">
        <a:xfrm>
          <a:off x="3811355" y="4011001"/>
          <a:ext cx="64203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1</xdr:col>
      <xdr:colOff>9525</xdr:colOff>
      <xdr:row>19</xdr:row>
      <xdr:rowOff>180975</xdr:rowOff>
    </xdr:from>
    <xdr:to>
      <xdr:col>5</xdr:col>
      <xdr:colOff>247650</xdr:colOff>
      <xdr:row>22</xdr:row>
      <xdr:rowOff>19050</xdr:rowOff>
    </xdr:to>
    <xdr:grpSp>
      <xdr:nvGrpSpPr>
        <xdr:cNvPr id="45949939" name="グループ化 1">
          <a:extLst>
            <a:ext uri="{FF2B5EF4-FFF2-40B4-BE49-F238E27FC236}">
              <a16:creationId xmlns:a16="http://schemas.microsoft.com/office/drawing/2014/main" id="{00000000-0008-0000-0400-0000F323BD02}"/>
            </a:ext>
          </a:extLst>
        </xdr:cNvPr>
        <xdr:cNvGrpSpPr>
          <a:grpSpLocks/>
        </xdr:cNvGrpSpPr>
      </xdr:nvGrpSpPr>
      <xdr:grpSpPr bwMode="auto">
        <a:xfrm>
          <a:off x="1943100" y="3810000"/>
          <a:ext cx="2943225" cy="409575"/>
          <a:chOff x="1914109" y="3789708"/>
          <a:chExt cx="2798693" cy="409575"/>
        </a:xfrm>
      </xdr:grpSpPr>
      <xdr:sp macro="" textlink="">
        <xdr:nvSpPr>
          <xdr:cNvPr id="45949945" name="Line 38">
            <a:extLst>
              <a:ext uri="{FF2B5EF4-FFF2-40B4-BE49-F238E27FC236}">
                <a16:creationId xmlns:a16="http://schemas.microsoft.com/office/drawing/2014/main" id="{00000000-0008-0000-0400-0000F923BD02}"/>
              </a:ext>
            </a:extLst>
          </xdr:cNvPr>
          <xdr:cNvSpPr>
            <a:spLocks noChangeShapeType="1"/>
          </xdr:cNvSpPr>
        </xdr:nvSpPr>
        <xdr:spPr bwMode="auto">
          <a:xfrm flipH="1">
            <a:off x="1914109"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49946" name="Line 39">
            <a:extLst>
              <a:ext uri="{FF2B5EF4-FFF2-40B4-BE49-F238E27FC236}">
                <a16:creationId xmlns:a16="http://schemas.microsoft.com/office/drawing/2014/main" id="{00000000-0008-0000-0400-0000FA23BD02}"/>
              </a:ext>
            </a:extLst>
          </xdr:cNvPr>
          <xdr:cNvSpPr>
            <a:spLocks noChangeShapeType="1"/>
          </xdr:cNvSpPr>
        </xdr:nvSpPr>
        <xdr:spPr bwMode="auto">
          <a:xfrm>
            <a:off x="3313456"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49947" name="Line 40">
            <a:extLst>
              <a:ext uri="{FF2B5EF4-FFF2-40B4-BE49-F238E27FC236}">
                <a16:creationId xmlns:a16="http://schemas.microsoft.com/office/drawing/2014/main" id="{00000000-0008-0000-0400-0000FB23BD02}"/>
              </a:ext>
            </a:extLst>
          </xdr:cNvPr>
          <xdr:cNvSpPr>
            <a:spLocks noChangeShapeType="1"/>
          </xdr:cNvSpPr>
        </xdr:nvSpPr>
        <xdr:spPr bwMode="auto">
          <a:xfrm>
            <a:off x="4712802"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145306</xdr:colOff>
      <xdr:row>21</xdr:row>
      <xdr:rowOff>10501</xdr:rowOff>
    </xdr:from>
    <xdr:to>
      <xdr:col>7</xdr:col>
      <xdr:colOff>304243</xdr:colOff>
      <xdr:row>22</xdr:row>
      <xdr:rowOff>1</xdr:rowOff>
    </xdr:to>
    <xdr:sp macro="" textlink="">
      <xdr:nvSpPr>
        <xdr:cNvPr id="1108" name="Text Box 41">
          <a:extLst>
            <a:ext uri="{FF2B5EF4-FFF2-40B4-BE49-F238E27FC236}">
              <a16:creationId xmlns:a16="http://schemas.microsoft.com/office/drawing/2014/main" id="{00000000-0008-0000-0400-000054040000}"/>
            </a:ext>
          </a:extLst>
        </xdr:cNvPr>
        <xdr:cNvSpPr txBox="1">
          <a:spLocks noChangeArrowheads="1"/>
        </xdr:cNvSpPr>
      </xdr:nvSpPr>
      <xdr:spPr bwMode="auto">
        <a:xfrm>
          <a:off x="5269756" y="4020526"/>
          <a:ext cx="644712"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令和８年</a:t>
          </a:r>
        </a:p>
      </xdr:txBody>
    </xdr:sp>
    <xdr:clientData/>
  </xdr:twoCellAnchor>
  <xdr:twoCellAnchor>
    <xdr:from>
      <xdr:col>0</xdr:col>
      <xdr:colOff>958119</xdr:colOff>
      <xdr:row>21</xdr:row>
      <xdr:rowOff>10501</xdr:rowOff>
    </xdr:from>
    <xdr:to>
      <xdr:col>0</xdr:col>
      <xdr:colOff>1589746</xdr:colOff>
      <xdr:row>22</xdr:row>
      <xdr:rowOff>1</xdr:rowOff>
    </xdr:to>
    <xdr:sp macro="" textlink="">
      <xdr:nvSpPr>
        <xdr:cNvPr id="1109" name="Text Box 42">
          <a:extLst>
            <a:ext uri="{FF2B5EF4-FFF2-40B4-BE49-F238E27FC236}">
              <a16:creationId xmlns:a16="http://schemas.microsoft.com/office/drawing/2014/main" id="{00000000-0008-0000-0400-000055040000}"/>
            </a:ext>
          </a:extLst>
        </xdr:cNvPr>
        <xdr:cNvSpPr txBox="1">
          <a:spLocks noChangeArrowheads="1"/>
        </xdr:cNvSpPr>
      </xdr:nvSpPr>
      <xdr:spPr bwMode="auto">
        <a:xfrm>
          <a:off x="958119" y="4020526"/>
          <a:ext cx="631627"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4</xdr:col>
      <xdr:colOff>461725</xdr:colOff>
      <xdr:row>2</xdr:row>
      <xdr:rowOff>152400</xdr:rowOff>
    </xdr:from>
    <xdr:to>
      <xdr:col>7</xdr:col>
      <xdr:colOff>466720</xdr:colOff>
      <xdr:row>3</xdr:row>
      <xdr:rowOff>125889</xdr:rowOff>
    </xdr:to>
    <xdr:sp macro="" textlink="">
      <xdr:nvSpPr>
        <xdr:cNvPr id="1111" name="Text Box 45">
          <a:extLst>
            <a:ext uri="{FF2B5EF4-FFF2-40B4-BE49-F238E27FC236}">
              <a16:creationId xmlns:a16="http://schemas.microsoft.com/office/drawing/2014/main" id="{00000000-0008-0000-0400-000057040000}"/>
            </a:ext>
          </a:extLst>
        </xdr:cNvPr>
        <xdr:cNvSpPr txBox="1">
          <a:spLocks noChangeArrowheads="1"/>
        </xdr:cNvSpPr>
      </xdr:nvSpPr>
      <xdr:spPr bwMode="auto">
        <a:xfrm>
          <a:off x="4607719" y="533400"/>
          <a:ext cx="1484709" cy="183356"/>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1</xdr:col>
      <xdr:colOff>460796</xdr:colOff>
      <xdr:row>21</xdr:row>
      <xdr:rowOff>8987</xdr:rowOff>
    </xdr:from>
    <xdr:to>
      <xdr:col>1</xdr:col>
      <xdr:colOff>1109311</xdr:colOff>
      <xdr:row>22</xdr:row>
      <xdr:rowOff>1</xdr:rowOff>
    </xdr:to>
    <xdr:sp macro="" textlink="">
      <xdr:nvSpPr>
        <xdr:cNvPr id="17" name="Text Box 42">
          <a:extLst>
            <a:ext uri="{FF2B5EF4-FFF2-40B4-BE49-F238E27FC236}">
              <a16:creationId xmlns:a16="http://schemas.microsoft.com/office/drawing/2014/main" id="{00000000-0008-0000-0400-000011000000}"/>
            </a:ext>
          </a:extLst>
        </xdr:cNvPr>
        <xdr:cNvSpPr txBox="1">
          <a:spLocks noChangeArrowheads="1"/>
        </xdr:cNvSpPr>
      </xdr:nvSpPr>
      <xdr:spPr bwMode="auto">
        <a:xfrm>
          <a:off x="2394371" y="4019012"/>
          <a:ext cx="648515"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5</xdr:col>
      <xdr:colOff>50358</xdr:colOff>
      <xdr:row>23</xdr:row>
      <xdr:rowOff>8283</xdr:rowOff>
    </xdr:from>
    <xdr:to>
      <xdr:col>8</xdr:col>
      <xdr:colOff>86349</xdr:colOff>
      <xdr:row>23</xdr:row>
      <xdr:rowOff>188016</xdr:rowOff>
    </xdr:to>
    <xdr:sp macro="" textlink="">
      <xdr:nvSpPr>
        <xdr:cNvPr id="19" name="Text Box 45">
          <a:extLst>
            <a:ext uri="{FF2B5EF4-FFF2-40B4-BE49-F238E27FC236}">
              <a16:creationId xmlns:a16="http://schemas.microsoft.com/office/drawing/2014/main" id="{00000000-0008-0000-0400-000013000000}"/>
            </a:ext>
          </a:extLst>
        </xdr:cNvPr>
        <xdr:cNvSpPr txBox="1">
          <a:spLocks noChangeArrowheads="1"/>
        </xdr:cNvSpPr>
      </xdr:nvSpPr>
      <xdr:spPr bwMode="auto">
        <a:xfrm>
          <a:off x="4704521" y="4398066"/>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38100</xdr:rowOff>
    </xdr:from>
    <xdr:to>
      <xdr:col>8</xdr:col>
      <xdr:colOff>85725</xdr:colOff>
      <xdr:row>21</xdr:row>
      <xdr:rowOff>85725</xdr:rowOff>
    </xdr:to>
    <xdr:graphicFrame macro="">
      <xdr:nvGraphicFramePr>
        <xdr:cNvPr id="45951984" name="Chart 1">
          <a:extLst>
            <a:ext uri="{FF2B5EF4-FFF2-40B4-BE49-F238E27FC236}">
              <a16:creationId xmlns:a16="http://schemas.microsoft.com/office/drawing/2014/main" id="{00000000-0008-0000-0500-0000F02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476250</xdr:colOff>
      <xdr:row>16</xdr:row>
      <xdr:rowOff>19050</xdr:rowOff>
    </xdr:from>
    <xdr:to>
      <xdr:col>7</xdr:col>
      <xdr:colOff>342900</xdr:colOff>
      <xdr:row>19</xdr:row>
      <xdr:rowOff>9525</xdr:rowOff>
    </xdr:to>
    <xdr:grpSp>
      <xdr:nvGrpSpPr>
        <xdr:cNvPr id="45951985" name="Group 11">
          <a:extLst>
            <a:ext uri="{FF2B5EF4-FFF2-40B4-BE49-F238E27FC236}">
              <a16:creationId xmlns:a16="http://schemas.microsoft.com/office/drawing/2014/main" id="{00000000-0008-0000-0500-0000F12BBD02}"/>
            </a:ext>
          </a:extLst>
        </xdr:cNvPr>
        <xdr:cNvGrpSpPr>
          <a:grpSpLocks/>
        </xdr:cNvGrpSpPr>
      </xdr:nvGrpSpPr>
      <xdr:grpSpPr bwMode="auto">
        <a:xfrm>
          <a:off x="3657600" y="3067050"/>
          <a:ext cx="2390775" cy="561975"/>
          <a:chOff x="66" y="271"/>
          <a:chExt cx="203" cy="50"/>
        </a:xfrm>
      </xdr:grpSpPr>
      <xdr:sp macro="" textlink="">
        <xdr:nvSpPr>
          <xdr:cNvPr id="2060" name="Text Box 12">
            <a:extLst>
              <a:ext uri="{FF2B5EF4-FFF2-40B4-BE49-F238E27FC236}">
                <a16:creationId xmlns:a16="http://schemas.microsoft.com/office/drawing/2014/main" id="{00000000-0008-0000-0500-00000C080000}"/>
              </a:ext>
            </a:extLst>
          </xdr:cNvPr>
          <xdr:cNvSpPr txBox="1">
            <a:spLocks noChangeArrowheads="1"/>
          </xdr:cNvSpPr>
        </xdr:nvSpPr>
        <xdr:spPr bwMode="auto">
          <a:xfrm>
            <a:off x="66" y="271"/>
            <a:ext cx="203" cy="5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一致指数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a:t>
            </a:r>
            <a:r>
              <a:rPr lang="ja-JP" altLang="en-US" sz="1000" b="0" i="0" u="none" strike="noStrike" baseline="0">
                <a:solidFill>
                  <a:srgbClr val="FFFFFF"/>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5951997" name="Line 13">
            <a:extLst>
              <a:ext uri="{FF2B5EF4-FFF2-40B4-BE49-F238E27FC236}">
                <a16:creationId xmlns:a16="http://schemas.microsoft.com/office/drawing/2014/main" id="{00000000-0008-0000-0500-0000FD2BBD02}"/>
              </a:ext>
            </a:extLst>
          </xdr:cNvPr>
          <xdr:cNvSpPr>
            <a:spLocks noChangeShapeType="1"/>
          </xdr:cNvSpPr>
        </xdr:nvSpPr>
        <xdr:spPr bwMode="auto">
          <a:xfrm>
            <a:off x="74" y="277"/>
            <a:ext cx="38"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951998" name="Line 14">
            <a:extLst>
              <a:ext uri="{FF2B5EF4-FFF2-40B4-BE49-F238E27FC236}">
                <a16:creationId xmlns:a16="http://schemas.microsoft.com/office/drawing/2014/main" id="{00000000-0008-0000-0500-0000FE2BBD02}"/>
              </a:ext>
            </a:extLst>
          </xdr:cNvPr>
          <xdr:cNvSpPr>
            <a:spLocks noChangeShapeType="1"/>
          </xdr:cNvSpPr>
        </xdr:nvSpPr>
        <xdr:spPr bwMode="auto">
          <a:xfrm>
            <a:off x="73" y="291"/>
            <a:ext cx="38"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5951999" name="Line 15">
            <a:extLst>
              <a:ext uri="{FF2B5EF4-FFF2-40B4-BE49-F238E27FC236}">
                <a16:creationId xmlns:a16="http://schemas.microsoft.com/office/drawing/2014/main" id="{00000000-0008-0000-0500-0000FF2BBD02}"/>
              </a:ext>
            </a:extLst>
          </xdr:cNvPr>
          <xdr:cNvSpPr>
            <a:spLocks noChangeShapeType="1"/>
          </xdr:cNvSpPr>
        </xdr:nvSpPr>
        <xdr:spPr bwMode="auto">
          <a:xfrm>
            <a:off x="75" y="306"/>
            <a:ext cx="35"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1914525</xdr:colOff>
      <xdr:row>20</xdr:row>
      <xdr:rowOff>0</xdr:rowOff>
    </xdr:from>
    <xdr:to>
      <xdr:col>5</xdr:col>
      <xdr:colOff>95250</xdr:colOff>
      <xdr:row>22</xdr:row>
      <xdr:rowOff>19050</xdr:rowOff>
    </xdr:to>
    <xdr:grpSp>
      <xdr:nvGrpSpPr>
        <xdr:cNvPr id="45951986" name="グループ化 1">
          <a:extLst>
            <a:ext uri="{FF2B5EF4-FFF2-40B4-BE49-F238E27FC236}">
              <a16:creationId xmlns:a16="http://schemas.microsoft.com/office/drawing/2014/main" id="{00000000-0008-0000-0500-0000F22BBD02}"/>
            </a:ext>
          </a:extLst>
        </xdr:cNvPr>
        <xdr:cNvGrpSpPr>
          <a:grpSpLocks/>
        </xdr:cNvGrpSpPr>
      </xdr:nvGrpSpPr>
      <xdr:grpSpPr bwMode="auto">
        <a:xfrm>
          <a:off x="1914525" y="3810000"/>
          <a:ext cx="2876550" cy="400050"/>
          <a:chOff x="1914525" y="3810000"/>
          <a:chExt cx="2886075" cy="400050"/>
        </a:xfrm>
      </xdr:grpSpPr>
      <xdr:sp macro="" textlink="">
        <xdr:nvSpPr>
          <xdr:cNvPr id="45951993" name="Line 19">
            <a:extLst>
              <a:ext uri="{FF2B5EF4-FFF2-40B4-BE49-F238E27FC236}">
                <a16:creationId xmlns:a16="http://schemas.microsoft.com/office/drawing/2014/main" id="{00000000-0008-0000-0500-0000F92BBD02}"/>
              </a:ext>
            </a:extLst>
          </xdr:cNvPr>
          <xdr:cNvSpPr>
            <a:spLocks noChangeShapeType="1"/>
          </xdr:cNvSpPr>
        </xdr:nvSpPr>
        <xdr:spPr bwMode="auto">
          <a:xfrm>
            <a:off x="1914525" y="3810000"/>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1994" name="Line 20">
            <a:extLst>
              <a:ext uri="{FF2B5EF4-FFF2-40B4-BE49-F238E27FC236}">
                <a16:creationId xmlns:a16="http://schemas.microsoft.com/office/drawing/2014/main" id="{00000000-0008-0000-0500-0000FA2BBD02}"/>
              </a:ext>
            </a:extLst>
          </xdr:cNvPr>
          <xdr:cNvSpPr>
            <a:spLocks noChangeShapeType="1"/>
          </xdr:cNvSpPr>
        </xdr:nvSpPr>
        <xdr:spPr bwMode="auto">
          <a:xfrm>
            <a:off x="3352956" y="3829050"/>
            <a:ext cx="0" cy="3524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1995" name="Line 21">
            <a:extLst>
              <a:ext uri="{FF2B5EF4-FFF2-40B4-BE49-F238E27FC236}">
                <a16:creationId xmlns:a16="http://schemas.microsoft.com/office/drawing/2014/main" id="{00000000-0008-0000-0500-0000FB2BBD02}"/>
              </a:ext>
            </a:extLst>
          </xdr:cNvPr>
          <xdr:cNvSpPr>
            <a:spLocks noChangeShapeType="1"/>
          </xdr:cNvSpPr>
        </xdr:nvSpPr>
        <xdr:spPr bwMode="auto">
          <a:xfrm flipH="1">
            <a:off x="4791075" y="3829050"/>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0</xdr:colOff>
      <xdr:row>23</xdr:row>
      <xdr:rowOff>0</xdr:rowOff>
    </xdr:from>
    <xdr:to>
      <xdr:col>7</xdr:col>
      <xdr:colOff>466915</xdr:colOff>
      <xdr:row>23</xdr:row>
      <xdr:rowOff>179733</xdr:rowOff>
    </xdr:to>
    <xdr:sp macro="" textlink="">
      <xdr:nvSpPr>
        <xdr:cNvPr id="19" name="Text Box 45">
          <a:extLst>
            <a:ext uri="{FF2B5EF4-FFF2-40B4-BE49-F238E27FC236}">
              <a16:creationId xmlns:a16="http://schemas.microsoft.com/office/drawing/2014/main" id="{00000000-0008-0000-0500-000013000000}"/>
            </a:ext>
          </a:extLst>
        </xdr:cNvPr>
        <xdr:cNvSpPr txBox="1">
          <a:spLocks noChangeArrowheads="1"/>
        </xdr:cNvSpPr>
      </xdr:nvSpPr>
      <xdr:spPr bwMode="auto">
        <a:xfrm>
          <a:off x="4695825" y="4381500"/>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87630</xdr:colOff>
      <xdr:row>2</xdr:row>
      <xdr:rowOff>123825</xdr:rowOff>
    </xdr:from>
    <xdr:to>
      <xdr:col>8</xdr:col>
      <xdr:colOff>82401</xdr:colOff>
      <xdr:row>3</xdr:row>
      <xdr:rowOff>113058</xdr:rowOff>
    </xdr:to>
    <xdr:sp macro="" textlink="">
      <xdr:nvSpPr>
        <xdr:cNvPr id="20" name="Text Box 45">
          <a:extLst>
            <a:ext uri="{FF2B5EF4-FFF2-40B4-BE49-F238E27FC236}">
              <a16:creationId xmlns:a16="http://schemas.microsoft.com/office/drawing/2014/main" id="{00000000-0008-0000-0500-000014000000}"/>
            </a:ext>
          </a:extLst>
        </xdr:cNvPr>
        <xdr:cNvSpPr txBox="1">
          <a:spLocks noChangeArrowheads="1"/>
        </xdr:cNvSpPr>
      </xdr:nvSpPr>
      <xdr:spPr bwMode="auto">
        <a:xfrm>
          <a:off x="4791075" y="504825"/>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2</xdr:col>
      <xdr:colOff>424361</xdr:colOff>
      <xdr:row>21</xdr:row>
      <xdr:rowOff>0</xdr:rowOff>
    </xdr:from>
    <xdr:to>
      <xdr:col>4</xdr:col>
      <xdr:colOff>56741</xdr:colOff>
      <xdr:row>21</xdr:row>
      <xdr:rowOff>180000</xdr:rowOff>
    </xdr:to>
    <xdr:sp macro="" textlink="">
      <xdr:nvSpPr>
        <xdr:cNvPr id="2" name="Text Box 37">
          <a:extLst>
            <a:ext uri="{FF2B5EF4-FFF2-40B4-BE49-F238E27FC236}">
              <a16:creationId xmlns:a16="http://schemas.microsoft.com/office/drawing/2014/main" id="{03C42598-33F5-43E8-BCA8-F2D1C2404765}"/>
            </a:ext>
          </a:extLst>
        </xdr:cNvPr>
        <xdr:cNvSpPr txBox="1">
          <a:spLocks noChangeArrowheads="1"/>
        </xdr:cNvSpPr>
      </xdr:nvSpPr>
      <xdr:spPr bwMode="auto">
        <a:xfrm>
          <a:off x="3605711" y="4000500"/>
          <a:ext cx="64203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5</xdr:col>
      <xdr:colOff>368287</xdr:colOff>
      <xdr:row>21</xdr:row>
      <xdr:rowOff>9525</xdr:rowOff>
    </xdr:from>
    <xdr:to>
      <xdr:col>7</xdr:col>
      <xdr:colOff>3349</xdr:colOff>
      <xdr:row>21</xdr:row>
      <xdr:rowOff>189525</xdr:rowOff>
    </xdr:to>
    <xdr:sp macro="" textlink="">
      <xdr:nvSpPr>
        <xdr:cNvPr id="3" name="Text Box 41">
          <a:extLst>
            <a:ext uri="{FF2B5EF4-FFF2-40B4-BE49-F238E27FC236}">
              <a16:creationId xmlns:a16="http://schemas.microsoft.com/office/drawing/2014/main" id="{2947BE90-44F0-491F-B72D-663667C60DFC}"/>
            </a:ext>
          </a:extLst>
        </xdr:cNvPr>
        <xdr:cNvSpPr txBox="1">
          <a:spLocks noChangeArrowheads="1"/>
        </xdr:cNvSpPr>
      </xdr:nvSpPr>
      <xdr:spPr bwMode="auto">
        <a:xfrm>
          <a:off x="5064112" y="4010025"/>
          <a:ext cx="644712"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令和８年</a:t>
          </a:r>
        </a:p>
      </xdr:txBody>
    </xdr:sp>
    <xdr:clientData/>
  </xdr:twoCellAnchor>
  <xdr:twoCellAnchor>
    <xdr:from>
      <xdr:col>0</xdr:col>
      <xdr:colOff>752475</xdr:colOff>
      <xdr:row>21</xdr:row>
      <xdr:rowOff>9525</xdr:rowOff>
    </xdr:from>
    <xdr:to>
      <xdr:col>0</xdr:col>
      <xdr:colOff>1384102</xdr:colOff>
      <xdr:row>21</xdr:row>
      <xdr:rowOff>189525</xdr:rowOff>
    </xdr:to>
    <xdr:sp macro="" textlink="">
      <xdr:nvSpPr>
        <xdr:cNvPr id="4" name="Text Box 42">
          <a:extLst>
            <a:ext uri="{FF2B5EF4-FFF2-40B4-BE49-F238E27FC236}">
              <a16:creationId xmlns:a16="http://schemas.microsoft.com/office/drawing/2014/main" id="{0B69A0A3-82A2-4C60-94F8-D50BBA77F4DE}"/>
            </a:ext>
          </a:extLst>
        </xdr:cNvPr>
        <xdr:cNvSpPr txBox="1">
          <a:spLocks noChangeArrowheads="1"/>
        </xdr:cNvSpPr>
      </xdr:nvSpPr>
      <xdr:spPr bwMode="auto">
        <a:xfrm>
          <a:off x="752475" y="4010025"/>
          <a:ext cx="631627"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1</xdr:col>
      <xdr:colOff>255152</xdr:colOff>
      <xdr:row>21</xdr:row>
      <xdr:rowOff>8011</xdr:rowOff>
    </xdr:from>
    <xdr:to>
      <xdr:col>1</xdr:col>
      <xdr:colOff>903667</xdr:colOff>
      <xdr:row>21</xdr:row>
      <xdr:rowOff>189525</xdr:rowOff>
    </xdr:to>
    <xdr:sp macro="" textlink="">
      <xdr:nvSpPr>
        <xdr:cNvPr id="5" name="Text Box 42">
          <a:extLst>
            <a:ext uri="{FF2B5EF4-FFF2-40B4-BE49-F238E27FC236}">
              <a16:creationId xmlns:a16="http://schemas.microsoft.com/office/drawing/2014/main" id="{354B9D7E-2850-4D56-BDDD-46049BDB1669}"/>
            </a:ext>
          </a:extLst>
        </xdr:cNvPr>
        <xdr:cNvSpPr txBox="1">
          <a:spLocks noChangeArrowheads="1"/>
        </xdr:cNvSpPr>
      </xdr:nvSpPr>
      <xdr:spPr bwMode="auto">
        <a:xfrm>
          <a:off x="2188727" y="4008511"/>
          <a:ext cx="648515"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0</xdr:colOff>
      <xdr:row>21</xdr:row>
      <xdr:rowOff>85725</xdr:rowOff>
    </xdr:to>
    <xdr:graphicFrame macro="">
      <xdr:nvGraphicFramePr>
        <xdr:cNvPr id="45954032" name="Chart 1">
          <a:extLst>
            <a:ext uri="{FF2B5EF4-FFF2-40B4-BE49-F238E27FC236}">
              <a16:creationId xmlns:a16="http://schemas.microsoft.com/office/drawing/2014/main" id="{00000000-0008-0000-0600-0000F033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733425</xdr:colOff>
      <xdr:row>15</xdr:row>
      <xdr:rowOff>180975</xdr:rowOff>
    </xdr:from>
    <xdr:to>
      <xdr:col>1</xdr:col>
      <xdr:colOff>1209675</xdr:colOff>
      <xdr:row>18</xdr:row>
      <xdr:rowOff>161925</xdr:rowOff>
    </xdr:to>
    <xdr:grpSp>
      <xdr:nvGrpSpPr>
        <xdr:cNvPr id="45954033" name="グループ化 3">
          <a:extLst>
            <a:ext uri="{FF2B5EF4-FFF2-40B4-BE49-F238E27FC236}">
              <a16:creationId xmlns:a16="http://schemas.microsoft.com/office/drawing/2014/main" id="{00000000-0008-0000-0600-0000F133BD02}"/>
            </a:ext>
          </a:extLst>
        </xdr:cNvPr>
        <xdr:cNvGrpSpPr>
          <a:grpSpLocks/>
        </xdr:cNvGrpSpPr>
      </xdr:nvGrpSpPr>
      <xdr:grpSpPr bwMode="auto">
        <a:xfrm>
          <a:off x="733425" y="3038475"/>
          <a:ext cx="2409825" cy="552450"/>
          <a:chOff x="619125" y="901700"/>
          <a:chExt cx="2406707" cy="558800"/>
        </a:xfrm>
      </xdr:grpSpPr>
      <xdr:sp macro="" textlink="">
        <xdr:nvSpPr>
          <xdr:cNvPr id="3127" name="Text Box 12">
            <a:extLst>
              <a:ext uri="{FF2B5EF4-FFF2-40B4-BE49-F238E27FC236}">
                <a16:creationId xmlns:a16="http://schemas.microsoft.com/office/drawing/2014/main" id="{00000000-0008-0000-0600-0000370C0000}"/>
              </a:ext>
            </a:extLst>
          </xdr:cNvPr>
          <xdr:cNvSpPr txBox="1">
            <a:spLocks noChangeArrowheads="1"/>
          </xdr:cNvSpPr>
        </xdr:nvSpPr>
        <xdr:spPr bwMode="auto">
          <a:xfrm>
            <a:off x="704739" y="901700"/>
            <a:ext cx="2321093" cy="5588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遅行指数</a:t>
            </a:r>
          </a:p>
          <a:p>
            <a:pPr algn="l" rtl="0">
              <a:lnSpc>
                <a:spcPts val="11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2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5954045" name="Line 13">
            <a:extLst>
              <a:ext uri="{FF2B5EF4-FFF2-40B4-BE49-F238E27FC236}">
                <a16:creationId xmlns:a16="http://schemas.microsoft.com/office/drawing/2014/main" id="{00000000-0008-0000-0600-0000FD33BD02}"/>
              </a:ext>
            </a:extLst>
          </xdr:cNvPr>
          <xdr:cNvSpPr>
            <a:spLocks noChangeShapeType="1"/>
          </xdr:cNvSpPr>
        </xdr:nvSpPr>
        <xdr:spPr bwMode="auto">
          <a:xfrm>
            <a:off x="619125" y="1000125"/>
            <a:ext cx="409575"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954046" name="Line 14">
            <a:extLst>
              <a:ext uri="{FF2B5EF4-FFF2-40B4-BE49-F238E27FC236}">
                <a16:creationId xmlns:a16="http://schemas.microsoft.com/office/drawing/2014/main" id="{00000000-0008-0000-0600-0000FE33BD02}"/>
              </a:ext>
            </a:extLst>
          </xdr:cNvPr>
          <xdr:cNvSpPr>
            <a:spLocks noChangeShapeType="1"/>
          </xdr:cNvSpPr>
        </xdr:nvSpPr>
        <xdr:spPr bwMode="auto">
          <a:xfrm>
            <a:off x="638175" y="1152525"/>
            <a:ext cx="390525"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5954047" name="Line 15">
            <a:extLst>
              <a:ext uri="{FF2B5EF4-FFF2-40B4-BE49-F238E27FC236}">
                <a16:creationId xmlns:a16="http://schemas.microsoft.com/office/drawing/2014/main" id="{00000000-0008-0000-0600-0000FF33BD02}"/>
              </a:ext>
            </a:extLst>
          </xdr:cNvPr>
          <xdr:cNvSpPr>
            <a:spLocks noChangeShapeType="1"/>
          </xdr:cNvSpPr>
        </xdr:nvSpPr>
        <xdr:spPr bwMode="auto">
          <a:xfrm flipV="1">
            <a:off x="638175" y="1343025"/>
            <a:ext cx="390525"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1905000</xdr:colOff>
      <xdr:row>20</xdr:row>
      <xdr:rowOff>0</xdr:rowOff>
    </xdr:from>
    <xdr:to>
      <xdr:col>5</xdr:col>
      <xdr:colOff>142875</xdr:colOff>
      <xdr:row>22</xdr:row>
      <xdr:rowOff>28575</xdr:rowOff>
    </xdr:to>
    <xdr:grpSp>
      <xdr:nvGrpSpPr>
        <xdr:cNvPr id="45954034" name="グループ化 1">
          <a:extLst>
            <a:ext uri="{FF2B5EF4-FFF2-40B4-BE49-F238E27FC236}">
              <a16:creationId xmlns:a16="http://schemas.microsoft.com/office/drawing/2014/main" id="{00000000-0008-0000-0600-0000F233BD02}"/>
            </a:ext>
          </a:extLst>
        </xdr:cNvPr>
        <xdr:cNvGrpSpPr>
          <a:grpSpLocks/>
        </xdr:cNvGrpSpPr>
      </xdr:nvGrpSpPr>
      <xdr:grpSpPr bwMode="auto">
        <a:xfrm>
          <a:off x="1905000" y="3810000"/>
          <a:ext cx="2933700" cy="409575"/>
          <a:chOff x="1857375" y="3800475"/>
          <a:chExt cx="2865368" cy="409575"/>
        </a:xfrm>
      </xdr:grpSpPr>
      <xdr:sp macro="" textlink="">
        <xdr:nvSpPr>
          <xdr:cNvPr id="45954041" name="Line 19">
            <a:extLst>
              <a:ext uri="{FF2B5EF4-FFF2-40B4-BE49-F238E27FC236}">
                <a16:creationId xmlns:a16="http://schemas.microsoft.com/office/drawing/2014/main" id="{00000000-0008-0000-0600-0000F933BD02}"/>
              </a:ext>
            </a:extLst>
          </xdr:cNvPr>
          <xdr:cNvSpPr>
            <a:spLocks noChangeShapeType="1"/>
          </xdr:cNvSpPr>
        </xdr:nvSpPr>
        <xdr:spPr bwMode="auto">
          <a:xfrm>
            <a:off x="1857375" y="3800475"/>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4042" name="Line 20">
            <a:extLst>
              <a:ext uri="{FF2B5EF4-FFF2-40B4-BE49-F238E27FC236}">
                <a16:creationId xmlns:a16="http://schemas.microsoft.com/office/drawing/2014/main" id="{00000000-0008-0000-0600-0000FA33BD02}"/>
              </a:ext>
            </a:extLst>
          </xdr:cNvPr>
          <xdr:cNvSpPr>
            <a:spLocks noChangeShapeType="1"/>
          </xdr:cNvSpPr>
        </xdr:nvSpPr>
        <xdr:spPr bwMode="auto">
          <a:xfrm>
            <a:off x="3266247" y="3810000"/>
            <a:ext cx="0" cy="4000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4043" name="Line 21">
            <a:extLst>
              <a:ext uri="{FF2B5EF4-FFF2-40B4-BE49-F238E27FC236}">
                <a16:creationId xmlns:a16="http://schemas.microsoft.com/office/drawing/2014/main" id="{00000000-0008-0000-0600-0000FB33BD02}"/>
              </a:ext>
            </a:extLst>
          </xdr:cNvPr>
          <xdr:cNvSpPr>
            <a:spLocks noChangeShapeType="1"/>
          </xdr:cNvSpPr>
        </xdr:nvSpPr>
        <xdr:spPr bwMode="auto">
          <a:xfrm flipH="1">
            <a:off x="4722743" y="3800475"/>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500103</xdr:colOff>
      <xdr:row>23</xdr:row>
      <xdr:rowOff>0</xdr:rowOff>
    </xdr:from>
    <xdr:to>
      <xdr:col>8</xdr:col>
      <xdr:colOff>13274</xdr:colOff>
      <xdr:row>23</xdr:row>
      <xdr:rowOff>179733</xdr:rowOff>
    </xdr:to>
    <xdr:sp macro="" textlink="">
      <xdr:nvSpPr>
        <xdr:cNvPr id="17" name="Text Box 45">
          <a:extLst>
            <a:ext uri="{FF2B5EF4-FFF2-40B4-BE49-F238E27FC236}">
              <a16:creationId xmlns:a16="http://schemas.microsoft.com/office/drawing/2014/main" id="{00000000-0008-0000-0600-000011000000}"/>
            </a:ext>
          </a:extLst>
        </xdr:cNvPr>
        <xdr:cNvSpPr txBox="1">
          <a:spLocks noChangeArrowheads="1"/>
        </xdr:cNvSpPr>
      </xdr:nvSpPr>
      <xdr:spPr bwMode="auto">
        <a:xfrm>
          <a:off x="4646543" y="4381500"/>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81501</xdr:colOff>
      <xdr:row>2</xdr:row>
      <xdr:rowOff>149087</xdr:rowOff>
    </xdr:from>
    <xdr:to>
      <xdr:col>8</xdr:col>
      <xdr:colOff>86570</xdr:colOff>
      <xdr:row>3</xdr:row>
      <xdr:rowOff>138320</xdr:rowOff>
    </xdr:to>
    <xdr:sp macro="" textlink="">
      <xdr:nvSpPr>
        <xdr:cNvPr id="18" name="Text Box 45">
          <a:extLst>
            <a:ext uri="{FF2B5EF4-FFF2-40B4-BE49-F238E27FC236}">
              <a16:creationId xmlns:a16="http://schemas.microsoft.com/office/drawing/2014/main" id="{00000000-0008-0000-0600-000012000000}"/>
            </a:ext>
          </a:extLst>
        </xdr:cNvPr>
        <xdr:cNvSpPr txBox="1">
          <a:spLocks noChangeArrowheads="1"/>
        </xdr:cNvSpPr>
      </xdr:nvSpPr>
      <xdr:spPr bwMode="auto">
        <a:xfrm>
          <a:off x="4712804" y="530087"/>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3</xdr:col>
      <xdr:colOff>5261</xdr:colOff>
      <xdr:row>21</xdr:row>
      <xdr:rowOff>0</xdr:rowOff>
    </xdr:from>
    <xdr:to>
      <xdr:col>4</xdr:col>
      <xdr:colOff>142466</xdr:colOff>
      <xdr:row>21</xdr:row>
      <xdr:rowOff>180000</xdr:rowOff>
    </xdr:to>
    <xdr:sp macro="" textlink="">
      <xdr:nvSpPr>
        <xdr:cNvPr id="2" name="Text Box 37">
          <a:extLst>
            <a:ext uri="{FF2B5EF4-FFF2-40B4-BE49-F238E27FC236}">
              <a16:creationId xmlns:a16="http://schemas.microsoft.com/office/drawing/2014/main" id="{FF4D2D2E-470B-40F1-AE40-89C0348C4423}"/>
            </a:ext>
          </a:extLst>
        </xdr:cNvPr>
        <xdr:cNvSpPr txBox="1">
          <a:spLocks noChangeArrowheads="1"/>
        </xdr:cNvSpPr>
      </xdr:nvSpPr>
      <xdr:spPr bwMode="auto">
        <a:xfrm>
          <a:off x="3691436" y="4000500"/>
          <a:ext cx="64203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5</xdr:col>
      <xdr:colOff>454012</xdr:colOff>
      <xdr:row>21</xdr:row>
      <xdr:rowOff>9525</xdr:rowOff>
    </xdr:from>
    <xdr:to>
      <xdr:col>7</xdr:col>
      <xdr:colOff>89074</xdr:colOff>
      <xdr:row>21</xdr:row>
      <xdr:rowOff>189525</xdr:rowOff>
    </xdr:to>
    <xdr:sp macro="" textlink="">
      <xdr:nvSpPr>
        <xdr:cNvPr id="3" name="Text Box 41">
          <a:extLst>
            <a:ext uri="{FF2B5EF4-FFF2-40B4-BE49-F238E27FC236}">
              <a16:creationId xmlns:a16="http://schemas.microsoft.com/office/drawing/2014/main" id="{1C33510B-F1AC-42F0-A8B1-AC9FE58BAE89}"/>
            </a:ext>
          </a:extLst>
        </xdr:cNvPr>
        <xdr:cNvSpPr txBox="1">
          <a:spLocks noChangeArrowheads="1"/>
        </xdr:cNvSpPr>
      </xdr:nvSpPr>
      <xdr:spPr bwMode="auto">
        <a:xfrm>
          <a:off x="5149837" y="4010025"/>
          <a:ext cx="644712"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令和８年</a:t>
          </a:r>
        </a:p>
      </xdr:txBody>
    </xdr:sp>
    <xdr:clientData/>
  </xdr:twoCellAnchor>
  <xdr:twoCellAnchor>
    <xdr:from>
      <xdr:col>0</xdr:col>
      <xdr:colOff>838200</xdr:colOff>
      <xdr:row>21</xdr:row>
      <xdr:rowOff>9525</xdr:rowOff>
    </xdr:from>
    <xdr:to>
      <xdr:col>0</xdr:col>
      <xdr:colOff>1469827</xdr:colOff>
      <xdr:row>21</xdr:row>
      <xdr:rowOff>189525</xdr:rowOff>
    </xdr:to>
    <xdr:sp macro="" textlink="">
      <xdr:nvSpPr>
        <xdr:cNvPr id="4" name="Text Box 42">
          <a:extLst>
            <a:ext uri="{FF2B5EF4-FFF2-40B4-BE49-F238E27FC236}">
              <a16:creationId xmlns:a16="http://schemas.microsoft.com/office/drawing/2014/main" id="{340F9CA6-FF74-49D8-B561-FE626BE8BE87}"/>
            </a:ext>
          </a:extLst>
        </xdr:cNvPr>
        <xdr:cNvSpPr txBox="1">
          <a:spLocks noChangeArrowheads="1"/>
        </xdr:cNvSpPr>
      </xdr:nvSpPr>
      <xdr:spPr bwMode="auto">
        <a:xfrm>
          <a:off x="838200" y="4010025"/>
          <a:ext cx="631627"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1</xdr:col>
      <xdr:colOff>340877</xdr:colOff>
      <xdr:row>21</xdr:row>
      <xdr:rowOff>8011</xdr:rowOff>
    </xdr:from>
    <xdr:to>
      <xdr:col>1</xdr:col>
      <xdr:colOff>989392</xdr:colOff>
      <xdr:row>21</xdr:row>
      <xdr:rowOff>189525</xdr:rowOff>
    </xdr:to>
    <xdr:sp macro="" textlink="">
      <xdr:nvSpPr>
        <xdr:cNvPr id="5" name="Text Box 42">
          <a:extLst>
            <a:ext uri="{FF2B5EF4-FFF2-40B4-BE49-F238E27FC236}">
              <a16:creationId xmlns:a16="http://schemas.microsoft.com/office/drawing/2014/main" id="{7332ADEC-8660-43EB-AF46-C68A73F58E40}"/>
            </a:ext>
          </a:extLst>
        </xdr:cNvPr>
        <xdr:cNvSpPr txBox="1">
          <a:spLocks noChangeArrowheads="1"/>
        </xdr:cNvSpPr>
      </xdr:nvSpPr>
      <xdr:spPr bwMode="auto">
        <a:xfrm>
          <a:off x="2274452" y="4008511"/>
          <a:ext cx="648515"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3</xdr:row>
      <xdr:rowOff>9525</xdr:rowOff>
    </xdr:from>
    <xdr:to>
      <xdr:col>8</xdr:col>
      <xdr:colOff>647700</xdr:colOff>
      <xdr:row>19</xdr:row>
      <xdr:rowOff>28575</xdr:rowOff>
    </xdr:to>
    <xdr:graphicFrame macro="">
      <xdr:nvGraphicFramePr>
        <xdr:cNvPr id="45956080" name="Chart 2">
          <a:extLst>
            <a:ext uri="{FF2B5EF4-FFF2-40B4-BE49-F238E27FC236}">
              <a16:creationId xmlns:a16="http://schemas.microsoft.com/office/drawing/2014/main" id="{00000000-0008-0000-0700-0000F0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82536</xdr:colOff>
      <xdr:row>2</xdr:row>
      <xdr:rowOff>178490</xdr:rowOff>
    </xdr:from>
    <xdr:to>
      <xdr:col>2</xdr:col>
      <xdr:colOff>161925</xdr:colOff>
      <xdr:row>3</xdr:row>
      <xdr:rowOff>133350</xdr:rowOff>
    </xdr:to>
    <xdr:sp macro="" textlink="">
      <xdr:nvSpPr>
        <xdr:cNvPr id="4187" name="Text Box 8">
          <a:extLst>
            <a:ext uri="{FF2B5EF4-FFF2-40B4-BE49-F238E27FC236}">
              <a16:creationId xmlns:a16="http://schemas.microsoft.com/office/drawing/2014/main" id="{00000000-0008-0000-0700-00005B100000}"/>
            </a:ext>
          </a:extLst>
        </xdr:cNvPr>
        <xdr:cNvSpPr txBox="1">
          <a:spLocks noChangeArrowheads="1"/>
        </xdr:cNvSpPr>
      </xdr:nvSpPr>
      <xdr:spPr bwMode="auto">
        <a:xfrm>
          <a:off x="434961" y="540440"/>
          <a:ext cx="831864" cy="135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xdr:txBody>
    </xdr:sp>
    <xdr:clientData/>
  </xdr:twoCellAnchor>
  <xdr:twoCellAnchor>
    <xdr:from>
      <xdr:col>0</xdr:col>
      <xdr:colOff>152400</xdr:colOff>
      <xdr:row>20</xdr:row>
      <xdr:rowOff>19050</xdr:rowOff>
    </xdr:from>
    <xdr:to>
      <xdr:col>8</xdr:col>
      <xdr:colOff>647700</xdr:colOff>
      <xdr:row>35</xdr:row>
      <xdr:rowOff>19050</xdr:rowOff>
    </xdr:to>
    <xdr:graphicFrame macro="">
      <xdr:nvGraphicFramePr>
        <xdr:cNvPr id="45956082" name="Chart 11">
          <a:extLst>
            <a:ext uri="{FF2B5EF4-FFF2-40B4-BE49-F238E27FC236}">
              <a16:creationId xmlns:a16="http://schemas.microsoft.com/office/drawing/2014/main" id="{00000000-0008-0000-0700-0000F2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95250</xdr:colOff>
      <xdr:row>36</xdr:row>
      <xdr:rowOff>38100</xdr:rowOff>
    </xdr:from>
    <xdr:to>
      <xdr:col>8</xdr:col>
      <xdr:colOff>628650</xdr:colOff>
      <xdr:row>51</xdr:row>
      <xdr:rowOff>0</xdr:rowOff>
    </xdr:to>
    <xdr:graphicFrame macro="">
      <xdr:nvGraphicFramePr>
        <xdr:cNvPr id="45956083" name="Chart 12">
          <a:extLst>
            <a:ext uri="{FF2B5EF4-FFF2-40B4-BE49-F238E27FC236}">
              <a16:creationId xmlns:a16="http://schemas.microsoft.com/office/drawing/2014/main" id="{00000000-0008-0000-0700-0000F3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338583</xdr:colOff>
      <xdr:row>20</xdr:row>
      <xdr:rowOff>33343</xdr:rowOff>
    </xdr:from>
    <xdr:to>
      <xdr:col>2</xdr:col>
      <xdr:colOff>142875</xdr:colOff>
      <xdr:row>20</xdr:row>
      <xdr:rowOff>176892</xdr:rowOff>
    </xdr:to>
    <xdr:sp macro="" textlink="">
      <xdr:nvSpPr>
        <xdr:cNvPr id="4195" name="Text Box 18">
          <a:extLst>
            <a:ext uri="{FF2B5EF4-FFF2-40B4-BE49-F238E27FC236}">
              <a16:creationId xmlns:a16="http://schemas.microsoft.com/office/drawing/2014/main" id="{00000000-0008-0000-0700-000063100000}"/>
            </a:ext>
          </a:extLst>
        </xdr:cNvPr>
        <xdr:cNvSpPr txBox="1">
          <a:spLocks noChangeArrowheads="1"/>
        </xdr:cNvSpPr>
      </xdr:nvSpPr>
      <xdr:spPr bwMode="auto">
        <a:xfrm>
          <a:off x="338583" y="3707272"/>
          <a:ext cx="913274" cy="143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xdr:txBody>
    </xdr:sp>
    <xdr:clientData/>
  </xdr:twoCellAnchor>
  <xdr:twoCellAnchor>
    <xdr:from>
      <xdr:col>8</xdr:col>
      <xdr:colOff>296129</xdr:colOff>
      <xdr:row>48</xdr:row>
      <xdr:rowOff>33088</xdr:rowOff>
    </xdr:from>
    <xdr:to>
      <xdr:col>8</xdr:col>
      <xdr:colOff>545371</xdr:colOff>
      <xdr:row>49</xdr:row>
      <xdr:rowOff>4513</xdr:rowOff>
    </xdr:to>
    <xdr:sp macro="" textlink="">
      <xdr:nvSpPr>
        <xdr:cNvPr id="4203" name="Text Box 35">
          <a:extLst>
            <a:ext uri="{FF2B5EF4-FFF2-40B4-BE49-F238E27FC236}">
              <a16:creationId xmlns:a16="http://schemas.microsoft.com/office/drawing/2014/main" id="{00000000-0008-0000-0700-00006B100000}"/>
            </a:ext>
          </a:extLst>
        </xdr:cNvPr>
        <xdr:cNvSpPr txBox="1">
          <a:spLocks noChangeArrowheads="1"/>
        </xdr:cNvSpPr>
      </xdr:nvSpPr>
      <xdr:spPr bwMode="auto">
        <a:xfrm>
          <a:off x="5366946" y="8642223"/>
          <a:ext cx="241300" cy="15459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8</xdr:col>
      <xdr:colOff>290869</xdr:colOff>
      <xdr:row>33</xdr:row>
      <xdr:rowOff>5798</xdr:rowOff>
    </xdr:from>
    <xdr:to>
      <xdr:col>8</xdr:col>
      <xdr:colOff>548771</xdr:colOff>
      <xdr:row>33</xdr:row>
      <xdr:rowOff>161549</xdr:rowOff>
    </xdr:to>
    <xdr:sp macro="" textlink="">
      <xdr:nvSpPr>
        <xdr:cNvPr id="4204" name="Text Box 36">
          <a:extLst>
            <a:ext uri="{FF2B5EF4-FFF2-40B4-BE49-F238E27FC236}">
              <a16:creationId xmlns:a16="http://schemas.microsoft.com/office/drawing/2014/main" id="{00000000-0008-0000-0700-00006C100000}"/>
            </a:ext>
          </a:extLst>
        </xdr:cNvPr>
        <xdr:cNvSpPr txBox="1">
          <a:spLocks noChangeArrowheads="1"/>
        </xdr:cNvSpPr>
      </xdr:nvSpPr>
      <xdr:spPr bwMode="auto">
        <a:xfrm>
          <a:off x="5361686" y="5867336"/>
          <a:ext cx="247650" cy="16316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ctr"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8</xdr:col>
      <xdr:colOff>286336</xdr:colOff>
      <xdr:row>17</xdr:row>
      <xdr:rowOff>25644</xdr:rowOff>
    </xdr:from>
    <xdr:to>
      <xdr:col>8</xdr:col>
      <xdr:colOff>510137</xdr:colOff>
      <xdr:row>18</xdr:row>
      <xdr:rowOff>17706</xdr:rowOff>
    </xdr:to>
    <xdr:sp macro="" textlink="">
      <xdr:nvSpPr>
        <xdr:cNvPr id="4205" name="Text Box 37">
          <a:extLst>
            <a:ext uri="{FF2B5EF4-FFF2-40B4-BE49-F238E27FC236}">
              <a16:creationId xmlns:a16="http://schemas.microsoft.com/office/drawing/2014/main" id="{00000000-0008-0000-0700-00006D100000}"/>
            </a:ext>
          </a:extLst>
        </xdr:cNvPr>
        <xdr:cNvSpPr txBox="1">
          <a:spLocks noChangeArrowheads="1"/>
        </xdr:cNvSpPr>
      </xdr:nvSpPr>
      <xdr:spPr bwMode="auto">
        <a:xfrm>
          <a:off x="5326673" y="3139586"/>
          <a:ext cx="236706" cy="17523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2</xdr:col>
      <xdr:colOff>587440</xdr:colOff>
      <xdr:row>2</xdr:row>
      <xdr:rowOff>176141</xdr:rowOff>
    </xdr:from>
    <xdr:to>
      <xdr:col>4</xdr:col>
      <xdr:colOff>85725</xdr:colOff>
      <xdr:row>3</xdr:row>
      <xdr:rowOff>152400</xdr:rowOff>
    </xdr:to>
    <xdr:sp macro="" textlink="">
      <xdr:nvSpPr>
        <xdr:cNvPr id="4206" name="Text Box 9">
          <a:extLst>
            <a:ext uri="{FF2B5EF4-FFF2-40B4-BE49-F238E27FC236}">
              <a16:creationId xmlns:a16="http://schemas.microsoft.com/office/drawing/2014/main" id="{00000000-0008-0000-0700-00006E100000}"/>
            </a:ext>
          </a:extLst>
        </xdr:cNvPr>
        <xdr:cNvSpPr txBox="1">
          <a:spLocks noChangeArrowheads="1"/>
        </xdr:cNvSpPr>
      </xdr:nvSpPr>
      <xdr:spPr bwMode="auto">
        <a:xfrm>
          <a:off x="1692340" y="538091"/>
          <a:ext cx="1003235" cy="1572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2</xdr:col>
      <xdr:colOff>622600</xdr:colOff>
      <xdr:row>36</xdr:row>
      <xdr:rowOff>45002</xdr:rowOff>
    </xdr:from>
    <xdr:to>
      <xdr:col>4</xdr:col>
      <xdr:colOff>34018</xdr:colOff>
      <xdr:row>37</xdr:row>
      <xdr:rowOff>34018</xdr:rowOff>
    </xdr:to>
    <xdr:sp macro="" textlink="">
      <xdr:nvSpPr>
        <xdr:cNvPr id="4210" name="Text Box 9">
          <a:extLst>
            <a:ext uri="{FF2B5EF4-FFF2-40B4-BE49-F238E27FC236}">
              <a16:creationId xmlns:a16="http://schemas.microsoft.com/office/drawing/2014/main" id="{00000000-0008-0000-0700-000072100000}"/>
            </a:ext>
          </a:extLst>
        </xdr:cNvPr>
        <xdr:cNvSpPr txBox="1">
          <a:spLocks noChangeArrowheads="1"/>
        </xdr:cNvSpPr>
      </xdr:nvSpPr>
      <xdr:spPr bwMode="auto">
        <a:xfrm>
          <a:off x="1731582" y="6658073"/>
          <a:ext cx="921811" cy="172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3</xdr:col>
      <xdr:colOff>9209</xdr:colOff>
      <xdr:row>20</xdr:row>
      <xdr:rowOff>22369</xdr:rowOff>
    </xdr:from>
    <xdr:to>
      <xdr:col>4</xdr:col>
      <xdr:colOff>61232</xdr:colOff>
      <xdr:row>20</xdr:row>
      <xdr:rowOff>163284</xdr:rowOff>
    </xdr:to>
    <xdr:sp macro="" textlink="">
      <xdr:nvSpPr>
        <xdr:cNvPr id="24" name="Text Box 9">
          <a:extLst>
            <a:ext uri="{FF2B5EF4-FFF2-40B4-BE49-F238E27FC236}">
              <a16:creationId xmlns:a16="http://schemas.microsoft.com/office/drawing/2014/main" id="{00000000-0008-0000-0700-000018000000}"/>
            </a:ext>
          </a:extLst>
        </xdr:cNvPr>
        <xdr:cNvSpPr txBox="1">
          <a:spLocks noChangeArrowheads="1"/>
        </xdr:cNvSpPr>
      </xdr:nvSpPr>
      <xdr:spPr bwMode="auto">
        <a:xfrm>
          <a:off x="1873388" y="3696298"/>
          <a:ext cx="807219" cy="14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3</xdr:col>
      <xdr:colOff>336387</xdr:colOff>
      <xdr:row>3</xdr:row>
      <xdr:rowOff>9604</xdr:rowOff>
    </xdr:from>
    <xdr:to>
      <xdr:col>5</xdr:col>
      <xdr:colOff>587376</xdr:colOff>
      <xdr:row>3</xdr:row>
      <xdr:rowOff>134937</xdr:rowOff>
    </xdr:to>
    <xdr:sp macro="" textlink="">
      <xdr:nvSpPr>
        <xdr:cNvPr id="17" name="Text Box 9">
          <a:extLst>
            <a:ext uri="{FF2B5EF4-FFF2-40B4-BE49-F238E27FC236}">
              <a16:creationId xmlns:a16="http://schemas.microsoft.com/office/drawing/2014/main" id="{00000000-0008-0000-0700-000011000000}"/>
            </a:ext>
          </a:extLst>
        </xdr:cNvPr>
        <xdr:cNvSpPr txBox="1">
          <a:spLocks noChangeArrowheads="1"/>
        </xdr:cNvSpPr>
      </xdr:nvSpPr>
      <xdr:spPr bwMode="auto">
        <a:xfrm>
          <a:off x="2193762" y="557292"/>
          <a:ext cx="1759114" cy="12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en-US" altLang="ja-JP" sz="800" b="0" i="0" u="none" strike="noStrike" baseline="0">
              <a:solidFill>
                <a:srgbClr val="000000"/>
              </a:solidFill>
              <a:latin typeface="HGSｺﾞｼｯｸM"/>
              <a:ea typeface="HGSｺﾞｼｯｸM"/>
            </a:rPr>
            <a:t>H24.3   H24.11</a:t>
          </a:r>
          <a:r>
            <a:rPr lang="ja-JP" altLang="en-US" sz="800" b="0" i="0" u="none" strike="noStrike" baseline="0">
              <a:solidFill>
                <a:srgbClr val="000000"/>
              </a:solidFill>
              <a:latin typeface="HGSｺﾞｼｯｸM"/>
              <a:ea typeface="HGSｺﾞｼｯｸM"/>
            </a:rPr>
            <a:t>　　</a:t>
          </a:r>
          <a:endParaRPr lang="ja-JP" altLang="en-US"/>
        </a:p>
      </xdr:txBody>
    </xdr:sp>
    <xdr:clientData/>
  </xdr:twoCellAnchor>
  <xdr:twoCellAnchor>
    <xdr:from>
      <xdr:col>3</xdr:col>
      <xdr:colOff>425336</xdr:colOff>
      <xdr:row>20</xdr:row>
      <xdr:rowOff>15875</xdr:rowOff>
    </xdr:from>
    <xdr:to>
      <xdr:col>5</xdr:col>
      <xdr:colOff>564697</xdr:colOff>
      <xdr:row>21</xdr:row>
      <xdr:rowOff>0</xdr:rowOff>
    </xdr:to>
    <xdr:sp macro="" textlink="">
      <xdr:nvSpPr>
        <xdr:cNvPr id="21" name="Text Box 9">
          <a:extLst>
            <a:ext uri="{FF2B5EF4-FFF2-40B4-BE49-F238E27FC236}">
              <a16:creationId xmlns:a16="http://schemas.microsoft.com/office/drawing/2014/main" id="{00000000-0008-0000-0700-000015000000}"/>
            </a:ext>
          </a:extLst>
        </xdr:cNvPr>
        <xdr:cNvSpPr txBox="1">
          <a:spLocks noChangeArrowheads="1"/>
        </xdr:cNvSpPr>
      </xdr:nvSpPr>
      <xdr:spPr bwMode="auto">
        <a:xfrm>
          <a:off x="2289515" y="3689804"/>
          <a:ext cx="1649753" cy="167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en-US" altLang="ja-JP" sz="800" b="0" i="0" u="none" strike="noStrike" baseline="0">
              <a:solidFill>
                <a:srgbClr val="000000"/>
              </a:solidFill>
              <a:latin typeface="HGSｺﾞｼｯｸM"/>
              <a:ea typeface="HGSｺﾞｼｯｸM"/>
            </a:rPr>
            <a:t>H24.3   H24.11</a:t>
          </a:r>
          <a:endParaRPr lang="ja-JP" altLang="en-US"/>
        </a:p>
      </xdr:txBody>
    </xdr:sp>
    <xdr:clientData/>
  </xdr:twoCellAnchor>
  <xdr:oneCellAnchor>
    <xdr:from>
      <xdr:col>7</xdr:col>
      <xdr:colOff>130080</xdr:colOff>
      <xdr:row>2</xdr:row>
      <xdr:rowOff>11034</xdr:rowOff>
    </xdr:from>
    <xdr:ext cx="1064907" cy="186974"/>
    <xdr:sp macro="" textlink="">
      <xdr:nvSpPr>
        <xdr:cNvPr id="18" name="Text Box 45">
          <a:extLst>
            <a:ext uri="{FF2B5EF4-FFF2-40B4-BE49-F238E27FC236}">
              <a16:creationId xmlns:a16="http://schemas.microsoft.com/office/drawing/2014/main" id="{00000000-0008-0000-0700-000012000000}"/>
            </a:ext>
          </a:extLst>
        </xdr:cNvPr>
        <xdr:cNvSpPr txBox="1">
          <a:spLocks noChangeArrowheads="1"/>
        </xdr:cNvSpPr>
      </xdr:nvSpPr>
      <xdr:spPr bwMode="auto">
        <a:xfrm>
          <a:off x="4997355" y="372984"/>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oneCellAnchor>
    <xdr:from>
      <xdr:col>7</xdr:col>
      <xdr:colOff>127214</xdr:colOff>
      <xdr:row>19</xdr:row>
      <xdr:rowOff>23035</xdr:rowOff>
    </xdr:from>
    <xdr:ext cx="1064907" cy="186974"/>
    <xdr:sp macro="" textlink="">
      <xdr:nvSpPr>
        <xdr:cNvPr id="19" name="Text Box 45">
          <a:extLst>
            <a:ext uri="{FF2B5EF4-FFF2-40B4-BE49-F238E27FC236}">
              <a16:creationId xmlns:a16="http://schemas.microsoft.com/office/drawing/2014/main" id="{00000000-0008-0000-0700-000013000000}"/>
            </a:ext>
          </a:extLst>
        </xdr:cNvPr>
        <xdr:cNvSpPr txBox="1">
          <a:spLocks noChangeArrowheads="1"/>
        </xdr:cNvSpPr>
      </xdr:nvSpPr>
      <xdr:spPr bwMode="auto">
        <a:xfrm>
          <a:off x="4994489" y="3461560"/>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oneCellAnchor>
    <xdr:from>
      <xdr:col>7</xdr:col>
      <xdr:colOff>130080</xdr:colOff>
      <xdr:row>35</xdr:row>
      <xdr:rowOff>11035</xdr:rowOff>
    </xdr:from>
    <xdr:ext cx="1064907" cy="186974"/>
    <xdr:sp macro="" textlink="">
      <xdr:nvSpPr>
        <xdr:cNvPr id="20" name="Text Box 45">
          <a:extLst>
            <a:ext uri="{FF2B5EF4-FFF2-40B4-BE49-F238E27FC236}">
              <a16:creationId xmlns:a16="http://schemas.microsoft.com/office/drawing/2014/main" id="{00000000-0008-0000-0700-000014000000}"/>
            </a:ext>
          </a:extLst>
        </xdr:cNvPr>
        <xdr:cNvSpPr txBox="1">
          <a:spLocks noChangeArrowheads="1"/>
        </xdr:cNvSpPr>
      </xdr:nvSpPr>
      <xdr:spPr bwMode="auto">
        <a:xfrm>
          <a:off x="4997355" y="6345160"/>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wsDr>
</file>

<file path=xl/drawings/drawing7.xml><?xml version="1.0" encoding="utf-8"?>
<c:userShapes xmlns:c="http://schemas.openxmlformats.org/drawingml/2006/chart">
  <cdr:relSizeAnchor xmlns:cdr="http://schemas.openxmlformats.org/drawingml/2006/chartDrawing">
    <cdr:from>
      <cdr:x>0.5891</cdr:x>
      <cdr:y>1.36052E-6</cdr:y>
    </cdr:from>
    <cdr:to>
      <cdr:x>0.80211</cdr:x>
      <cdr:y>0.05076</cdr:y>
    </cdr:to>
    <cdr:sp macro="" textlink="">
      <cdr:nvSpPr>
        <cdr:cNvPr id="2" name="Text Box 9"/>
        <cdr:cNvSpPr txBox="1">
          <a:spLocks xmlns:a="http://schemas.openxmlformats.org/drawingml/2006/main" noChangeArrowheads="1"/>
        </cdr:cNvSpPr>
      </cdr:nvSpPr>
      <cdr:spPr bwMode="auto">
        <a:xfrm xmlns:a="http://schemas.openxmlformats.org/drawingml/2006/main">
          <a:off x="3629497" y="4"/>
          <a:ext cx="1312391" cy="14922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drawings/drawing8.xml><?xml version="1.0" encoding="utf-8"?>
<c:userShapes xmlns:c="http://schemas.openxmlformats.org/drawingml/2006/chart">
  <cdr:relSizeAnchor xmlns:cdr="http://schemas.openxmlformats.org/drawingml/2006/chartDrawing">
    <cdr:from>
      <cdr:x>0.58453</cdr:x>
      <cdr:y>0.00815</cdr:y>
    </cdr:from>
    <cdr:to>
      <cdr:x>0.81348</cdr:x>
      <cdr:y>0.04741</cdr:y>
    </cdr:to>
    <cdr:sp macro="" textlink="">
      <cdr:nvSpPr>
        <cdr:cNvPr id="3" name="Text Box 9"/>
        <cdr:cNvSpPr txBox="1">
          <a:spLocks xmlns:a="http://schemas.openxmlformats.org/drawingml/2006/main" noChangeArrowheads="1"/>
        </cdr:cNvSpPr>
      </cdr:nvSpPr>
      <cdr:spPr bwMode="auto">
        <a:xfrm xmlns:a="http://schemas.openxmlformats.org/drawingml/2006/main">
          <a:off x="3586361" y="22457"/>
          <a:ext cx="1404739" cy="10817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drawings/drawing9.xml><?xml version="1.0" encoding="utf-8"?>
<c:userShapes xmlns:c="http://schemas.openxmlformats.org/drawingml/2006/chart">
  <cdr:relSizeAnchor xmlns:cdr="http://schemas.openxmlformats.org/drawingml/2006/chartDrawing">
    <cdr:from>
      <cdr:x>0.06211</cdr:x>
      <cdr:y>0.00192</cdr:y>
    </cdr:from>
    <cdr:to>
      <cdr:x>0.18735</cdr:x>
      <cdr:y>0.05358</cdr:y>
    </cdr:to>
    <cdr:sp macro="" textlink="">
      <cdr:nvSpPr>
        <cdr:cNvPr id="3" name="Text Box 18"/>
        <cdr:cNvSpPr txBox="1">
          <a:spLocks xmlns:a="http://schemas.openxmlformats.org/drawingml/2006/main" noChangeArrowheads="1"/>
        </cdr:cNvSpPr>
      </cdr:nvSpPr>
      <cdr:spPr bwMode="auto">
        <a:xfrm xmlns:a="http://schemas.openxmlformats.org/drawingml/2006/main">
          <a:off x="383440" y="5217"/>
          <a:ext cx="773167" cy="14038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cdr:txBody>
    </cdr:sp>
  </cdr:relSizeAnchor>
  <cdr:relSizeAnchor xmlns:cdr="http://schemas.openxmlformats.org/drawingml/2006/chartDrawing">
    <cdr:from>
      <cdr:x>0.35683</cdr:x>
      <cdr:y>0.00462</cdr:y>
    </cdr:from>
    <cdr:to>
      <cdr:x>0.61715</cdr:x>
      <cdr:y>0.05859</cdr:y>
    </cdr:to>
    <cdr:sp macro="" textlink="">
      <cdr:nvSpPr>
        <cdr:cNvPr id="4" name="Text Box 9"/>
        <cdr:cNvSpPr txBox="1">
          <a:spLocks xmlns:a="http://schemas.openxmlformats.org/drawingml/2006/main" noChangeArrowheads="1"/>
        </cdr:cNvSpPr>
      </cdr:nvSpPr>
      <cdr:spPr bwMode="auto">
        <a:xfrm xmlns:a="http://schemas.openxmlformats.org/drawingml/2006/main">
          <a:off x="2202913" y="12554"/>
          <a:ext cx="1607088" cy="14665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H24.3   H24.11</a:t>
          </a:r>
          <a:endParaRPr lang="ja-JP" altLang="en-US"/>
        </a:p>
      </cdr:txBody>
    </cdr:sp>
  </cdr:relSizeAnchor>
  <cdr:relSizeAnchor xmlns:cdr="http://schemas.openxmlformats.org/drawingml/2006/chartDrawing">
    <cdr:from>
      <cdr:x>0.59679</cdr:x>
      <cdr:y>0.00462</cdr:y>
    </cdr:from>
    <cdr:to>
      <cdr:x>0.82213</cdr:x>
      <cdr:y>0.06109</cdr:y>
    </cdr:to>
    <cdr:sp macro="" textlink="">
      <cdr:nvSpPr>
        <cdr:cNvPr id="6" name="Text Box 9"/>
        <cdr:cNvSpPr txBox="1">
          <a:spLocks xmlns:a="http://schemas.openxmlformats.org/drawingml/2006/main" noChangeArrowheads="1"/>
        </cdr:cNvSpPr>
      </cdr:nvSpPr>
      <cdr:spPr bwMode="auto">
        <a:xfrm xmlns:a="http://schemas.openxmlformats.org/drawingml/2006/main">
          <a:off x="3684319" y="12554"/>
          <a:ext cx="1391145" cy="15345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4"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9.xml"/><Relationship Id="rId1" Type="http://schemas.openxmlformats.org/officeDocument/2006/relationships/printerSettings" Target="../printerSettings/printerSettings49.bin"/><Relationship Id="rId5" Type="http://schemas.openxmlformats.org/officeDocument/2006/relationships/image" Target="../media/image2.wmf"/><Relationship Id="rId4" Type="http://schemas.openxmlformats.org/officeDocument/2006/relationships/oleObject" Target="../embeddings/oleObject1.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4" Type="http://schemas.openxmlformats.org/officeDocument/2006/relationships/drawing" Target="../drawings/drawing20.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3.pref.iwate.jp/webdb/view/outside/s14Tokei/top.html"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printerSettings" Target="../printerSettings/printerSettings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1.xml"/><Relationship Id="rId1" Type="http://schemas.openxmlformats.org/officeDocument/2006/relationships/printerSettings" Target="../printerSettings/printerSettings61.bin"/><Relationship Id="rId4" Type="http://schemas.openxmlformats.org/officeDocument/2006/relationships/comments" Target="../comments3.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comments" Target="../comments4.xml"/><Relationship Id="rId4" Type="http://schemas.openxmlformats.org/officeDocument/2006/relationships/vmlDrawing" Target="../drawings/vmlDrawing6.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K15"/>
  <sheetViews>
    <sheetView topLeftCell="A2" workbookViewId="0">
      <selection activeCell="K21" sqref="K21"/>
    </sheetView>
  </sheetViews>
  <sheetFormatPr defaultColWidth="7.625" defaultRowHeight="13.5"/>
  <cols>
    <col min="1" max="1" width="4" style="13" customWidth="1"/>
    <col min="2" max="2" width="10.375" style="13" customWidth="1"/>
    <col min="3" max="3" width="6.125" style="13" customWidth="1"/>
    <col min="4" max="4" width="10.375" style="13" customWidth="1"/>
    <col min="5" max="5" width="6.125" style="13" customWidth="1"/>
    <col min="6" max="6" width="10.375" style="13" customWidth="1"/>
    <col min="7" max="7" width="6.125" style="13" customWidth="1"/>
    <col min="8" max="8" width="3.625" style="13" customWidth="1"/>
    <col min="9" max="9" width="7.625" style="13" customWidth="1"/>
    <col min="10" max="10" width="4" style="13" customWidth="1"/>
    <col min="11" max="11" width="16" style="13" customWidth="1"/>
    <col min="12" max="16384" width="7.625" style="13"/>
  </cols>
  <sheetData>
    <row r="1" spans="1:11">
      <c r="B1" s="1378" t="s">
        <v>261</v>
      </c>
      <c r="C1" s="1378"/>
      <c r="D1" s="1378"/>
      <c r="E1" s="1378"/>
      <c r="F1" s="1378"/>
      <c r="G1" s="1378"/>
    </row>
    <row r="2" spans="1:11" ht="6" customHeight="1"/>
    <row r="3" spans="1:11" ht="30" customHeight="1">
      <c r="A3" s="14"/>
      <c r="B3" s="1381" t="s">
        <v>262</v>
      </c>
      <c r="C3" s="1381"/>
      <c r="D3" s="1381"/>
      <c r="E3" s="1381"/>
      <c r="F3" s="1381"/>
      <c r="G3" s="1381"/>
      <c r="H3" s="15"/>
    </row>
    <row r="4" spans="1:11" ht="6" customHeight="1"/>
    <row r="5" spans="1:11" ht="30" customHeight="1" thickBot="1">
      <c r="A5" s="16"/>
      <c r="B5" s="1380" t="s">
        <v>263</v>
      </c>
      <c r="C5" s="1380"/>
      <c r="D5" s="1380"/>
      <c r="E5" s="1380"/>
      <c r="F5" s="1380"/>
      <c r="G5" s="1380"/>
      <c r="H5" s="17"/>
    </row>
    <row r="6" spans="1:11" ht="42" customHeight="1" thickTop="1" thickBot="1">
      <c r="A6" s="16"/>
      <c r="B6" s="18">
        <v>8</v>
      </c>
      <c r="C6" s="19" t="s">
        <v>264</v>
      </c>
      <c r="D6" s="18">
        <v>6</v>
      </c>
      <c r="E6" s="19"/>
      <c r="F6" s="999" t="s">
        <v>829</v>
      </c>
      <c r="G6" s="19" t="s">
        <v>265</v>
      </c>
      <c r="H6" s="17"/>
      <c r="K6" s="20"/>
    </row>
    <row r="7" spans="1:11" ht="30" customHeight="1" thickTop="1">
      <c r="A7" s="16"/>
      <c r="B7" s="17"/>
      <c r="C7" s="17"/>
      <c r="D7" s="17"/>
      <c r="E7" s="17"/>
      <c r="F7" s="17"/>
      <c r="G7" s="17"/>
      <c r="H7" s="17"/>
      <c r="K7" s="20"/>
    </row>
    <row r="8" spans="1:11" ht="6" customHeight="1">
      <c r="K8" s="20"/>
    </row>
    <row r="9" spans="1:11" ht="15" customHeight="1">
      <c r="A9" s="21"/>
      <c r="B9" s="1379" t="s">
        <v>266</v>
      </c>
      <c r="C9" s="1379"/>
      <c r="D9" s="1379"/>
      <c r="E9" s="1379"/>
      <c r="F9" s="22"/>
      <c r="G9" s="22"/>
      <c r="H9" s="23"/>
      <c r="J9" s="24" t="s">
        <v>267</v>
      </c>
      <c r="K9" s="25">
        <f ca="1">NOW()</f>
        <v>46205.465269675929</v>
      </c>
    </row>
    <row r="10" spans="1:11" ht="18" customHeight="1">
      <c r="A10" s="21"/>
      <c r="B10" s="26">
        <f>IF(D6&lt;4,B6-1,B6)</f>
        <v>8</v>
      </c>
      <c r="C10" s="27" t="s">
        <v>264</v>
      </c>
      <c r="D10" s="26">
        <f>IF(D6&lt;=3, D6+9,D6-3)</f>
        <v>3</v>
      </c>
      <c r="E10" s="28" t="s">
        <v>189</v>
      </c>
      <c r="F10" s="29"/>
      <c r="G10" s="28"/>
      <c r="H10" s="23"/>
      <c r="J10" s="30" t="s">
        <v>268</v>
      </c>
      <c r="K10" s="31">
        <v>39966.555107523149</v>
      </c>
    </row>
    <row r="11" spans="1:11" ht="8.25" customHeight="1">
      <c r="A11" s="21"/>
      <c r="B11" s="23"/>
      <c r="C11" s="23"/>
      <c r="D11" s="23"/>
      <c r="E11" s="23"/>
      <c r="F11" s="23"/>
      <c r="G11" s="23"/>
      <c r="H11" s="23"/>
    </row>
    <row r="15" spans="1:11">
      <c r="F15" s="1151" t="s">
        <v>749</v>
      </c>
    </row>
  </sheetData>
  <sheetProtection insertColumns="0" insertRows="0" deleteColumns="0" deleteRows="0"/>
  <customSheetViews>
    <customSheetView guid="{7EBA91D6-F088-446F-A1CC-E1462A1CA2C3}" showRuler="0" topLeftCell="A3">
      <selection activeCell="A3" sqref="A3"/>
      <pageMargins left="0.75" right="0.75" top="1" bottom="1" header="0.51200000000000001" footer="0.51200000000000001"/>
      <pageSetup paperSize="9" orientation="portrait" horizontalDpi="300" verticalDpi="300" r:id="rId1"/>
      <headerFooter alignWithMargins="0"/>
    </customSheetView>
    <customSheetView guid="{883B7A2B-3CB3-449D-A461-655262B722BC}" showRuler="0" topLeftCell="A3">
      <selection activeCell="A3" sqref="A3"/>
      <pageMargins left="0.75" right="0.75" top="1" bottom="1" header="0.51200000000000001" footer="0.51200000000000001"/>
      <pageSetup paperSize="9" orientation="portrait" horizontalDpi="300" verticalDpi="300" r:id="rId2"/>
      <headerFooter alignWithMargins="0"/>
    </customSheetView>
  </customSheetViews>
  <mergeCells count="4">
    <mergeCell ref="B1:G1"/>
    <mergeCell ref="B9:E9"/>
    <mergeCell ref="B5:G5"/>
    <mergeCell ref="B3:G3"/>
  </mergeCells>
  <phoneticPr fontId="3"/>
  <pageMargins left="0.75" right="0.75" top="1" bottom="1" header="0.51200000000000001" footer="0.51200000000000001"/>
  <pageSetup paperSize="9" orientation="portrait" horizontalDpi="300" verticalDpi="300" r:id="rId3"/>
  <headerFooter alignWithMargins="0"/>
  <drawing r:id="rId4"/>
  <legacyDrawing r:id="rId5"/>
  <controls>
    <mc:AlternateContent xmlns:mc="http://schemas.openxmlformats.org/markup-compatibility/2006">
      <mc:Choice Requires="x14">
        <control shapeId="83970" r:id="rId6" name="CommandButton1">
          <controlPr defaultSize="0" autoLine="0" autoPict="0" r:id="rId7">
            <anchor moveWithCells="1">
              <from>
                <xdr:col>10</xdr:col>
                <xdr:colOff>47625</xdr:colOff>
                <xdr:row>5</xdr:row>
                <xdr:rowOff>276225</xdr:rowOff>
              </from>
              <to>
                <xdr:col>10</xdr:col>
                <xdr:colOff>1190625</xdr:colOff>
                <xdr:row>6</xdr:row>
                <xdr:rowOff>352425</xdr:rowOff>
              </to>
            </anchor>
          </controlPr>
        </control>
      </mc:Choice>
      <mc:Fallback>
        <control shapeId="83970" r:id="rId6" name="CommandButton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A1:GJ65"/>
  <sheetViews>
    <sheetView view="pageBreakPreview" zoomScaleNormal="100" zoomScaleSheetLayoutView="100" workbookViewId="0">
      <pane xSplit="3" ySplit="9" topLeftCell="D10" activePane="bottomRight" state="frozen"/>
      <selection activeCell="B18" sqref="A15:I25"/>
      <selection pane="topRight" activeCell="B18" sqref="A15:I25"/>
      <selection pane="bottomLeft" activeCell="B18" sqref="A15:I25"/>
      <selection pane="bottomRight" activeCell="I33" sqref="I33"/>
    </sheetView>
  </sheetViews>
  <sheetFormatPr defaultColWidth="8.125" defaultRowHeight="13.5"/>
  <cols>
    <col min="1" max="1" width="1.75" style="249" customWidth="1"/>
    <col min="2" max="2" width="4" style="245" customWidth="1"/>
    <col min="3" max="3" width="3.875" style="245" customWidth="1"/>
    <col min="4" max="4" width="12.125" style="254" customWidth="1"/>
    <col min="5" max="7" width="12.125" style="252" customWidth="1"/>
    <col min="8" max="8" width="12.125" style="253" customWidth="1"/>
    <col min="9" max="10" width="12.125" style="252" customWidth="1"/>
    <col min="11" max="11" width="1.125" customWidth="1"/>
    <col min="31" max="16384" width="8.125" style="249"/>
  </cols>
  <sheetData>
    <row r="1" spans="1:192" s="245" customFormat="1" ht="21" customHeight="1">
      <c r="B1" s="258" t="s">
        <v>56</v>
      </c>
      <c r="C1" s="216"/>
      <c r="D1" s="216"/>
      <c r="E1" s="1232"/>
      <c r="F1" s="216"/>
      <c r="G1" s="216"/>
      <c r="H1" s="247"/>
      <c r="I1" s="248"/>
      <c r="J1" s="248"/>
    </row>
    <row r="2" spans="1:192" ht="15" customHeight="1">
      <c r="B2" s="250"/>
      <c r="C2" s="246"/>
      <c r="D2" s="251"/>
    </row>
    <row r="3" spans="1:192" ht="15" customHeight="1">
      <c r="B3" s="1502" t="s">
        <v>544</v>
      </c>
      <c r="C3" s="1502"/>
      <c r="D3" s="1502"/>
      <c r="E3" s="1502"/>
      <c r="F3" s="1502"/>
      <c r="G3" s="1502"/>
      <c r="H3" s="1502"/>
      <c r="I3" s="1502"/>
      <c r="J3" s="1502"/>
    </row>
    <row r="4" spans="1:192" ht="15" customHeight="1">
      <c r="B4" s="696"/>
      <c r="C4" s="689" t="s">
        <v>551</v>
      </c>
      <c r="D4" s="446" t="s">
        <v>390</v>
      </c>
      <c r="E4" s="1233" t="s">
        <v>151</v>
      </c>
      <c r="F4" s="446" t="s">
        <v>152</v>
      </c>
      <c r="G4" s="446" t="s">
        <v>153</v>
      </c>
      <c r="H4" s="446" t="s">
        <v>154</v>
      </c>
      <c r="I4" s="446" t="s">
        <v>155</v>
      </c>
      <c r="J4" s="446" t="s">
        <v>156</v>
      </c>
    </row>
    <row r="5" spans="1:192" s="245" customFormat="1" ht="15" customHeight="1">
      <c r="B5" s="690"/>
      <c r="C5" s="691"/>
      <c r="D5" s="1500" t="s">
        <v>489</v>
      </c>
      <c r="E5" s="1505" t="s">
        <v>492</v>
      </c>
      <c r="F5" s="1505" t="s">
        <v>491</v>
      </c>
      <c r="G5" s="1507" t="s">
        <v>395</v>
      </c>
      <c r="H5" s="1507" t="s">
        <v>394</v>
      </c>
      <c r="I5" s="1503" t="s">
        <v>760</v>
      </c>
      <c r="J5" s="1503" t="s">
        <v>761</v>
      </c>
    </row>
    <row r="6" spans="1:192" ht="15" customHeight="1">
      <c r="B6" s="447"/>
      <c r="C6" s="249"/>
      <c r="D6" s="1501"/>
      <c r="E6" s="1508"/>
      <c r="F6" s="1504"/>
      <c r="G6" s="1504"/>
      <c r="H6" s="1504"/>
      <c r="I6" s="1510"/>
      <c r="J6" s="1504"/>
    </row>
    <row r="7" spans="1:192" ht="15" customHeight="1">
      <c r="B7" s="447"/>
      <c r="C7" s="249"/>
      <c r="D7" s="1501"/>
      <c r="E7" s="1509"/>
      <c r="F7" s="1506"/>
      <c r="G7" s="1506"/>
      <c r="H7" s="1504"/>
      <c r="I7" s="1510"/>
      <c r="J7" s="1504"/>
    </row>
    <row r="8" spans="1:192" ht="15" customHeight="1">
      <c r="B8" s="447"/>
      <c r="C8" s="249"/>
      <c r="D8" s="1501"/>
      <c r="E8" s="1509"/>
      <c r="F8" s="1506"/>
      <c r="G8" s="1506"/>
      <c r="H8" s="1504"/>
      <c r="I8" s="1501"/>
      <c r="J8" s="1504"/>
    </row>
    <row r="9" spans="1:192" ht="15" customHeight="1">
      <c r="A9" s="250"/>
      <c r="B9" s="1337" t="s">
        <v>827</v>
      </c>
      <c r="C9" s="448"/>
      <c r="D9" s="808" t="s">
        <v>576</v>
      </c>
      <c r="E9" s="1161" t="s">
        <v>752</v>
      </c>
      <c r="F9" s="1161" t="s">
        <v>752</v>
      </c>
      <c r="G9" s="809" t="s">
        <v>392</v>
      </c>
      <c r="H9" s="809" t="s">
        <v>393</v>
      </c>
      <c r="I9" s="810" t="s">
        <v>472</v>
      </c>
      <c r="J9" s="810" t="s">
        <v>391</v>
      </c>
      <c r="AE9" s="250"/>
      <c r="AF9" s="250"/>
      <c r="AG9" s="250"/>
      <c r="AH9" s="250"/>
      <c r="AI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row>
    <row r="10" spans="1:192" ht="15" customHeight="1">
      <c r="B10" s="1008" t="str">
        <f>"Ｒ"&amp;DBCS(初期登録!B$10-3)</f>
        <v>Ｒ５</v>
      </c>
      <c r="C10" s="768">
        <v>1</v>
      </c>
      <c r="D10" s="901">
        <v>6343.8</v>
      </c>
      <c r="E10" s="903">
        <v>81.7</v>
      </c>
      <c r="F10" s="940">
        <v>91.2</v>
      </c>
      <c r="G10" s="811">
        <v>3978</v>
      </c>
      <c r="H10" s="902">
        <v>563</v>
      </c>
      <c r="I10" s="811">
        <v>2</v>
      </c>
      <c r="J10" s="1271">
        <v>87.3</v>
      </c>
      <c r="K10" s="1288"/>
    </row>
    <row r="11" spans="1:192" ht="15" customHeight="1">
      <c r="B11" s="996"/>
      <c r="C11" s="567">
        <v>2</v>
      </c>
      <c r="D11" s="904">
        <v>6737</v>
      </c>
      <c r="E11" s="784">
        <v>81.3</v>
      </c>
      <c r="F11" s="927">
        <v>100.3</v>
      </c>
      <c r="G11" s="568">
        <v>3959</v>
      </c>
      <c r="H11" s="812">
        <v>532</v>
      </c>
      <c r="I11" s="568">
        <v>1</v>
      </c>
      <c r="J11" s="1272">
        <v>86.7</v>
      </c>
      <c r="K11" s="1288"/>
    </row>
    <row r="12" spans="1:192" ht="15" customHeight="1">
      <c r="B12" s="996"/>
      <c r="C12" s="567">
        <v>3</v>
      </c>
      <c r="D12" s="904">
        <v>5878.6</v>
      </c>
      <c r="E12" s="784">
        <v>82.2</v>
      </c>
      <c r="F12" s="927">
        <v>98.8</v>
      </c>
      <c r="G12" s="568">
        <v>3140</v>
      </c>
      <c r="H12" s="812">
        <v>670</v>
      </c>
      <c r="I12" s="568">
        <v>4</v>
      </c>
      <c r="J12" s="1272">
        <v>86</v>
      </c>
      <c r="K12" s="1288"/>
    </row>
    <row r="13" spans="1:192" ht="15" customHeight="1">
      <c r="B13" s="998"/>
      <c r="C13" s="567">
        <v>4</v>
      </c>
      <c r="D13" s="904">
        <v>6132.9</v>
      </c>
      <c r="E13" s="784">
        <v>82.3</v>
      </c>
      <c r="F13" s="927">
        <v>106.4</v>
      </c>
      <c r="G13" s="568">
        <v>3782</v>
      </c>
      <c r="H13" s="812">
        <v>503</v>
      </c>
      <c r="I13" s="568">
        <v>5</v>
      </c>
      <c r="J13" s="1272">
        <v>88.3</v>
      </c>
      <c r="K13" s="1288"/>
    </row>
    <row r="14" spans="1:192" ht="15" customHeight="1">
      <c r="B14" s="1000"/>
      <c r="C14" s="567">
        <v>5</v>
      </c>
      <c r="D14" s="904">
        <v>6023</v>
      </c>
      <c r="E14" s="784">
        <v>79.900000000000006</v>
      </c>
      <c r="F14" s="927">
        <v>103.1</v>
      </c>
      <c r="G14" s="568">
        <v>3805</v>
      </c>
      <c r="H14" s="812">
        <v>617</v>
      </c>
      <c r="I14" s="568">
        <v>8</v>
      </c>
      <c r="J14" s="1272">
        <v>90.7</v>
      </c>
      <c r="K14" s="1288"/>
    </row>
    <row r="15" spans="1:192" ht="15" customHeight="1">
      <c r="B15" s="996"/>
      <c r="C15" s="567">
        <v>6</v>
      </c>
      <c r="D15" s="904">
        <v>6280</v>
      </c>
      <c r="E15" s="784">
        <v>85.4</v>
      </c>
      <c r="F15" s="927">
        <v>128.9</v>
      </c>
      <c r="G15" s="568">
        <v>3810</v>
      </c>
      <c r="H15" s="812">
        <v>554</v>
      </c>
      <c r="I15" s="568">
        <v>3</v>
      </c>
      <c r="J15" s="1272">
        <v>93</v>
      </c>
      <c r="K15" s="1288"/>
    </row>
    <row r="16" spans="1:192" ht="15" customHeight="1">
      <c r="B16" s="996"/>
      <c r="C16" s="567">
        <v>7</v>
      </c>
      <c r="D16" s="904">
        <v>6043.8</v>
      </c>
      <c r="E16" s="784">
        <v>76.599999999999994</v>
      </c>
      <c r="F16" s="927">
        <v>92.8</v>
      </c>
      <c r="G16" s="568">
        <v>3521</v>
      </c>
      <c r="H16" s="812">
        <v>572</v>
      </c>
      <c r="I16" s="568">
        <v>4</v>
      </c>
      <c r="J16" s="1272">
        <v>96.7</v>
      </c>
      <c r="K16" s="1288"/>
    </row>
    <row r="17" spans="2:11" ht="15" customHeight="1">
      <c r="B17" s="996"/>
      <c r="C17" s="567">
        <v>8</v>
      </c>
      <c r="D17" s="904">
        <v>6145.2</v>
      </c>
      <c r="E17" s="784">
        <v>66.8</v>
      </c>
      <c r="F17" s="927">
        <v>86.9</v>
      </c>
      <c r="G17" s="568">
        <v>3718</v>
      </c>
      <c r="H17" s="812">
        <v>781</v>
      </c>
      <c r="I17" s="568">
        <v>6</v>
      </c>
      <c r="J17" s="1272">
        <v>100.3</v>
      </c>
      <c r="K17" s="1288"/>
    </row>
    <row r="18" spans="2:11" ht="15" customHeight="1">
      <c r="B18" s="996"/>
      <c r="C18" s="567">
        <v>9</v>
      </c>
      <c r="D18" s="904">
        <v>6550.2</v>
      </c>
      <c r="E18" s="784">
        <v>76.099999999999994</v>
      </c>
      <c r="F18" s="927">
        <v>92.4</v>
      </c>
      <c r="G18" s="568">
        <v>3533</v>
      </c>
      <c r="H18" s="812">
        <v>544</v>
      </c>
      <c r="I18" s="568">
        <v>3</v>
      </c>
      <c r="J18" s="1272">
        <v>104</v>
      </c>
      <c r="K18" s="1288"/>
    </row>
    <row r="19" spans="2:11" ht="15" customHeight="1">
      <c r="B19" s="996"/>
      <c r="C19" s="567">
        <v>10</v>
      </c>
      <c r="D19" s="904">
        <v>5971.3</v>
      </c>
      <c r="E19" s="784">
        <v>77.2</v>
      </c>
      <c r="F19" s="927">
        <v>95.3</v>
      </c>
      <c r="G19" s="568">
        <v>3748</v>
      </c>
      <c r="H19" s="812">
        <v>432</v>
      </c>
      <c r="I19" s="568">
        <v>8</v>
      </c>
      <c r="J19" s="1272">
        <v>101.7</v>
      </c>
      <c r="K19" s="1288"/>
    </row>
    <row r="20" spans="2:11" ht="15" customHeight="1">
      <c r="B20" s="996"/>
      <c r="C20" s="567">
        <v>11</v>
      </c>
      <c r="D20" s="904">
        <v>6052.2</v>
      </c>
      <c r="E20" s="784">
        <v>77.2</v>
      </c>
      <c r="F20" s="927">
        <v>100.7</v>
      </c>
      <c r="G20" s="568">
        <v>3863</v>
      </c>
      <c r="H20" s="812">
        <v>520</v>
      </c>
      <c r="I20" s="568">
        <v>7</v>
      </c>
      <c r="J20" s="1272">
        <v>99.3</v>
      </c>
      <c r="K20" s="1288"/>
    </row>
    <row r="21" spans="2:11" ht="15" customHeight="1">
      <c r="B21" s="997"/>
      <c r="C21" s="787">
        <v>12</v>
      </c>
      <c r="D21" s="907">
        <v>6510.2</v>
      </c>
      <c r="E21" s="910">
        <v>75.7</v>
      </c>
      <c r="F21" s="928">
        <v>98.4</v>
      </c>
      <c r="G21" s="908">
        <v>3729</v>
      </c>
      <c r="H21" s="909">
        <v>513</v>
      </c>
      <c r="I21" s="908">
        <v>4</v>
      </c>
      <c r="J21" s="1273">
        <v>97</v>
      </c>
      <c r="K21" s="1288"/>
    </row>
    <row r="22" spans="2:11" ht="15" customHeight="1">
      <c r="B22" s="1008" t="str">
        <f>"Ｒ"&amp;DBCS(初期登録!B$10-2)</f>
        <v>Ｒ６</v>
      </c>
      <c r="C22" s="768">
        <v>1</v>
      </c>
      <c r="D22" s="905">
        <v>5959.4</v>
      </c>
      <c r="E22" s="833">
        <v>74.8</v>
      </c>
      <c r="F22" s="929">
        <v>72.599999999999994</v>
      </c>
      <c r="G22" s="832">
        <v>3203</v>
      </c>
      <c r="H22" s="906">
        <v>428</v>
      </c>
      <c r="I22" s="832">
        <v>3</v>
      </c>
      <c r="J22" s="1274">
        <v>95.7</v>
      </c>
      <c r="K22" s="1288"/>
    </row>
    <row r="23" spans="2:11" ht="15" customHeight="1">
      <c r="B23" s="996"/>
      <c r="C23" s="567">
        <v>2</v>
      </c>
      <c r="D23" s="904">
        <v>6066.9</v>
      </c>
      <c r="E23" s="784">
        <v>74.099999999999994</v>
      </c>
      <c r="F23" s="927">
        <v>89.5</v>
      </c>
      <c r="G23" s="568">
        <v>2857</v>
      </c>
      <c r="H23" s="812">
        <v>489</v>
      </c>
      <c r="I23" s="568">
        <v>9</v>
      </c>
      <c r="J23" s="1272">
        <v>94.3</v>
      </c>
      <c r="K23" s="1288"/>
    </row>
    <row r="24" spans="2:11" ht="15" customHeight="1">
      <c r="B24" s="996"/>
      <c r="C24" s="567">
        <v>3</v>
      </c>
      <c r="D24" s="904">
        <v>6233.5</v>
      </c>
      <c r="E24" s="784">
        <v>74.099999999999994</v>
      </c>
      <c r="F24" s="927">
        <v>95.7</v>
      </c>
      <c r="G24" s="568">
        <v>3120</v>
      </c>
      <c r="H24" s="812">
        <v>497</v>
      </c>
      <c r="I24" s="568">
        <v>4</v>
      </c>
      <c r="J24" s="1272">
        <v>93</v>
      </c>
      <c r="K24" s="1288"/>
    </row>
    <row r="25" spans="2:11" ht="15" customHeight="1">
      <c r="B25" s="998"/>
      <c r="C25" s="567">
        <v>4</v>
      </c>
      <c r="D25" s="904">
        <v>6048.9</v>
      </c>
      <c r="E25" s="784">
        <v>75.3</v>
      </c>
      <c r="F25" s="927">
        <v>102.4</v>
      </c>
      <c r="G25" s="568">
        <v>3261</v>
      </c>
      <c r="H25" s="812">
        <v>771</v>
      </c>
      <c r="I25" s="568">
        <v>3</v>
      </c>
      <c r="J25" s="1272">
        <v>92.7</v>
      </c>
      <c r="K25" s="1288"/>
    </row>
    <row r="26" spans="2:11" ht="15" customHeight="1">
      <c r="B26" s="1000"/>
      <c r="C26" s="567">
        <v>5</v>
      </c>
      <c r="D26" s="904">
        <v>6284.5</v>
      </c>
      <c r="E26" s="784">
        <v>77.7</v>
      </c>
      <c r="F26" s="927">
        <v>106.7</v>
      </c>
      <c r="G26" s="568">
        <v>3437</v>
      </c>
      <c r="H26" s="812">
        <v>391</v>
      </c>
      <c r="I26" s="568">
        <v>8</v>
      </c>
      <c r="J26" s="1272">
        <v>92.3</v>
      </c>
      <c r="K26" s="1288"/>
    </row>
    <row r="27" spans="2:11" ht="15" customHeight="1">
      <c r="B27" s="996"/>
      <c r="C27" s="567">
        <v>6</v>
      </c>
      <c r="D27" s="904">
        <v>6006.4</v>
      </c>
      <c r="E27" s="784">
        <v>74.5</v>
      </c>
      <c r="F27" s="927">
        <v>99.3</v>
      </c>
      <c r="G27" s="568">
        <v>3526</v>
      </c>
      <c r="H27" s="812">
        <v>410</v>
      </c>
      <c r="I27" s="568">
        <v>6</v>
      </c>
      <c r="J27" s="1272">
        <v>92</v>
      </c>
      <c r="K27" s="1288"/>
    </row>
    <row r="28" spans="2:11" ht="15" customHeight="1">
      <c r="B28" s="996"/>
      <c r="C28" s="567">
        <v>7</v>
      </c>
      <c r="D28" s="904">
        <v>6061.3</v>
      </c>
      <c r="E28" s="784">
        <v>74.400000000000006</v>
      </c>
      <c r="F28" s="927">
        <v>94.7</v>
      </c>
      <c r="G28" s="568">
        <v>3730</v>
      </c>
      <c r="H28" s="812">
        <v>495</v>
      </c>
      <c r="I28" s="568">
        <v>9</v>
      </c>
      <c r="J28" s="1272">
        <v>93.3</v>
      </c>
      <c r="K28" s="1288"/>
    </row>
    <row r="29" spans="2:11" ht="15" customHeight="1">
      <c r="B29" s="996"/>
      <c r="C29" s="567">
        <v>8</v>
      </c>
      <c r="D29" s="904">
        <v>6188.7</v>
      </c>
      <c r="E29" s="784">
        <v>73.3</v>
      </c>
      <c r="F29" s="927">
        <v>80.5</v>
      </c>
      <c r="G29" s="568">
        <v>3701</v>
      </c>
      <c r="H29" s="812">
        <v>567</v>
      </c>
      <c r="I29" s="568">
        <v>8</v>
      </c>
      <c r="J29" s="1272">
        <v>94.7</v>
      </c>
      <c r="K29" s="1288"/>
    </row>
    <row r="30" spans="2:11" ht="15" customHeight="1">
      <c r="B30" s="996"/>
      <c r="C30" s="567">
        <v>9</v>
      </c>
      <c r="D30" s="904">
        <v>5862.2</v>
      </c>
      <c r="E30" s="784">
        <v>75.7</v>
      </c>
      <c r="F30" s="927">
        <v>103.7</v>
      </c>
      <c r="G30" s="568">
        <v>3748</v>
      </c>
      <c r="H30" s="812">
        <v>340</v>
      </c>
      <c r="I30" s="568">
        <v>5</v>
      </c>
      <c r="J30" s="1272">
        <v>96</v>
      </c>
      <c r="K30" s="1288"/>
    </row>
    <row r="31" spans="2:11" ht="15" customHeight="1">
      <c r="B31" s="996"/>
      <c r="C31" s="567">
        <v>10</v>
      </c>
      <c r="D31" s="904">
        <v>5890.8</v>
      </c>
      <c r="E31" s="784">
        <v>73.2</v>
      </c>
      <c r="F31" s="927">
        <v>108.3</v>
      </c>
      <c r="G31" s="568">
        <v>3514</v>
      </c>
      <c r="H31" s="812">
        <v>528</v>
      </c>
      <c r="I31" s="568">
        <v>7</v>
      </c>
      <c r="J31" s="1272">
        <v>96.3</v>
      </c>
      <c r="K31" s="1288"/>
    </row>
    <row r="32" spans="2:11" ht="15" customHeight="1">
      <c r="B32" s="996"/>
      <c r="C32" s="567">
        <v>11</v>
      </c>
      <c r="D32" s="904">
        <v>5937.6</v>
      </c>
      <c r="E32" s="784">
        <v>73.5</v>
      </c>
      <c r="F32" s="927">
        <v>103.7</v>
      </c>
      <c r="G32" s="568">
        <v>3443</v>
      </c>
      <c r="H32" s="812">
        <v>502</v>
      </c>
      <c r="I32" s="568">
        <v>8</v>
      </c>
      <c r="J32" s="1272">
        <v>96.7</v>
      </c>
      <c r="K32" s="1288"/>
    </row>
    <row r="33" spans="2:11" ht="15" customHeight="1">
      <c r="B33" s="997"/>
      <c r="C33" s="787">
        <v>12</v>
      </c>
      <c r="D33" s="907">
        <v>5760.7</v>
      </c>
      <c r="E33" s="910">
        <v>73.599999999999994</v>
      </c>
      <c r="F33" s="928">
        <v>102.3</v>
      </c>
      <c r="G33" s="908">
        <v>3424</v>
      </c>
      <c r="H33" s="909">
        <v>519</v>
      </c>
      <c r="I33" s="908">
        <v>6</v>
      </c>
      <c r="J33" s="1273">
        <v>97</v>
      </c>
      <c r="K33" s="1288"/>
    </row>
    <row r="34" spans="2:11" ht="15" customHeight="1">
      <c r="B34" s="1008" t="str">
        <f>"Ｒ"&amp;DBCS(初期登録!B$10-1)</f>
        <v>Ｒ７</v>
      </c>
      <c r="C34" s="768">
        <v>1</v>
      </c>
      <c r="D34" s="905">
        <v>5966.4</v>
      </c>
      <c r="E34" s="833">
        <v>75.900000000000006</v>
      </c>
      <c r="F34" s="929">
        <v>114.8</v>
      </c>
      <c r="G34" s="832">
        <v>3394</v>
      </c>
      <c r="H34" s="906">
        <v>492</v>
      </c>
      <c r="I34" s="832">
        <v>4</v>
      </c>
      <c r="J34" s="1274">
        <v>97.7</v>
      </c>
      <c r="K34" s="1288"/>
    </row>
    <row r="35" spans="2:11" ht="15" customHeight="1">
      <c r="B35" s="996"/>
      <c r="C35" s="567">
        <v>2</v>
      </c>
      <c r="D35" s="904">
        <v>5875.1</v>
      </c>
      <c r="E35" s="784">
        <v>76.2</v>
      </c>
      <c r="F35" s="927">
        <v>121.8</v>
      </c>
      <c r="G35" s="568">
        <v>3453</v>
      </c>
      <c r="H35" s="812">
        <v>600</v>
      </c>
      <c r="I35" s="568">
        <v>9</v>
      </c>
      <c r="J35" s="1272">
        <v>98.3</v>
      </c>
      <c r="K35" s="1288"/>
    </row>
    <row r="36" spans="2:11" ht="15" customHeight="1">
      <c r="B36" s="996"/>
      <c r="C36" s="567">
        <v>3</v>
      </c>
      <c r="D36" s="904">
        <v>5860</v>
      </c>
      <c r="E36" s="784">
        <v>70.900000000000006</v>
      </c>
      <c r="F36" s="927">
        <v>115.7</v>
      </c>
      <c r="G36" s="568">
        <v>3434</v>
      </c>
      <c r="H36" s="812">
        <v>584</v>
      </c>
      <c r="I36" s="568">
        <v>7</v>
      </c>
      <c r="J36" s="1272">
        <v>99</v>
      </c>
      <c r="K36" s="1288"/>
    </row>
    <row r="37" spans="2:11" ht="15" customHeight="1">
      <c r="B37" s="998"/>
      <c r="C37" s="567">
        <v>4</v>
      </c>
      <c r="D37" s="904">
        <v>6259.2</v>
      </c>
      <c r="E37" s="784">
        <v>85.5</v>
      </c>
      <c r="F37" s="927">
        <v>107.6</v>
      </c>
      <c r="G37" s="568">
        <v>3846</v>
      </c>
      <c r="H37" s="812">
        <v>510</v>
      </c>
      <c r="I37" s="568">
        <v>6</v>
      </c>
      <c r="J37" s="1272">
        <v>99.3</v>
      </c>
      <c r="K37" s="1288"/>
    </row>
    <row r="38" spans="2:11" ht="15" customHeight="1">
      <c r="B38" s="1000"/>
      <c r="C38" s="567">
        <v>5</v>
      </c>
      <c r="D38" s="904">
        <v>6207</v>
      </c>
      <c r="E38" s="784">
        <v>85.7</v>
      </c>
      <c r="F38" s="927">
        <v>105.6</v>
      </c>
      <c r="G38" s="568">
        <v>3599</v>
      </c>
      <c r="H38" s="812">
        <v>223</v>
      </c>
      <c r="I38" s="568">
        <v>11</v>
      </c>
      <c r="J38" s="1272">
        <v>99.7</v>
      </c>
      <c r="K38" s="1288"/>
    </row>
    <row r="39" spans="2:11" ht="15" customHeight="1">
      <c r="B39" s="996"/>
      <c r="C39" s="567">
        <v>6</v>
      </c>
      <c r="D39" s="904">
        <v>5663.9</v>
      </c>
      <c r="E39" s="784">
        <v>85.9</v>
      </c>
      <c r="F39" s="927">
        <v>141.6</v>
      </c>
      <c r="G39" s="568">
        <v>3622</v>
      </c>
      <c r="H39" s="812">
        <v>345</v>
      </c>
      <c r="I39" s="568">
        <v>8</v>
      </c>
      <c r="J39" s="1272">
        <v>100</v>
      </c>
      <c r="K39" s="1288"/>
    </row>
    <row r="40" spans="2:11" ht="15" customHeight="1">
      <c r="B40" s="996"/>
      <c r="C40" s="567">
        <v>7</v>
      </c>
      <c r="D40" s="904">
        <v>5627.4</v>
      </c>
      <c r="E40" s="784">
        <v>82.2</v>
      </c>
      <c r="F40" s="927">
        <v>122.4</v>
      </c>
      <c r="G40" s="568">
        <v>3552</v>
      </c>
      <c r="H40" s="812">
        <v>291</v>
      </c>
      <c r="I40" s="568">
        <v>6</v>
      </c>
      <c r="J40" s="1272">
        <v>99.3</v>
      </c>
      <c r="K40" s="1288"/>
    </row>
    <row r="41" spans="2:11" ht="15" customHeight="1">
      <c r="B41" s="996"/>
      <c r="C41" s="567">
        <v>8</v>
      </c>
      <c r="D41" s="904">
        <v>5436</v>
      </c>
      <c r="E41" s="784">
        <v>80</v>
      </c>
      <c r="F41" s="927">
        <v>120.6</v>
      </c>
      <c r="G41" s="568">
        <v>3380</v>
      </c>
      <c r="H41" s="812">
        <v>290</v>
      </c>
      <c r="I41" s="568">
        <v>3</v>
      </c>
      <c r="J41" s="1272">
        <v>98.7</v>
      </c>
      <c r="K41" s="1288"/>
    </row>
    <row r="42" spans="2:11" ht="15" customHeight="1">
      <c r="B42" s="996"/>
      <c r="C42" s="567">
        <v>9</v>
      </c>
      <c r="D42" s="904">
        <v>5749.2</v>
      </c>
      <c r="E42" s="784">
        <v>82</v>
      </c>
      <c r="F42" s="927">
        <v>122.3</v>
      </c>
      <c r="G42" s="568">
        <v>3586</v>
      </c>
      <c r="H42" s="812">
        <v>357</v>
      </c>
      <c r="I42" s="568">
        <v>5</v>
      </c>
      <c r="J42" s="1272">
        <v>98</v>
      </c>
      <c r="K42" s="1288"/>
    </row>
    <row r="43" spans="2:11" ht="15" customHeight="1">
      <c r="B43" s="996"/>
      <c r="C43" s="567">
        <v>10</v>
      </c>
      <c r="D43" s="904">
        <v>5464.4</v>
      </c>
      <c r="E43" s="784">
        <v>83.5</v>
      </c>
      <c r="F43" s="927">
        <v>121.8</v>
      </c>
      <c r="G43" s="568">
        <v>3304</v>
      </c>
      <c r="H43" s="812">
        <v>385</v>
      </c>
      <c r="I43" s="568">
        <v>8</v>
      </c>
      <c r="J43" s="1272">
        <v>100.7</v>
      </c>
      <c r="K43" s="1289"/>
    </row>
    <row r="44" spans="2:11" ht="15" customHeight="1">
      <c r="B44" s="996"/>
      <c r="C44" s="567">
        <v>11</v>
      </c>
      <c r="D44" s="904">
        <v>5051.3999999999996</v>
      </c>
      <c r="E44" s="784">
        <v>84.7</v>
      </c>
      <c r="F44" s="927">
        <v>119.9</v>
      </c>
      <c r="G44" s="568">
        <v>3445</v>
      </c>
      <c r="H44" s="812">
        <v>454</v>
      </c>
      <c r="I44" s="568">
        <v>7</v>
      </c>
      <c r="J44" s="1272">
        <v>103.3</v>
      </c>
      <c r="K44" s="1289"/>
    </row>
    <row r="45" spans="2:11" ht="15" customHeight="1">
      <c r="B45" s="997"/>
      <c r="C45" s="787">
        <v>12</v>
      </c>
      <c r="D45" s="907">
        <v>6073.3</v>
      </c>
      <c r="E45" s="910">
        <v>80.5</v>
      </c>
      <c r="F45" s="984">
        <v>117.4</v>
      </c>
      <c r="G45" s="908">
        <v>3468</v>
      </c>
      <c r="H45" s="909">
        <v>416</v>
      </c>
      <c r="I45" s="908">
        <v>7</v>
      </c>
      <c r="J45" s="1273">
        <v>106</v>
      </c>
      <c r="K45" s="1289"/>
    </row>
    <row r="46" spans="2:11" ht="15" customHeight="1">
      <c r="B46" s="1008" t="str">
        <f>"Ｒ"&amp;DBCS(初期登録!B$10)</f>
        <v>Ｒ８</v>
      </c>
      <c r="C46" s="1054">
        <v>1</v>
      </c>
      <c r="D46" s="932">
        <v>5706.6</v>
      </c>
      <c r="E46" s="1234">
        <v>82.3</v>
      </c>
      <c r="F46" s="941">
        <v>118.1</v>
      </c>
      <c r="G46" s="933">
        <v>3369</v>
      </c>
      <c r="H46" s="934">
        <v>585</v>
      </c>
      <c r="I46" s="933">
        <v>3</v>
      </c>
      <c r="J46" s="1275">
        <v>108.3</v>
      </c>
      <c r="K46" s="1288"/>
    </row>
    <row r="47" spans="2:11" ht="15" customHeight="1">
      <c r="B47" s="998"/>
      <c r="C47" s="898">
        <v>2</v>
      </c>
      <c r="D47" s="938">
        <v>5524.7</v>
      </c>
      <c r="E47" s="1261">
        <v>81.900000000000006</v>
      </c>
      <c r="F47" s="1261">
        <v>114.4</v>
      </c>
      <c r="G47" s="924">
        <v>3586</v>
      </c>
      <c r="H47" s="939">
        <v>327</v>
      </c>
      <c r="I47" s="924">
        <v>4</v>
      </c>
      <c r="J47" s="981">
        <v>110.7</v>
      </c>
      <c r="K47" s="1288"/>
    </row>
    <row r="48" spans="2:11">
      <c r="B48" s="998"/>
      <c r="C48" s="898">
        <v>3</v>
      </c>
      <c r="D48" s="938">
        <v>5668.9</v>
      </c>
      <c r="E48" s="1261">
        <v>88.4</v>
      </c>
      <c r="F48" s="1261">
        <v>118.6</v>
      </c>
      <c r="G48" s="924">
        <v>3423</v>
      </c>
      <c r="H48" s="939">
        <v>186</v>
      </c>
      <c r="I48" s="924">
        <v>4</v>
      </c>
      <c r="J48" s="981">
        <v>113</v>
      </c>
      <c r="K48" s="1288"/>
    </row>
    <row r="49" spans="2:35" hidden="1">
      <c r="B49" s="998"/>
      <c r="C49" s="898">
        <v>4</v>
      </c>
      <c r="D49" s="938"/>
      <c r="E49" s="1261"/>
      <c r="F49" s="1261"/>
      <c r="G49" s="924"/>
      <c r="H49" s="939"/>
      <c r="I49" s="924"/>
      <c r="J49" s="981"/>
      <c r="K49" s="1288"/>
    </row>
    <row r="50" spans="2:35" hidden="1">
      <c r="B50" s="998"/>
      <c r="C50" s="898">
        <v>5</v>
      </c>
      <c r="D50" s="938"/>
      <c r="E50" s="1280"/>
      <c r="F50" s="899"/>
      <c r="G50" s="924"/>
      <c r="H50" s="939"/>
      <c r="I50" s="924"/>
      <c r="J50" s="981"/>
    </row>
    <row r="51" spans="2:35" hidden="1">
      <c r="B51" s="998"/>
      <c r="C51" s="898">
        <v>6</v>
      </c>
      <c r="D51" s="938"/>
      <c r="E51" s="1261"/>
      <c r="F51" s="1261"/>
      <c r="G51" s="924"/>
      <c r="H51" s="939"/>
      <c r="I51" s="924"/>
      <c r="J51" s="981"/>
    </row>
    <row r="52" spans="2:35" hidden="1">
      <c r="B52" s="998"/>
      <c r="C52" s="898">
        <v>7</v>
      </c>
      <c r="D52" s="938"/>
      <c r="E52" s="1261"/>
      <c r="F52" s="1261"/>
      <c r="G52" s="924"/>
      <c r="H52" s="939"/>
      <c r="I52" s="924"/>
      <c r="J52" s="981"/>
    </row>
    <row r="53" spans="2:35" ht="15" hidden="1" customHeight="1">
      <c r="B53" s="897"/>
      <c r="C53" s="898">
        <v>8</v>
      </c>
      <c r="D53" s="938"/>
      <c r="E53" s="1261"/>
      <c r="F53" s="1261"/>
      <c r="G53" s="924"/>
      <c r="H53" s="939"/>
      <c r="I53" s="924"/>
      <c r="J53" s="981"/>
      <c r="K53" s="1236"/>
      <c r="AE53"/>
      <c r="AF53"/>
      <c r="AG53"/>
      <c r="AH53"/>
      <c r="AI53"/>
    </row>
    <row r="54" spans="2:35" ht="15" hidden="1" customHeight="1">
      <c r="B54" s="897"/>
      <c r="C54" s="898">
        <v>9</v>
      </c>
      <c r="D54" s="938"/>
      <c r="E54" s="1261"/>
      <c r="F54" s="1261"/>
      <c r="G54" s="924"/>
      <c r="H54" s="939"/>
      <c r="I54" s="924"/>
      <c r="J54" s="981"/>
      <c r="K54" s="1236"/>
      <c r="AE54"/>
      <c r="AF54"/>
      <c r="AG54"/>
      <c r="AH54"/>
      <c r="AI54"/>
    </row>
    <row r="55" spans="2:35" ht="15" hidden="1" customHeight="1">
      <c r="B55" s="897"/>
      <c r="C55" s="898">
        <v>10</v>
      </c>
      <c r="D55" s="938"/>
      <c r="E55" s="1261"/>
      <c r="F55" s="1261"/>
      <c r="G55" s="924"/>
      <c r="H55" s="939"/>
      <c r="I55" s="924"/>
      <c r="J55" s="981"/>
      <c r="K55" s="1236"/>
      <c r="AE55"/>
      <c r="AF55"/>
      <c r="AG55"/>
      <c r="AH55"/>
      <c r="AI55"/>
    </row>
    <row r="56" spans="2:35" ht="15" hidden="1" customHeight="1">
      <c r="B56" s="897"/>
      <c r="C56" s="898">
        <v>11</v>
      </c>
      <c r="D56" s="938"/>
      <c r="E56" s="1261"/>
      <c r="F56" s="1261"/>
      <c r="G56" s="924"/>
      <c r="H56" s="939"/>
      <c r="I56" s="924"/>
      <c r="J56" s="981"/>
      <c r="K56" s="1236"/>
      <c r="AE56"/>
      <c r="AF56"/>
      <c r="AG56"/>
      <c r="AH56"/>
      <c r="AI56"/>
    </row>
    <row r="57" spans="2:35" ht="13.5" hidden="1" customHeight="1">
      <c r="B57" s="897"/>
      <c r="C57" s="898">
        <v>12</v>
      </c>
      <c r="D57" s="938"/>
      <c r="E57" s="1261"/>
      <c r="F57" s="1261"/>
      <c r="G57" s="924"/>
      <c r="H57" s="939"/>
      <c r="I57" s="924"/>
      <c r="J57" s="981"/>
      <c r="K57" s="1237"/>
      <c r="AE57"/>
      <c r="AF57"/>
      <c r="AG57"/>
      <c r="AH57"/>
      <c r="AI57"/>
    </row>
    <row r="58" spans="2:35" ht="13.5" hidden="1" customHeight="1">
      <c r="B58" s="1082"/>
      <c r="C58" s="1082"/>
      <c r="D58" s="1173"/>
      <c r="E58" s="1084"/>
      <c r="F58" s="1134"/>
      <c r="G58" s="1084"/>
      <c r="H58" s="1085"/>
      <c r="I58" s="1084"/>
      <c r="J58" s="1134"/>
      <c r="K58" s="252"/>
      <c r="AE58"/>
      <c r="AF58"/>
      <c r="AG58"/>
      <c r="AH58"/>
      <c r="AI58"/>
    </row>
    <row r="59" spans="2:35" ht="6.75" customHeight="1">
      <c r="B59" s="1082"/>
      <c r="C59" s="1082"/>
      <c r="D59" s="1083"/>
      <c r="E59" s="1084"/>
      <c r="F59" s="1084"/>
      <c r="G59" s="1084"/>
      <c r="H59" s="1085"/>
      <c r="I59" s="1084"/>
      <c r="J59" s="1181"/>
      <c r="K59" s="1238"/>
      <c r="AE59"/>
      <c r="AF59"/>
      <c r="AG59"/>
      <c r="AH59"/>
      <c r="AI59"/>
    </row>
    <row r="60" spans="2:35" ht="15" customHeight="1">
      <c r="B60" s="445" t="s">
        <v>63</v>
      </c>
      <c r="C60" s="1182" t="s">
        <v>578</v>
      </c>
      <c r="D60" s="1499" t="s">
        <v>754</v>
      </c>
      <c r="E60" s="1499"/>
      <c r="F60" s="1499"/>
      <c r="G60" s="1499"/>
      <c r="H60" s="1499"/>
      <c r="I60" s="1499"/>
      <c r="J60" s="1499"/>
      <c r="K60" s="1239"/>
    </row>
    <row r="61" spans="2:35" ht="15" customHeight="1">
      <c r="B61" s="249" t="s">
        <v>642</v>
      </c>
      <c r="C61" s="249" t="s">
        <v>643</v>
      </c>
      <c r="D61" s="1499" t="s">
        <v>758</v>
      </c>
      <c r="E61" s="1499"/>
      <c r="F61" s="1499"/>
      <c r="G61" s="1499"/>
      <c r="H61" s="1499"/>
      <c r="I61" s="1499"/>
      <c r="J61" s="1499"/>
      <c r="K61" s="1239"/>
    </row>
    <row r="62" spans="2:35" ht="15" customHeight="1">
      <c r="B62" s="249"/>
      <c r="C62" s="1107" t="s">
        <v>762</v>
      </c>
      <c r="K62" s="1162"/>
    </row>
    <row r="63" spans="2:35" ht="15" customHeight="1">
      <c r="C63" s="1107" t="s">
        <v>801</v>
      </c>
      <c r="D63" s="1108" t="s">
        <v>847</v>
      </c>
    </row>
    <row r="64" spans="2:35" ht="15" customHeight="1">
      <c r="B64" s="249"/>
      <c r="C64" s="700"/>
    </row>
    <row r="65" spans="3:3" ht="15" customHeight="1">
      <c r="C65" s="441"/>
    </row>
  </sheetData>
  <customSheetViews>
    <customSheetView guid="{7EBA91D6-F088-446F-A1CC-E1462A1CA2C3}" scale="120" fitToPage="1" showRuler="0">
      <pane xSplit="3" ySplit="9" topLeftCell="D199" activePane="bottomRight" state="frozen"/>
      <selection pane="bottomRight" activeCell="H205" sqref="H205"/>
      <pageMargins left="0.39370078740157483" right="0.39370078740157483" top="0.59055118110236227" bottom="0.39370078740157483" header="0.51181102362204722" footer="0.31496062992125984"/>
      <pageSetup paperSize="9" scale="28" orientation="portrait" r:id="rId1"/>
      <headerFooter alignWithMargins="0">
        <oddFooter>&amp;C-7-</oddFooter>
      </headerFooter>
    </customSheetView>
    <customSheetView guid="{883B7A2B-3CB3-449D-A461-655262B722BC}" scale="120" fitToPage="1" showRuler="0">
      <pane xSplit="3" ySplit="9" topLeftCell="D199" activePane="bottomRight" state="frozen"/>
      <selection pane="bottomRight" activeCell="H205" sqref="H205"/>
      <pageMargins left="0.39370078740157483" right="0.39370078740157483" top="0.59055118110236227" bottom="0.39370078740157483" header="0.51181102362204722" footer="0.31496062992125984"/>
      <pageSetup paperSize="9" scale="28" orientation="portrait" r:id="rId2"/>
      <headerFooter alignWithMargins="0">
        <oddFooter>&amp;C-7-</oddFooter>
      </headerFooter>
    </customSheetView>
  </customSheetViews>
  <mergeCells count="10">
    <mergeCell ref="D60:J60"/>
    <mergeCell ref="D61:J61"/>
    <mergeCell ref="D5:D8"/>
    <mergeCell ref="B3:J3"/>
    <mergeCell ref="J5:J8"/>
    <mergeCell ref="F5:F8"/>
    <mergeCell ref="G5:G8"/>
    <mergeCell ref="H5:H8"/>
    <mergeCell ref="E5:E8"/>
    <mergeCell ref="I5:I8"/>
  </mergeCells>
  <phoneticPr fontId="3"/>
  <conditionalFormatting sqref="B17:B21">
    <cfRule type="expression" dxfId="217" priority="1" stopIfTrue="1">
      <formula>$C22=#REF!</formula>
    </cfRule>
  </conditionalFormatting>
  <conditionalFormatting sqref="B29:C33">
    <cfRule type="expression" dxfId="216" priority="2" stopIfTrue="1">
      <formula>$C34=#REF!</formula>
    </cfRule>
  </conditionalFormatting>
  <conditionalFormatting sqref="D10:D57">
    <cfRule type="expression" dxfId="215" priority="3" stopIfTrue="1">
      <formula>$C15=#REF!</formula>
    </cfRule>
  </conditionalFormatting>
  <conditionalFormatting sqref="H29:J33">
    <cfRule type="expression" dxfId="214" priority="5" stopIfTrue="1">
      <formula>$C34=#REF!</formula>
    </cfRule>
  </conditionalFormatting>
  <pageMargins left="0.78740157480314965" right="0.39370078740157483" top="0.59055118110236227" bottom="0.59055118110236227" header="0.39370078740157483" footer="0.39370078740157483"/>
  <pageSetup paperSize="9" scale="96" orientation="portrait" horizontalDpi="300" verticalDpi="300" r:id="rId3"/>
  <headerFooter alignWithMargins="0">
    <oddFooter>&amp;C-7-</oddFoot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HD65"/>
  <sheetViews>
    <sheetView view="pageBreakPreview" zoomScaleNormal="100" zoomScaleSheetLayoutView="100" workbookViewId="0">
      <pane xSplit="3" ySplit="9" topLeftCell="D10" activePane="bottomRight" state="frozen"/>
      <selection activeCell="B18" sqref="A15:I25"/>
      <selection pane="topRight" activeCell="B18" sqref="A15:I25"/>
      <selection pane="bottomLeft" activeCell="B18" sqref="A15:I25"/>
      <selection pane="bottomRight" activeCell="H32" sqref="H32"/>
    </sheetView>
  </sheetViews>
  <sheetFormatPr defaultColWidth="8.125" defaultRowHeight="13.5"/>
  <cols>
    <col min="1" max="1" width="1.75" style="249" customWidth="1"/>
    <col min="2" max="2" width="4" style="249" customWidth="1"/>
    <col min="3" max="3" width="3.875" style="249" customWidth="1"/>
    <col min="4" max="4" width="10.625" style="254" customWidth="1"/>
    <col min="5" max="7" width="10.625" style="252" customWidth="1"/>
    <col min="8" max="8" width="10.625" style="253" customWidth="1"/>
    <col min="9" max="11" width="10.625" style="252" customWidth="1"/>
    <col min="12" max="12" width="1.375" customWidth="1"/>
    <col min="13" max="13" width="5.875" customWidth="1"/>
    <col min="36" max="16384" width="8.125" style="249"/>
  </cols>
  <sheetData>
    <row r="1" spans="1:212" s="245" customFormat="1" ht="21" customHeight="1">
      <c r="B1" s="258" t="s">
        <v>56</v>
      </c>
      <c r="C1" s="216"/>
      <c r="D1" s="216"/>
      <c r="E1" s="1232"/>
      <c r="F1" s="216"/>
      <c r="G1" s="216"/>
      <c r="H1" s="247"/>
      <c r="I1" s="248"/>
      <c r="J1" s="248"/>
    </row>
    <row r="2" spans="1:212" ht="15" customHeight="1">
      <c r="B2" s="250"/>
      <c r="C2" s="246"/>
      <c r="D2" s="251"/>
      <c r="K2"/>
      <c r="AE2" s="249"/>
      <c r="AF2" s="249"/>
      <c r="AG2" s="249"/>
      <c r="AH2" s="249"/>
      <c r="AI2" s="249"/>
    </row>
    <row r="3" spans="1:212">
      <c r="B3" s="1502" t="s">
        <v>545</v>
      </c>
      <c r="C3" s="1502"/>
      <c r="D3" s="1502"/>
      <c r="E3" s="1502"/>
      <c r="F3" s="1502"/>
      <c r="G3" s="1502"/>
      <c r="H3" s="1502"/>
      <c r="I3" s="1502"/>
      <c r="J3" s="1502"/>
      <c r="K3" s="1502"/>
    </row>
    <row r="4" spans="1:212" ht="15" customHeight="1">
      <c r="B4" s="688"/>
      <c r="C4" s="689" t="s">
        <v>551</v>
      </c>
      <c r="D4" s="446" t="s">
        <v>396</v>
      </c>
      <c r="E4" s="446" t="s">
        <v>158</v>
      </c>
      <c r="F4" s="446" t="s">
        <v>159</v>
      </c>
      <c r="G4" s="446" t="s">
        <v>160</v>
      </c>
      <c r="H4" s="446" t="s">
        <v>161</v>
      </c>
      <c r="I4" s="446" t="s">
        <v>162</v>
      </c>
      <c r="J4" s="446" t="s">
        <v>638</v>
      </c>
      <c r="K4" s="446" t="s">
        <v>639</v>
      </c>
    </row>
    <row r="5" spans="1:212" ht="15" customHeight="1">
      <c r="B5" s="690"/>
      <c r="C5" s="691"/>
      <c r="D5" s="1511" t="s">
        <v>786</v>
      </c>
      <c r="E5" s="1503" t="s">
        <v>781</v>
      </c>
      <c r="F5" s="1503" t="s">
        <v>783</v>
      </c>
      <c r="G5" s="1505" t="s">
        <v>494</v>
      </c>
      <c r="H5" s="1505" t="s">
        <v>504</v>
      </c>
      <c r="I5" s="1505" t="s">
        <v>505</v>
      </c>
      <c r="J5" s="1503" t="s">
        <v>782</v>
      </c>
      <c r="K5" s="1505" t="s">
        <v>539</v>
      </c>
      <c r="AJ5" s="245"/>
      <c r="AK5" s="245"/>
      <c r="AL5" s="245"/>
    </row>
    <row r="6" spans="1:212" ht="15" customHeight="1">
      <c r="B6" s="447"/>
      <c r="C6" s="449"/>
      <c r="D6" s="1500"/>
      <c r="E6" s="1510"/>
      <c r="F6" s="1505"/>
      <c r="G6" s="1505"/>
      <c r="H6" s="1505"/>
      <c r="I6" s="1505"/>
      <c r="J6" s="1510"/>
      <c r="K6" s="1510"/>
    </row>
    <row r="7" spans="1:212" ht="15" customHeight="1">
      <c r="B7" s="447"/>
      <c r="C7" s="449"/>
      <c r="D7" s="1500"/>
      <c r="E7" s="1510"/>
      <c r="F7" s="1505"/>
      <c r="G7" s="1505"/>
      <c r="H7" s="1505"/>
      <c r="I7" s="1505"/>
      <c r="J7" s="1510"/>
      <c r="K7" s="1510"/>
    </row>
    <row r="8" spans="1:212" ht="15" customHeight="1">
      <c r="B8" s="447"/>
      <c r="C8" s="449"/>
      <c r="D8" s="1500"/>
      <c r="E8" s="1501"/>
      <c r="F8" s="1505"/>
      <c r="G8" s="1505"/>
      <c r="H8" s="1505"/>
      <c r="I8" s="1505"/>
      <c r="J8" s="1501"/>
      <c r="K8" s="1501"/>
    </row>
    <row r="9" spans="1:212" ht="15" customHeight="1">
      <c r="A9" s="250"/>
      <c r="B9" s="1337" t="s">
        <v>827</v>
      </c>
      <c r="C9" s="453"/>
      <c r="D9" s="454" t="s">
        <v>397</v>
      </c>
      <c r="E9" s="455" t="s">
        <v>471</v>
      </c>
      <c r="F9" s="455" t="s">
        <v>497</v>
      </c>
      <c r="G9" s="1163" t="s">
        <v>753</v>
      </c>
      <c r="H9" s="1163" t="s">
        <v>753</v>
      </c>
      <c r="I9" s="1163" t="s">
        <v>753</v>
      </c>
      <c r="J9" s="455" t="s">
        <v>398</v>
      </c>
      <c r="K9" s="813" t="s">
        <v>499</v>
      </c>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c r="GK9" s="250"/>
      <c r="GL9" s="250"/>
      <c r="GM9" s="250"/>
      <c r="GN9" s="250"/>
      <c r="GO9" s="250"/>
      <c r="GP9" s="250"/>
      <c r="GQ9" s="250"/>
      <c r="GR9" s="250"/>
      <c r="GS9" s="250"/>
      <c r="GT9" s="250"/>
      <c r="GU9" s="250"/>
      <c r="GV9" s="250"/>
      <c r="GW9" s="250"/>
      <c r="GX9" s="250"/>
      <c r="GY9" s="250"/>
      <c r="GZ9" s="250"/>
      <c r="HA9" s="250"/>
      <c r="HB9" s="250"/>
      <c r="HC9" s="250"/>
      <c r="HD9" s="250"/>
    </row>
    <row r="10" spans="1:212" ht="15" customHeight="1">
      <c r="B10" s="1008" t="str">
        <f>"Ｒ"&amp;DBCS(初期登録!B$10-3)</f>
        <v>Ｒ５</v>
      </c>
      <c r="C10" s="768">
        <v>1</v>
      </c>
      <c r="D10" s="1256">
        <v>1.32</v>
      </c>
      <c r="E10" s="1276">
        <v>3890.8</v>
      </c>
      <c r="F10" s="942">
        <v>10.7</v>
      </c>
      <c r="G10" s="903">
        <v>104.8</v>
      </c>
      <c r="H10" s="903">
        <v>131.1</v>
      </c>
      <c r="I10" s="926">
        <v>152.5</v>
      </c>
      <c r="J10" s="1281">
        <v>65.900000000000006</v>
      </c>
      <c r="K10" s="911">
        <v>5732.9</v>
      </c>
    </row>
    <row r="11" spans="1:212" ht="15" customHeight="1">
      <c r="B11" s="996"/>
      <c r="C11" s="567">
        <v>2</v>
      </c>
      <c r="D11" s="1257">
        <v>1.29</v>
      </c>
      <c r="E11" s="1277">
        <v>3915.7</v>
      </c>
      <c r="F11" s="935">
        <v>10.7</v>
      </c>
      <c r="G11" s="784">
        <v>132.6</v>
      </c>
      <c r="H11" s="784">
        <v>132.5</v>
      </c>
      <c r="I11" s="926">
        <v>148.4</v>
      </c>
      <c r="J11" s="1282">
        <v>64.2</v>
      </c>
      <c r="K11" s="912">
        <v>3675.8</v>
      </c>
    </row>
    <row r="12" spans="1:212" ht="15" customHeight="1">
      <c r="B12" s="996"/>
      <c r="C12" s="567">
        <v>3</v>
      </c>
      <c r="D12" s="1257">
        <v>1.25</v>
      </c>
      <c r="E12" s="1277">
        <v>4056</v>
      </c>
      <c r="F12" s="935">
        <v>10.6</v>
      </c>
      <c r="G12" s="784">
        <v>131.19999999999999</v>
      </c>
      <c r="H12" s="784">
        <v>131.6</v>
      </c>
      <c r="I12" s="926">
        <v>146.69999999999999</v>
      </c>
      <c r="J12" s="1282">
        <v>64.2</v>
      </c>
      <c r="K12" s="912">
        <v>3864.8</v>
      </c>
    </row>
    <row r="13" spans="1:212" ht="15" customHeight="1">
      <c r="B13" s="998"/>
      <c r="C13" s="567">
        <v>4</v>
      </c>
      <c r="D13" s="1257">
        <v>1.22</v>
      </c>
      <c r="E13" s="1277">
        <v>4051</v>
      </c>
      <c r="F13" s="935">
        <v>10.6</v>
      </c>
      <c r="G13" s="784">
        <v>99.2</v>
      </c>
      <c r="H13" s="784">
        <v>128</v>
      </c>
      <c r="I13" s="926">
        <v>148.4</v>
      </c>
      <c r="J13" s="1282">
        <v>67.400000000000006</v>
      </c>
      <c r="K13" s="912">
        <v>6927.7</v>
      </c>
    </row>
    <row r="14" spans="1:212" ht="15" customHeight="1">
      <c r="B14" s="1000"/>
      <c r="C14" s="567">
        <v>5</v>
      </c>
      <c r="D14" s="1257">
        <v>1.24</v>
      </c>
      <c r="E14" s="1277">
        <v>4189.2</v>
      </c>
      <c r="F14" s="935">
        <v>11.2</v>
      </c>
      <c r="G14" s="784">
        <v>97.3</v>
      </c>
      <c r="H14" s="784">
        <v>126.8</v>
      </c>
      <c r="I14" s="926">
        <v>148.19999999999999</v>
      </c>
      <c r="J14" s="1282">
        <v>68.400000000000006</v>
      </c>
      <c r="K14" s="912">
        <v>3674.7</v>
      </c>
    </row>
    <row r="15" spans="1:212" ht="15" customHeight="1">
      <c r="B15" s="996"/>
      <c r="C15" s="567">
        <v>6</v>
      </c>
      <c r="D15" s="1257">
        <v>1.23</v>
      </c>
      <c r="E15" s="1277">
        <v>4295.5</v>
      </c>
      <c r="F15" s="935">
        <v>11.1</v>
      </c>
      <c r="G15" s="784">
        <v>96.2</v>
      </c>
      <c r="H15" s="784">
        <v>130.30000000000001</v>
      </c>
      <c r="I15" s="926">
        <v>153</v>
      </c>
      <c r="J15" s="1282">
        <v>67.2</v>
      </c>
      <c r="K15" s="912">
        <v>4510.8</v>
      </c>
    </row>
    <row r="16" spans="1:212" ht="15" customHeight="1">
      <c r="B16" s="996"/>
      <c r="C16" s="567">
        <v>7</v>
      </c>
      <c r="D16" s="1257">
        <v>1.23</v>
      </c>
      <c r="E16" s="1277">
        <v>4251.5</v>
      </c>
      <c r="F16" s="935">
        <v>10.9</v>
      </c>
      <c r="G16" s="784">
        <v>98.5</v>
      </c>
      <c r="H16" s="784">
        <v>122.2</v>
      </c>
      <c r="I16" s="926">
        <v>142.69999999999999</v>
      </c>
      <c r="J16" s="1282">
        <v>71.599999999999994</v>
      </c>
      <c r="K16" s="912">
        <v>4055.4</v>
      </c>
    </row>
    <row r="17" spans="2:11" ht="15" customHeight="1">
      <c r="B17" s="996"/>
      <c r="C17" s="567">
        <v>8</v>
      </c>
      <c r="D17" s="1257">
        <v>1.22</v>
      </c>
      <c r="E17" s="1277">
        <v>4266.3</v>
      </c>
      <c r="F17" s="935">
        <v>10.9</v>
      </c>
      <c r="G17" s="784">
        <v>94.6</v>
      </c>
      <c r="H17" s="784">
        <v>115.6</v>
      </c>
      <c r="I17" s="926">
        <v>132.30000000000001</v>
      </c>
      <c r="J17" s="1282">
        <v>75.5</v>
      </c>
      <c r="K17" s="912">
        <v>4448.5</v>
      </c>
    </row>
    <row r="18" spans="2:11" ht="15" customHeight="1">
      <c r="B18" s="996"/>
      <c r="C18" s="567">
        <v>9</v>
      </c>
      <c r="D18" s="1257">
        <v>1.22</v>
      </c>
      <c r="E18" s="1277">
        <v>4259.8999999999996</v>
      </c>
      <c r="F18" s="935">
        <v>11.4</v>
      </c>
      <c r="G18" s="784">
        <v>100.1</v>
      </c>
      <c r="H18" s="784">
        <v>112.9</v>
      </c>
      <c r="I18" s="926">
        <v>127</v>
      </c>
      <c r="J18" s="1282">
        <v>77.900000000000006</v>
      </c>
      <c r="K18" s="912">
        <v>3689.7</v>
      </c>
    </row>
    <row r="19" spans="2:11" ht="15" customHeight="1">
      <c r="B19" s="996"/>
      <c r="C19" s="567">
        <v>10</v>
      </c>
      <c r="D19" s="1257">
        <v>1.23</v>
      </c>
      <c r="E19" s="1277">
        <v>4440</v>
      </c>
      <c r="F19" s="935">
        <v>11.4</v>
      </c>
      <c r="G19" s="784">
        <v>98.2</v>
      </c>
      <c r="H19" s="784">
        <v>110.3</v>
      </c>
      <c r="I19" s="926">
        <v>126.3</v>
      </c>
      <c r="J19" s="1282">
        <v>80.7</v>
      </c>
      <c r="K19" s="912">
        <v>6254.3</v>
      </c>
    </row>
    <row r="20" spans="2:11" ht="15" customHeight="1">
      <c r="B20" s="996"/>
      <c r="C20" s="567">
        <v>11</v>
      </c>
      <c r="D20" s="1257">
        <v>1.23</v>
      </c>
      <c r="E20" s="1277">
        <v>4406.1000000000004</v>
      </c>
      <c r="F20" s="935">
        <v>11.7</v>
      </c>
      <c r="G20" s="784">
        <v>87.6</v>
      </c>
      <c r="H20" s="784">
        <v>108.8</v>
      </c>
      <c r="I20" s="926">
        <v>122.8</v>
      </c>
      <c r="J20" s="1282">
        <v>80.2</v>
      </c>
      <c r="K20" s="912">
        <v>4492.8</v>
      </c>
    </row>
    <row r="21" spans="2:11" ht="15" customHeight="1">
      <c r="B21" s="997"/>
      <c r="C21" s="787">
        <v>12</v>
      </c>
      <c r="D21" s="1258">
        <v>1.22</v>
      </c>
      <c r="E21" s="1278">
        <v>4441.5</v>
      </c>
      <c r="F21" s="936">
        <v>11</v>
      </c>
      <c r="G21" s="910">
        <v>107.2</v>
      </c>
      <c r="H21" s="910">
        <v>112.5</v>
      </c>
      <c r="I21" s="926">
        <v>124.9</v>
      </c>
      <c r="J21" s="1283">
        <v>77.900000000000006</v>
      </c>
      <c r="K21" s="914">
        <v>4840.5</v>
      </c>
    </row>
    <row r="22" spans="2:11" ht="15" customHeight="1">
      <c r="B22" s="1008" t="str">
        <f>"Ｒ"&amp;DBCS(初期登録!B$10-2)</f>
        <v>Ｒ６</v>
      </c>
      <c r="C22" s="768">
        <v>1</v>
      </c>
      <c r="D22" s="1259">
        <v>1.2</v>
      </c>
      <c r="E22" s="1279">
        <v>4410.6000000000004</v>
      </c>
      <c r="F22" s="943">
        <v>10.6</v>
      </c>
      <c r="G22" s="833">
        <v>94.8</v>
      </c>
      <c r="H22" s="833">
        <v>111.4</v>
      </c>
      <c r="I22" s="940">
        <v>129.1</v>
      </c>
      <c r="J22" s="1284">
        <v>80.599999999999994</v>
      </c>
      <c r="K22" s="913">
        <v>3874.1</v>
      </c>
    </row>
    <row r="23" spans="2:11" ht="15" customHeight="1">
      <c r="B23" s="996"/>
      <c r="C23" s="567">
        <v>2</v>
      </c>
      <c r="D23" s="1257">
        <v>1.2</v>
      </c>
      <c r="E23" s="1277">
        <v>4508.7</v>
      </c>
      <c r="F23" s="935">
        <v>10</v>
      </c>
      <c r="G23" s="784">
        <v>103.2</v>
      </c>
      <c r="H23" s="784">
        <v>117.3</v>
      </c>
      <c r="I23" s="926">
        <v>134</v>
      </c>
      <c r="J23" s="1282">
        <v>77.099999999999994</v>
      </c>
      <c r="K23" s="912">
        <v>5389</v>
      </c>
    </row>
    <row r="24" spans="2:11" ht="15" customHeight="1">
      <c r="B24" s="996"/>
      <c r="C24" s="567">
        <v>3</v>
      </c>
      <c r="D24" s="1257">
        <v>1.2</v>
      </c>
      <c r="E24" s="1277">
        <v>4426</v>
      </c>
      <c r="F24" s="935">
        <v>9.9</v>
      </c>
      <c r="G24" s="784">
        <v>107</v>
      </c>
      <c r="H24" s="784">
        <v>120.4</v>
      </c>
      <c r="I24" s="926">
        <v>136.1</v>
      </c>
      <c r="J24" s="1282">
        <v>75.099999999999994</v>
      </c>
      <c r="K24" s="912">
        <v>5073.5</v>
      </c>
    </row>
    <row r="25" spans="2:11" ht="15" customHeight="1">
      <c r="B25" s="998"/>
      <c r="C25" s="567">
        <v>4</v>
      </c>
      <c r="D25" s="1257">
        <v>1.19</v>
      </c>
      <c r="E25" s="1277">
        <v>4502.8</v>
      </c>
      <c r="F25" s="935">
        <v>10.1</v>
      </c>
      <c r="G25" s="784">
        <v>111.8</v>
      </c>
      <c r="H25" s="784">
        <v>125.8</v>
      </c>
      <c r="I25" s="926">
        <v>138.19999999999999</v>
      </c>
      <c r="J25" s="1282">
        <v>69.8</v>
      </c>
      <c r="K25" s="912">
        <v>4726.5</v>
      </c>
    </row>
    <row r="26" spans="2:11" ht="15" customHeight="1">
      <c r="B26" s="1000"/>
      <c r="C26" s="567">
        <v>5</v>
      </c>
      <c r="D26" s="1257">
        <v>1.18</v>
      </c>
      <c r="E26" s="1277">
        <v>4319</v>
      </c>
      <c r="F26" s="935">
        <v>9.8000000000000007</v>
      </c>
      <c r="G26" s="784">
        <v>104.5</v>
      </c>
      <c r="H26" s="784">
        <v>125.2</v>
      </c>
      <c r="I26" s="926">
        <v>143.1</v>
      </c>
      <c r="J26" s="1282">
        <v>71.099999999999994</v>
      </c>
      <c r="K26" s="912">
        <v>6817.4</v>
      </c>
    </row>
    <row r="27" spans="2:11" ht="15" customHeight="1">
      <c r="B27" s="996"/>
      <c r="C27" s="567">
        <v>6</v>
      </c>
      <c r="D27" s="1257">
        <v>1.1599999999999999</v>
      </c>
      <c r="E27" s="1277">
        <v>4285.3</v>
      </c>
      <c r="F27" s="935">
        <v>10.1</v>
      </c>
      <c r="G27" s="784">
        <v>104.1</v>
      </c>
      <c r="H27" s="784">
        <v>124.7</v>
      </c>
      <c r="I27" s="926">
        <v>142.4</v>
      </c>
      <c r="J27" s="1282">
        <v>72.3</v>
      </c>
      <c r="K27" s="912">
        <v>6041.9</v>
      </c>
    </row>
    <row r="28" spans="2:11" ht="15" customHeight="1">
      <c r="B28" s="996"/>
      <c r="C28" s="567">
        <v>7</v>
      </c>
      <c r="D28" s="1257">
        <v>1.18</v>
      </c>
      <c r="E28" s="1277">
        <v>4276</v>
      </c>
      <c r="F28" s="935">
        <v>10</v>
      </c>
      <c r="G28" s="784">
        <v>89.6</v>
      </c>
      <c r="H28" s="784">
        <v>120.1</v>
      </c>
      <c r="I28" s="926">
        <v>141.6</v>
      </c>
      <c r="J28" s="1282">
        <v>73.5</v>
      </c>
      <c r="K28" s="912">
        <v>3979</v>
      </c>
    </row>
    <row r="29" spans="2:11" ht="15" customHeight="1">
      <c r="B29" s="996"/>
      <c r="C29" s="567">
        <v>8</v>
      </c>
      <c r="D29" s="1257">
        <v>1.2</v>
      </c>
      <c r="E29" s="1277">
        <v>4167.8999999999996</v>
      </c>
      <c r="F29" s="935">
        <v>9.9</v>
      </c>
      <c r="G29" s="784">
        <v>103.3</v>
      </c>
      <c r="H29" s="784">
        <v>118.7</v>
      </c>
      <c r="I29" s="926">
        <v>134.4</v>
      </c>
      <c r="J29" s="1282">
        <v>73.900000000000006</v>
      </c>
      <c r="K29" s="912">
        <v>4066.4</v>
      </c>
    </row>
    <row r="30" spans="2:11" ht="15" customHeight="1">
      <c r="B30" s="996"/>
      <c r="C30" s="567">
        <v>9</v>
      </c>
      <c r="D30" s="1257">
        <v>1.21</v>
      </c>
      <c r="E30" s="1277">
        <v>4161</v>
      </c>
      <c r="F30" s="935">
        <v>9.5</v>
      </c>
      <c r="G30" s="784">
        <v>111</v>
      </c>
      <c r="H30" s="784">
        <v>124.4</v>
      </c>
      <c r="I30" s="926">
        <v>141.1</v>
      </c>
      <c r="J30" s="1282">
        <v>72</v>
      </c>
      <c r="K30" s="912">
        <v>5366.5</v>
      </c>
    </row>
    <row r="31" spans="2:11" ht="15" customHeight="1">
      <c r="B31" s="996"/>
      <c r="C31" s="567">
        <v>10</v>
      </c>
      <c r="D31" s="1257">
        <v>1.19</v>
      </c>
      <c r="E31" s="1277">
        <v>4076.7</v>
      </c>
      <c r="F31" s="935">
        <v>10.3</v>
      </c>
      <c r="G31" s="784">
        <v>117.1</v>
      </c>
      <c r="H31" s="784">
        <v>133.30000000000001</v>
      </c>
      <c r="I31" s="926">
        <v>159.5</v>
      </c>
      <c r="J31" s="1282">
        <v>65.8</v>
      </c>
      <c r="K31" s="912">
        <v>4408.5</v>
      </c>
    </row>
    <row r="32" spans="2:11" ht="15" customHeight="1">
      <c r="B32" s="996"/>
      <c r="C32" s="567">
        <v>11</v>
      </c>
      <c r="D32" s="1257">
        <v>1.18</v>
      </c>
      <c r="E32" s="1277">
        <v>3981.3</v>
      </c>
      <c r="F32" s="935">
        <v>9.6999999999999993</v>
      </c>
      <c r="G32" s="784">
        <v>113</v>
      </c>
      <c r="H32" s="784">
        <v>126.3</v>
      </c>
      <c r="I32" s="926">
        <v>153.1</v>
      </c>
      <c r="J32" s="1282">
        <v>71.8</v>
      </c>
      <c r="K32" s="912">
        <v>4932.3999999999996</v>
      </c>
    </row>
    <row r="33" spans="2:11" ht="15" customHeight="1">
      <c r="B33" s="997"/>
      <c r="C33" s="787">
        <v>12</v>
      </c>
      <c r="D33" s="1258">
        <v>1.19</v>
      </c>
      <c r="E33" s="1278">
        <v>4169.2</v>
      </c>
      <c r="F33" s="936">
        <v>9.6</v>
      </c>
      <c r="G33" s="910">
        <v>111.1</v>
      </c>
      <c r="H33" s="910">
        <v>124</v>
      </c>
      <c r="I33" s="926">
        <v>150.69999999999999</v>
      </c>
      <c r="J33" s="1283">
        <v>72.2</v>
      </c>
      <c r="K33" s="914">
        <v>6667.5</v>
      </c>
    </row>
    <row r="34" spans="2:11" ht="15" customHeight="1">
      <c r="B34" s="1008" t="str">
        <f>"Ｒ"&amp;DBCS(初期登録!B$10-1)</f>
        <v>Ｒ７</v>
      </c>
      <c r="C34" s="768">
        <v>1</v>
      </c>
      <c r="D34" s="1259">
        <v>1.19</v>
      </c>
      <c r="E34" s="1279">
        <v>4045.7</v>
      </c>
      <c r="F34" s="943">
        <v>10.3</v>
      </c>
      <c r="G34" s="833">
        <v>112.2</v>
      </c>
      <c r="H34" s="833">
        <v>130.5</v>
      </c>
      <c r="I34" s="940">
        <v>153</v>
      </c>
      <c r="J34" s="1284">
        <v>69.8</v>
      </c>
      <c r="K34" s="913">
        <v>8202.7999999999993</v>
      </c>
    </row>
    <row r="35" spans="2:11" ht="15" customHeight="1">
      <c r="B35" s="996"/>
      <c r="C35" s="567">
        <v>2</v>
      </c>
      <c r="D35" s="1257">
        <v>1.19</v>
      </c>
      <c r="E35" s="1277">
        <v>4000</v>
      </c>
      <c r="F35" s="935">
        <v>10.6</v>
      </c>
      <c r="G35" s="784">
        <v>109.7</v>
      </c>
      <c r="H35" s="784">
        <v>134.19999999999999</v>
      </c>
      <c r="I35" s="926">
        <v>158.5</v>
      </c>
      <c r="J35" s="1282">
        <v>67.2</v>
      </c>
      <c r="K35" s="912">
        <v>5188.3999999999996</v>
      </c>
    </row>
    <row r="36" spans="2:11" ht="15" customHeight="1">
      <c r="B36" s="996"/>
      <c r="C36" s="567">
        <v>3</v>
      </c>
      <c r="D36" s="1257">
        <v>1.19</v>
      </c>
      <c r="E36" s="1277">
        <v>3948.4</v>
      </c>
      <c r="F36" s="935">
        <v>10.7</v>
      </c>
      <c r="G36" s="784">
        <v>131.1</v>
      </c>
      <c r="H36" s="784">
        <v>135.69999999999999</v>
      </c>
      <c r="I36" s="926">
        <v>147</v>
      </c>
      <c r="J36" s="1282">
        <v>66.8</v>
      </c>
      <c r="K36" s="912">
        <v>6551.2</v>
      </c>
    </row>
    <row r="37" spans="2:11" ht="15" customHeight="1">
      <c r="B37" s="998"/>
      <c r="C37" s="567">
        <v>4</v>
      </c>
      <c r="D37" s="1257">
        <v>1.18</v>
      </c>
      <c r="E37" s="1277">
        <v>4001.1</v>
      </c>
      <c r="F37" s="935">
        <v>10.7</v>
      </c>
      <c r="G37" s="784">
        <v>104.9</v>
      </c>
      <c r="H37" s="784">
        <v>124.8</v>
      </c>
      <c r="I37" s="926">
        <v>146.4</v>
      </c>
      <c r="J37" s="1282">
        <v>75.900000000000006</v>
      </c>
      <c r="K37" s="912">
        <v>4390.6000000000004</v>
      </c>
    </row>
    <row r="38" spans="2:11" ht="15" customHeight="1">
      <c r="B38" s="1000"/>
      <c r="C38" s="567">
        <v>5</v>
      </c>
      <c r="D38" s="1257">
        <v>1.17</v>
      </c>
      <c r="E38" s="1277">
        <v>4019.7</v>
      </c>
      <c r="F38" s="935">
        <v>10.9</v>
      </c>
      <c r="G38" s="784">
        <v>103.7</v>
      </c>
      <c r="H38" s="784">
        <v>125.6</v>
      </c>
      <c r="I38" s="926">
        <v>147.6</v>
      </c>
      <c r="J38" s="1282">
        <v>75.2</v>
      </c>
      <c r="K38" s="912">
        <v>4691.3</v>
      </c>
    </row>
    <row r="39" spans="2:11" ht="15" customHeight="1">
      <c r="B39" s="996"/>
      <c r="C39" s="567">
        <v>6</v>
      </c>
      <c r="D39" s="1257">
        <v>1.17</v>
      </c>
      <c r="E39" s="1277">
        <v>4250.5</v>
      </c>
      <c r="F39" s="935">
        <v>10.6</v>
      </c>
      <c r="G39" s="927">
        <v>109.6</v>
      </c>
      <c r="H39" s="927">
        <v>128.19999999999999</v>
      </c>
      <c r="I39" s="926">
        <v>148</v>
      </c>
      <c r="J39" s="1282">
        <v>74.2</v>
      </c>
      <c r="K39" s="912">
        <v>4180.8</v>
      </c>
    </row>
    <row r="40" spans="2:11" ht="15" customHeight="1">
      <c r="B40" s="996"/>
      <c r="C40" s="567">
        <v>7</v>
      </c>
      <c r="D40" s="1257">
        <v>1.1399999999999999</v>
      </c>
      <c r="E40" s="1277">
        <v>4365.3</v>
      </c>
      <c r="F40" s="935">
        <v>10.1</v>
      </c>
      <c r="G40" s="927">
        <v>101.1</v>
      </c>
      <c r="H40" s="927">
        <v>126.8</v>
      </c>
      <c r="I40" s="926">
        <v>150.9</v>
      </c>
      <c r="J40" s="1282">
        <v>72.7</v>
      </c>
      <c r="K40" s="912">
        <v>4678.8</v>
      </c>
    </row>
    <row r="41" spans="2:11" ht="15" customHeight="1">
      <c r="B41" s="996"/>
      <c r="C41" s="567">
        <v>8</v>
      </c>
      <c r="D41" s="1257">
        <v>1.1100000000000001</v>
      </c>
      <c r="E41" s="1277">
        <v>4557.2</v>
      </c>
      <c r="F41" s="935">
        <v>10.4</v>
      </c>
      <c r="G41" s="927">
        <v>107.5</v>
      </c>
      <c r="H41" s="927">
        <v>128.69999999999999</v>
      </c>
      <c r="I41" s="926">
        <v>154.5</v>
      </c>
      <c r="J41" s="1282">
        <v>70.3</v>
      </c>
      <c r="K41" s="912">
        <v>3673.7</v>
      </c>
    </row>
    <row r="42" spans="2:11" ht="15" customHeight="1">
      <c r="B42" s="996"/>
      <c r="C42" s="567">
        <v>9</v>
      </c>
      <c r="D42" s="1257">
        <v>1.1000000000000001</v>
      </c>
      <c r="E42" s="1277">
        <v>4730.8999999999996</v>
      </c>
      <c r="F42" s="935">
        <v>10</v>
      </c>
      <c r="G42" s="927">
        <v>103.4</v>
      </c>
      <c r="H42" s="927">
        <v>135.69999999999999</v>
      </c>
      <c r="I42" s="926">
        <v>163.30000000000001</v>
      </c>
      <c r="J42" s="1282">
        <v>70.5</v>
      </c>
      <c r="K42" s="912">
        <v>4145.7</v>
      </c>
    </row>
    <row r="43" spans="2:11" ht="15" customHeight="1">
      <c r="B43" s="996"/>
      <c r="C43" s="567">
        <v>10</v>
      </c>
      <c r="D43" s="1257">
        <v>1.0900000000000001</v>
      </c>
      <c r="E43" s="1277">
        <v>4817.6000000000004</v>
      </c>
      <c r="F43" s="935">
        <v>9.9</v>
      </c>
      <c r="G43" s="927">
        <v>101.5</v>
      </c>
      <c r="H43" s="927">
        <v>137.4</v>
      </c>
      <c r="I43" s="926">
        <v>168.1</v>
      </c>
      <c r="J43" s="1282">
        <v>69.2</v>
      </c>
      <c r="K43" s="912">
        <v>5270.9</v>
      </c>
    </row>
    <row r="44" spans="2:11" ht="15" customHeight="1">
      <c r="B44" s="996"/>
      <c r="C44" s="567">
        <v>11</v>
      </c>
      <c r="D44" s="1214">
        <v>1.08</v>
      </c>
      <c r="E44" s="980">
        <v>4559</v>
      </c>
      <c r="F44" s="944">
        <v>10.9</v>
      </c>
      <c r="G44" s="927">
        <v>107.3</v>
      </c>
      <c r="H44" s="927">
        <v>140</v>
      </c>
      <c r="I44" s="926">
        <v>174.5</v>
      </c>
      <c r="J44" s="1285">
        <v>69.8</v>
      </c>
      <c r="K44" s="937">
        <v>4740.3</v>
      </c>
    </row>
    <row r="45" spans="2:11" ht="15" customHeight="1">
      <c r="B45" s="997"/>
      <c r="C45" s="787">
        <v>12</v>
      </c>
      <c r="D45" s="1258">
        <v>1.08</v>
      </c>
      <c r="E45" s="1278">
        <v>4697.3</v>
      </c>
      <c r="F45" s="947">
        <v>10.4</v>
      </c>
      <c r="G45" s="928">
        <v>102</v>
      </c>
      <c r="H45" s="928">
        <v>132.30000000000001</v>
      </c>
      <c r="I45" s="928">
        <v>160.4</v>
      </c>
      <c r="J45" s="1285">
        <v>73.400000000000006</v>
      </c>
      <c r="K45" s="937">
        <v>5029.2</v>
      </c>
    </row>
    <row r="46" spans="2:11" ht="15" customHeight="1">
      <c r="B46" s="1008" t="str">
        <f>"Ｒ"&amp;DBCS(初期登録!B$10)</f>
        <v>Ｒ８</v>
      </c>
      <c r="C46" s="1054">
        <v>1</v>
      </c>
      <c r="D46" s="1260">
        <v>1.1000000000000001</v>
      </c>
      <c r="E46" s="980">
        <v>4378</v>
      </c>
      <c r="F46" s="929">
        <v>9.9</v>
      </c>
      <c r="G46" s="1136">
        <v>112.4</v>
      </c>
      <c r="H46" s="1136">
        <v>142</v>
      </c>
      <c r="I46" s="1136">
        <v>171.8</v>
      </c>
      <c r="J46" s="1286">
        <v>66.400000000000006</v>
      </c>
      <c r="K46" s="1055">
        <v>5262.4</v>
      </c>
    </row>
    <row r="47" spans="2:11" ht="15" customHeight="1">
      <c r="B47" s="998"/>
      <c r="C47" s="898">
        <v>2</v>
      </c>
      <c r="D47" s="1214">
        <v>1.1200000000000001</v>
      </c>
      <c r="E47" s="1277">
        <v>4329.3</v>
      </c>
      <c r="F47" s="1262">
        <v>10.7</v>
      </c>
      <c r="G47" s="1262">
        <v>94.2</v>
      </c>
      <c r="H47" s="1262">
        <v>142.1</v>
      </c>
      <c r="I47" s="926">
        <v>184.2</v>
      </c>
      <c r="J47" s="1285">
        <v>64.7</v>
      </c>
      <c r="K47" s="937">
        <v>4845.1000000000004</v>
      </c>
    </row>
    <row r="48" spans="2:11" ht="15" customHeight="1">
      <c r="B48" s="998"/>
      <c r="C48" s="898">
        <v>3</v>
      </c>
      <c r="D48" s="1214">
        <v>1.1000000000000001</v>
      </c>
      <c r="E48" s="980">
        <v>4640.3999999999996</v>
      </c>
      <c r="F48" s="1262">
        <v>10.6</v>
      </c>
      <c r="G48" s="1262">
        <v>123.5</v>
      </c>
      <c r="H48" s="1262">
        <v>147.1</v>
      </c>
      <c r="I48" s="926">
        <v>181.8</v>
      </c>
      <c r="J48" s="1285">
        <v>60.9</v>
      </c>
      <c r="K48" s="1322">
        <v>5152.6000000000004</v>
      </c>
    </row>
    <row r="49" spans="2:35" ht="15" hidden="1" customHeight="1">
      <c r="B49" s="998"/>
      <c r="C49" s="898">
        <v>4</v>
      </c>
      <c r="D49" s="1214"/>
      <c r="E49" s="980"/>
      <c r="F49" s="1262"/>
      <c r="G49" s="1262"/>
      <c r="H49" s="1262"/>
      <c r="I49" s="926"/>
      <c r="J49" s="1285"/>
      <c r="K49" s="937"/>
    </row>
    <row r="50" spans="2:35" hidden="1">
      <c r="B50" s="998"/>
      <c r="C50" s="898">
        <v>5</v>
      </c>
      <c r="D50" s="1214"/>
      <c r="E50" s="980"/>
      <c r="F50" s="944"/>
      <c r="G50" s="1280"/>
      <c r="H50" s="1280"/>
      <c r="I50" s="1280"/>
      <c r="J50" s="1285"/>
      <c r="K50" s="1322"/>
    </row>
    <row r="51" spans="2:35" ht="15" hidden="1" customHeight="1">
      <c r="B51" s="1067"/>
      <c r="C51" s="898">
        <v>6</v>
      </c>
      <c r="D51" s="1214"/>
      <c r="E51" s="980"/>
      <c r="F51" s="925"/>
      <c r="G51" s="925"/>
      <c r="H51" s="925"/>
      <c r="I51" s="925"/>
      <c r="J51" s="925"/>
      <c r="K51" s="937"/>
    </row>
    <row r="52" spans="2:35" ht="15" hidden="1" customHeight="1">
      <c r="B52" s="1067"/>
      <c r="C52" s="898">
        <v>7</v>
      </c>
      <c r="D52" s="1214"/>
      <c r="E52" s="980"/>
      <c r="F52" s="925"/>
      <c r="G52" s="925"/>
      <c r="H52" s="925"/>
      <c r="I52" s="925"/>
      <c r="J52" s="1285"/>
      <c r="K52" s="937"/>
    </row>
    <row r="53" spans="2:35" ht="15" hidden="1" customHeight="1">
      <c r="B53" s="897"/>
      <c r="C53" s="898">
        <v>8</v>
      </c>
      <c r="D53" s="1214"/>
      <c r="E53" s="980"/>
      <c r="F53" s="925"/>
      <c r="G53" s="925"/>
      <c r="H53" s="925"/>
      <c r="I53" s="926"/>
      <c r="J53" s="1285"/>
      <c r="K53" s="937"/>
    </row>
    <row r="54" spans="2:35" ht="15" hidden="1" customHeight="1">
      <c r="B54" s="897"/>
      <c r="C54" s="898">
        <v>9</v>
      </c>
      <c r="D54" s="1214"/>
      <c r="E54" s="980"/>
      <c r="F54" s="925"/>
      <c r="G54" s="925"/>
      <c r="H54" s="925"/>
      <c r="I54" s="926"/>
      <c r="J54" s="1285"/>
      <c r="K54" s="1322"/>
    </row>
    <row r="55" spans="2:35" ht="15" hidden="1" customHeight="1">
      <c r="B55" s="897"/>
      <c r="C55" s="898">
        <v>10</v>
      </c>
      <c r="D55" s="1214"/>
      <c r="E55" s="980"/>
      <c r="F55" s="925"/>
      <c r="G55" s="925"/>
      <c r="H55" s="925"/>
      <c r="I55" s="926"/>
      <c r="J55" s="1285"/>
      <c r="K55" s="937"/>
    </row>
    <row r="56" spans="2:35" ht="15" hidden="1" customHeight="1">
      <c r="B56" s="897"/>
      <c r="C56" s="898">
        <v>11</v>
      </c>
      <c r="D56" s="1214"/>
      <c r="E56" s="980"/>
      <c r="F56" s="925"/>
      <c r="G56" s="925"/>
      <c r="H56" s="925"/>
      <c r="I56" s="926"/>
      <c r="J56" s="1285"/>
      <c r="K56" s="1322"/>
    </row>
    <row r="57" spans="2:35" ht="13.5" hidden="1" customHeight="1">
      <c r="B57" s="897"/>
      <c r="C57" s="898">
        <v>12</v>
      </c>
      <c r="D57" s="1214"/>
      <c r="E57" s="980"/>
      <c r="F57" s="1323"/>
      <c r="G57" s="1323"/>
      <c r="H57" s="1323"/>
      <c r="I57" s="925"/>
      <c r="J57" s="1285"/>
      <c r="K57" s="1322"/>
    </row>
    <row r="58" spans="2:35" ht="13.5" hidden="1" customHeight="1">
      <c r="B58" s="1082"/>
      <c r="C58" s="1082"/>
      <c r="D58" s="1173"/>
      <c r="E58" s="1084"/>
      <c r="F58" s="1134"/>
      <c r="G58" s="1084"/>
      <c r="H58" s="1085"/>
      <c r="I58" s="1084"/>
      <c r="J58" s="1134"/>
      <c r="K58" s="1084"/>
    </row>
    <row r="59" spans="2:35" ht="6.75" customHeight="1">
      <c r="B59" s="1082"/>
      <c r="C59" s="1082"/>
      <c r="D59" s="1083"/>
      <c r="E59" s="1084"/>
      <c r="F59" s="1084"/>
      <c r="G59" s="1084"/>
      <c r="H59" s="1085"/>
      <c r="I59" s="1084"/>
      <c r="J59" s="1181"/>
      <c r="K59" s="1181"/>
    </row>
    <row r="60" spans="2:35">
      <c r="B60" s="445" t="s">
        <v>313</v>
      </c>
      <c r="C60" s="441" t="s">
        <v>555</v>
      </c>
      <c r="D60" s="1108" t="s">
        <v>755</v>
      </c>
    </row>
    <row r="61" spans="2:35">
      <c r="B61" s="249" t="s">
        <v>541</v>
      </c>
      <c r="C61" s="441" t="s">
        <v>553</v>
      </c>
      <c r="D61" s="1164" t="s">
        <v>756</v>
      </c>
      <c r="E61" s="450"/>
      <c r="F61" s="450"/>
      <c r="G61" s="451"/>
      <c r="H61" s="451"/>
      <c r="I61" s="452"/>
      <c r="J61" s="452"/>
      <c r="K61" s="452"/>
    </row>
    <row r="62" spans="2:35">
      <c r="B62" s="249" t="s">
        <v>542</v>
      </c>
      <c r="C62" s="1169" t="s">
        <v>766</v>
      </c>
      <c r="D62" s="254" t="s">
        <v>765</v>
      </c>
    </row>
    <row r="63" spans="2:35">
      <c r="C63" s="1169" t="s">
        <v>801</v>
      </c>
      <c r="D63" s="1108" t="s">
        <v>847</v>
      </c>
    </row>
    <row r="64" spans="2:35">
      <c r="C64" s="1169"/>
      <c r="D64" s="1108"/>
      <c r="E64" s="256"/>
      <c r="F64" s="256"/>
      <c r="G64" s="256"/>
      <c r="H64" s="256"/>
      <c r="I64" s="257"/>
      <c r="J64" s="257"/>
      <c r="K64" s="1162"/>
      <c r="AE64" s="249"/>
      <c r="AF64" s="249"/>
      <c r="AG64" s="249"/>
      <c r="AH64" s="249"/>
      <c r="AI64" s="249"/>
    </row>
    <row r="65" spans="2:11">
      <c r="B65" s="259"/>
      <c r="C65" s="259"/>
      <c r="D65" s="1108"/>
      <c r="E65" s="256"/>
      <c r="F65" s="256"/>
      <c r="G65" s="256"/>
      <c r="H65" s="257"/>
      <c r="I65" s="256"/>
      <c r="J65" s="256"/>
      <c r="K65" s="256"/>
    </row>
  </sheetData>
  <customSheetViews>
    <customSheetView guid="{7EBA91D6-F088-446F-A1CC-E1462A1CA2C3}" scale="120" showRuler="0" topLeftCell="A176">
      <selection activeCell="E206" sqref="E206"/>
      <pageMargins left="0.39370078740157483" right="0.19685039370078741" top="0.59055118110236227" bottom="0.39370078740157483" header="0.51181102362204722" footer="0.31496062992125984"/>
      <pageSetup paperSize="9" orientation="portrait" r:id="rId1"/>
      <headerFooter alignWithMargins="0">
        <oddFooter>&amp;C-8-</oddFooter>
      </headerFooter>
    </customSheetView>
    <customSheetView guid="{883B7A2B-3CB3-449D-A461-655262B722BC}" scale="120" showRuler="0" topLeftCell="A176">
      <selection activeCell="E206" sqref="E206"/>
      <pageMargins left="0.39370078740157483" right="0.19685039370078741" top="0.59055118110236227" bottom="0.39370078740157483" header="0.51181102362204722" footer="0.31496062992125984"/>
      <pageSetup paperSize="9" orientation="portrait" r:id="rId2"/>
      <headerFooter alignWithMargins="0">
        <oddFooter>&amp;C-8-</oddFooter>
      </headerFooter>
    </customSheetView>
  </customSheetViews>
  <mergeCells count="9">
    <mergeCell ref="B3:K3"/>
    <mergeCell ref="K5:K8"/>
    <mergeCell ref="I5:I8"/>
    <mergeCell ref="D5:D8"/>
    <mergeCell ref="F5:F8"/>
    <mergeCell ref="G5:G8"/>
    <mergeCell ref="H5:H8"/>
    <mergeCell ref="E5:E8"/>
    <mergeCell ref="J5:J8"/>
  </mergeCells>
  <phoneticPr fontId="3"/>
  <conditionalFormatting sqref="B17:B21">
    <cfRule type="expression" dxfId="213" priority="1" stopIfTrue="1">
      <formula>$C22=#REF!</formula>
    </cfRule>
  </conditionalFormatting>
  <conditionalFormatting sqref="B29:B33">
    <cfRule type="expression" dxfId="212" priority="2" stopIfTrue="1">
      <formula>$C34=#REF!</formula>
    </cfRule>
  </conditionalFormatting>
  <pageMargins left="0.78740157480314965" right="0.39370078740157483" top="0.59055118110236227" bottom="0.59055118110236227" header="0.39370078740157483" footer="0.39370078740157483"/>
  <pageSetup paperSize="9" scale="92" orientation="portrait" horizontalDpi="300" verticalDpi="300" r:id="rId3"/>
  <headerFooter alignWithMargins="0">
    <oddFooter>&amp;C-8-</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dimension ref="A1:IA67"/>
  <sheetViews>
    <sheetView view="pageBreakPreview" zoomScaleNormal="100" zoomScaleSheetLayoutView="100" workbookViewId="0">
      <pane xSplit="3" ySplit="9" topLeftCell="D37" activePane="bottomRight" state="frozen"/>
      <selection activeCell="B18" sqref="A15:I25"/>
      <selection pane="topRight" activeCell="B18" sqref="A15:I25"/>
      <selection pane="bottomLeft" activeCell="B18" sqref="A15:I25"/>
      <selection pane="bottomRight" activeCell="G71" sqref="G71"/>
    </sheetView>
  </sheetViews>
  <sheetFormatPr defaultColWidth="8.125" defaultRowHeight="13.5"/>
  <cols>
    <col min="1" max="1" width="2.625" style="249" customWidth="1"/>
    <col min="2" max="2" width="4.875" style="245" customWidth="1"/>
    <col min="3" max="3" width="3.875" style="245" customWidth="1"/>
    <col min="4" max="4" width="12.125" style="254" customWidth="1"/>
    <col min="5" max="8" width="12.125" style="252" customWidth="1"/>
    <col min="9" max="9" width="12.125" style="253" customWidth="1"/>
    <col min="10" max="10" width="12.125" style="1224" customWidth="1"/>
    <col min="11" max="11" width="3" customWidth="1"/>
    <col min="31" max="34" width="8.125" style="249"/>
    <col min="35" max="36" width="11.625" style="249" customWidth="1"/>
    <col min="37" max="16384" width="8.125" style="249"/>
  </cols>
  <sheetData>
    <row r="1" spans="1:235" s="245" customFormat="1" ht="15" customHeight="1">
      <c r="B1" s="258" t="s">
        <v>579</v>
      </c>
      <c r="C1" s="246"/>
      <c r="D1" s="260"/>
      <c r="E1" s="248"/>
      <c r="F1" s="248"/>
      <c r="G1" s="248"/>
      <c r="H1" s="248"/>
      <c r="I1" s="247"/>
      <c r="J1" s="1223"/>
    </row>
    <row r="2" spans="1:235" ht="15" customHeight="1">
      <c r="B2" s="246"/>
      <c r="C2" s="246"/>
      <c r="D2" s="251"/>
    </row>
    <row r="3" spans="1:235" ht="15" customHeight="1">
      <c r="B3" s="1514" t="s">
        <v>546</v>
      </c>
      <c r="C3" s="1514"/>
      <c r="D3" s="1514"/>
      <c r="E3" s="1514"/>
      <c r="F3" s="1514"/>
      <c r="G3" s="1514"/>
      <c r="H3" s="1514"/>
      <c r="I3" s="1514"/>
      <c r="J3" s="1225"/>
    </row>
    <row r="4" spans="1:235" ht="15" customHeight="1">
      <c r="B4" s="692"/>
      <c r="C4" s="699" t="s">
        <v>551</v>
      </c>
      <c r="D4" s="456" t="s">
        <v>62</v>
      </c>
      <c r="E4" s="456" t="s">
        <v>164</v>
      </c>
      <c r="F4" s="456" t="s">
        <v>165</v>
      </c>
      <c r="G4" s="456" t="s">
        <v>514</v>
      </c>
      <c r="H4" s="456" t="s">
        <v>512</v>
      </c>
      <c r="I4" s="456" t="s">
        <v>513</v>
      </c>
      <c r="J4" s="1226" t="s">
        <v>515</v>
      </c>
    </row>
    <row r="5" spans="1:235" s="245" customFormat="1" ht="15" customHeight="1">
      <c r="B5" s="697"/>
      <c r="C5" s="698"/>
      <c r="D5" s="1515" t="s">
        <v>73</v>
      </c>
      <c r="E5" s="1517" t="s">
        <v>500</v>
      </c>
      <c r="F5" s="1519" t="s">
        <v>784</v>
      </c>
      <c r="G5" s="1523" t="s">
        <v>632</v>
      </c>
      <c r="H5" s="1521" t="s">
        <v>785</v>
      </c>
      <c r="I5" s="1522" t="s">
        <v>538</v>
      </c>
      <c r="J5" s="1512" t="s">
        <v>405</v>
      </c>
    </row>
    <row r="6" spans="1:235" ht="15" customHeight="1">
      <c r="B6" s="457"/>
      <c r="C6" s="249"/>
      <c r="D6" s="1516"/>
      <c r="E6" s="1518"/>
      <c r="F6" s="1520"/>
      <c r="G6" s="1516"/>
      <c r="H6" s="1516"/>
      <c r="I6" s="1516"/>
      <c r="J6" s="1513"/>
    </row>
    <row r="7" spans="1:235" ht="15" customHeight="1">
      <c r="B7" s="457"/>
      <c r="C7" s="249"/>
      <c r="D7" s="1516"/>
      <c r="E7" s="1518"/>
      <c r="F7" s="1520"/>
      <c r="G7" s="1516"/>
      <c r="H7" s="1516"/>
      <c r="I7" s="1516"/>
      <c r="J7" s="1513"/>
    </row>
    <row r="8" spans="1:235" ht="15" customHeight="1">
      <c r="B8" s="457"/>
      <c r="C8" s="249"/>
      <c r="D8" s="1516"/>
      <c r="E8" s="1518"/>
      <c r="F8" s="1520"/>
      <c r="G8" s="1516"/>
      <c r="H8" s="1516"/>
      <c r="I8" s="1516"/>
      <c r="J8" s="1513"/>
    </row>
    <row r="9" spans="1:235" ht="15" customHeight="1">
      <c r="A9" s="250"/>
      <c r="B9" s="1337" t="s">
        <v>827</v>
      </c>
      <c r="C9" s="814"/>
      <c r="D9" s="1165" t="s">
        <v>753</v>
      </c>
      <c r="E9" s="1165" t="s">
        <v>753</v>
      </c>
      <c r="F9" s="458" t="s">
        <v>516</v>
      </c>
      <c r="G9" s="458" t="s">
        <v>516</v>
      </c>
      <c r="H9" s="261" t="s">
        <v>580</v>
      </c>
      <c r="I9" s="458" t="s">
        <v>516</v>
      </c>
      <c r="J9" s="1227" t="s">
        <v>767</v>
      </c>
      <c r="AE9" s="250"/>
      <c r="AF9" s="250"/>
      <c r="AG9" s="250"/>
      <c r="AH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c r="GK9" s="250"/>
      <c r="GL9" s="250"/>
      <c r="GM9" s="250"/>
      <c r="GN9" s="250"/>
      <c r="GO9" s="250"/>
      <c r="GP9" s="250"/>
      <c r="GQ9" s="250"/>
      <c r="GR9" s="250"/>
      <c r="GS9" s="250"/>
      <c r="GT9" s="250"/>
      <c r="GU9" s="250"/>
      <c r="GV9" s="250"/>
      <c r="GW9" s="250"/>
      <c r="GX9" s="250"/>
      <c r="GY9" s="250"/>
      <c r="GZ9" s="250"/>
      <c r="HA9" s="250"/>
      <c r="HB9" s="250"/>
      <c r="HC9" s="250"/>
      <c r="HD9" s="250"/>
      <c r="HE9" s="250"/>
      <c r="HF9" s="250"/>
      <c r="HG9" s="250"/>
      <c r="HH9" s="250"/>
      <c r="HI9" s="250"/>
      <c r="HJ9" s="250"/>
      <c r="HK9" s="250"/>
      <c r="HL9" s="250"/>
      <c r="HM9" s="250"/>
      <c r="HN9" s="250"/>
      <c r="HO9" s="250"/>
      <c r="HP9" s="250"/>
      <c r="HQ9" s="250"/>
      <c r="HR9" s="250"/>
      <c r="HS9" s="250"/>
      <c r="HT9" s="250"/>
      <c r="HU9" s="250"/>
      <c r="HV9" s="250"/>
      <c r="HW9" s="250"/>
      <c r="HX9" s="250"/>
      <c r="HY9" s="250"/>
      <c r="HZ9" s="250"/>
      <c r="IA9" s="250"/>
    </row>
    <row r="10" spans="1:235" ht="14.1" customHeight="1">
      <c r="B10" s="1008" t="str">
        <f>"Ｒ"&amp;DBCS(初期登録!B$10-3)</f>
        <v>Ｒ５</v>
      </c>
      <c r="C10" s="768">
        <v>1</v>
      </c>
      <c r="D10" s="945">
        <v>103.1</v>
      </c>
      <c r="E10" s="945">
        <v>119</v>
      </c>
      <c r="F10" s="945">
        <v>2.5</v>
      </c>
      <c r="G10" s="1287">
        <v>1</v>
      </c>
      <c r="H10" s="782">
        <v>296612</v>
      </c>
      <c r="I10" s="783">
        <v>4.7</v>
      </c>
      <c r="J10" s="782">
        <v>3756.1</v>
      </c>
    </row>
    <row r="11" spans="1:235" ht="14.1" customHeight="1">
      <c r="B11" s="996"/>
      <c r="C11" s="567">
        <v>2</v>
      </c>
      <c r="D11" s="927">
        <v>103</v>
      </c>
      <c r="E11" s="927">
        <v>170.6</v>
      </c>
      <c r="F11" s="927">
        <v>2.6</v>
      </c>
      <c r="G11" s="1282">
        <v>2</v>
      </c>
      <c r="H11" s="679">
        <v>324808</v>
      </c>
      <c r="I11" s="680">
        <v>3.8</v>
      </c>
      <c r="J11" s="679">
        <v>3042.2</v>
      </c>
    </row>
    <row r="12" spans="1:235" ht="14.1" customHeight="1">
      <c r="B12" s="996"/>
      <c r="C12" s="567">
        <v>3</v>
      </c>
      <c r="D12" s="927">
        <v>104.5</v>
      </c>
      <c r="E12" s="927">
        <v>161</v>
      </c>
      <c r="F12" s="927">
        <v>2.7</v>
      </c>
      <c r="G12" s="1282">
        <v>-1.3</v>
      </c>
      <c r="H12" s="679">
        <v>275860</v>
      </c>
      <c r="I12" s="680">
        <v>3.6</v>
      </c>
      <c r="J12" s="679">
        <v>3265.5</v>
      </c>
    </row>
    <row r="13" spans="1:235" ht="14.1" customHeight="1">
      <c r="B13" s="998"/>
      <c r="C13" s="567">
        <v>4</v>
      </c>
      <c r="D13" s="927">
        <v>103.8</v>
      </c>
      <c r="E13" s="927">
        <v>109.9</v>
      </c>
      <c r="F13" s="927">
        <v>2.6</v>
      </c>
      <c r="G13" s="1282">
        <v>2.2999999999999998</v>
      </c>
      <c r="H13" s="679">
        <v>287788</v>
      </c>
      <c r="I13" s="680">
        <v>4.0999999999999996</v>
      </c>
      <c r="J13" s="679">
        <v>3016.2</v>
      </c>
    </row>
    <row r="14" spans="1:235" ht="14.1" customHeight="1">
      <c r="B14" s="1000"/>
      <c r="C14" s="567">
        <v>5</v>
      </c>
      <c r="D14" s="927">
        <v>103.7</v>
      </c>
      <c r="E14" s="927">
        <v>108.2</v>
      </c>
      <c r="F14" s="927">
        <v>2.5</v>
      </c>
      <c r="G14" s="1282">
        <v>-1.8</v>
      </c>
      <c r="H14" s="679">
        <v>295039</v>
      </c>
      <c r="I14" s="680">
        <v>3.5</v>
      </c>
      <c r="J14" s="679">
        <v>3269</v>
      </c>
    </row>
    <row r="15" spans="1:235" ht="14.1" customHeight="1">
      <c r="B15" s="996"/>
      <c r="C15" s="567">
        <v>6</v>
      </c>
      <c r="D15" s="927">
        <v>103.2</v>
      </c>
      <c r="E15" s="927">
        <v>106.2</v>
      </c>
      <c r="F15" s="927">
        <v>2.5</v>
      </c>
      <c r="G15" s="1282">
        <v>-0.1</v>
      </c>
      <c r="H15" s="679">
        <v>260415</v>
      </c>
      <c r="I15" s="680">
        <v>3.8</v>
      </c>
      <c r="J15" s="679">
        <v>2885.8</v>
      </c>
    </row>
    <row r="16" spans="1:235" ht="14.1" customHeight="1">
      <c r="B16" s="996"/>
      <c r="C16" s="567">
        <v>7</v>
      </c>
      <c r="D16" s="927">
        <v>103.8</v>
      </c>
      <c r="E16" s="927">
        <v>114.1</v>
      </c>
      <c r="F16" s="927">
        <v>2.6</v>
      </c>
      <c r="G16" s="1282">
        <v>1.3</v>
      </c>
      <c r="H16" s="679">
        <v>290775</v>
      </c>
      <c r="I16" s="680">
        <v>3.8</v>
      </c>
      <c r="J16" s="679">
        <v>3212.9</v>
      </c>
    </row>
    <row r="17" spans="2:10" ht="14.1" customHeight="1">
      <c r="B17" s="996"/>
      <c r="C17" s="567">
        <v>8</v>
      </c>
      <c r="D17" s="927">
        <v>104.1</v>
      </c>
      <c r="E17" s="927">
        <v>109.6</v>
      </c>
      <c r="F17" s="927">
        <v>2.6</v>
      </c>
      <c r="G17" s="1282">
        <v>2.8</v>
      </c>
      <c r="H17" s="679">
        <v>292701</v>
      </c>
      <c r="I17" s="680">
        <v>4.7</v>
      </c>
      <c r="J17" s="679">
        <v>3428.3</v>
      </c>
    </row>
    <row r="18" spans="2:10" ht="14.1" customHeight="1">
      <c r="B18" s="996"/>
      <c r="C18" s="567">
        <v>9</v>
      </c>
      <c r="D18" s="927">
        <v>104.1</v>
      </c>
      <c r="E18" s="927">
        <v>113.7</v>
      </c>
      <c r="F18" s="927">
        <v>2.6</v>
      </c>
      <c r="G18" s="1282">
        <v>1.8</v>
      </c>
      <c r="H18" s="679">
        <v>304093</v>
      </c>
      <c r="I18" s="680">
        <v>4.5999999999999996</v>
      </c>
      <c r="J18" s="679">
        <v>3436</v>
      </c>
    </row>
    <row r="19" spans="2:10" ht="14.1" customHeight="1">
      <c r="B19" s="996"/>
      <c r="C19" s="567">
        <v>10</v>
      </c>
      <c r="D19" s="927">
        <v>104.8</v>
      </c>
      <c r="E19" s="927">
        <v>112.7</v>
      </c>
      <c r="F19" s="927">
        <v>2.5</v>
      </c>
      <c r="G19" s="1282">
        <v>0.1</v>
      </c>
      <c r="H19" s="679">
        <v>362899</v>
      </c>
      <c r="I19" s="680">
        <v>4.5</v>
      </c>
      <c r="J19" s="679">
        <v>3273.3</v>
      </c>
    </row>
    <row r="20" spans="2:10" ht="14.1" customHeight="1">
      <c r="B20" s="996"/>
      <c r="C20" s="567">
        <v>11</v>
      </c>
      <c r="D20" s="927">
        <v>104.9</v>
      </c>
      <c r="E20" s="927">
        <v>93.3</v>
      </c>
      <c r="F20" s="927">
        <v>2.6</v>
      </c>
      <c r="G20" s="1282">
        <v>0.4</v>
      </c>
      <c r="H20" s="679">
        <v>295708</v>
      </c>
      <c r="I20" s="680">
        <v>4.0999999999999996</v>
      </c>
      <c r="J20" s="679">
        <v>3437.9</v>
      </c>
    </row>
    <row r="21" spans="2:10" ht="14.1" customHeight="1">
      <c r="B21" s="997"/>
      <c r="C21" s="787">
        <v>12</v>
      </c>
      <c r="D21" s="928">
        <v>104.7</v>
      </c>
      <c r="E21" s="928">
        <v>128.1</v>
      </c>
      <c r="F21" s="928">
        <v>2.5</v>
      </c>
      <c r="G21" s="1283">
        <v>2</v>
      </c>
      <c r="H21" s="916">
        <v>291607</v>
      </c>
      <c r="I21" s="915">
        <v>3.5</v>
      </c>
      <c r="J21" s="916">
        <v>3583.7</v>
      </c>
    </row>
    <row r="22" spans="2:10" ht="14.1" customHeight="1">
      <c r="B22" s="1008" t="str">
        <f>"Ｒ"&amp;DBCS(初期登録!B$10-2)</f>
        <v>Ｒ６</v>
      </c>
      <c r="C22" s="768">
        <v>1</v>
      </c>
      <c r="D22" s="929">
        <v>104.5</v>
      </c>
      <c r="E22" s="929">
        <v>107.5</v>
      </c>
      <c r="F22" s="929">
        <v>2.5</v>
      </c>
      <c r="G22" s="1284">
        <v>-0.5</v>
      </c>
      <c r="H22" s="834">
        <v>273904</v>
      </c>
      <c r="I22" s="835">
        <v>3.1</v>
      </c>
      <c r="J22" s="834">
        <v>2218.8000000000002</v>
      </c>
    </row>
    <row r="23" spans="2:10" ht="14.1" customHeight="1">
      <c r="B23" s="996"/>
      <c r="C23" s="567">
        <v>2</v>
      </c>
      <c r="D23" s="927">
        <v>104.8</v>
      </c>
      <c r="E23" s="927">
        <v>124.1</v>
      </c>
      <c r="F23" s="927">
        <v>2.6</v>
      </c>
      <c r="G23" s="1282">
        <v>1.3</v>
      </c>
      <c r="H23" s="679">
        <v>302053</v>
      </c>
      <c r="I23" s="680">
        <v>3.6</v>
      </c>
      <c r="J23" s="679">
        <v>3684.4</v>
      </c>
    </row>
    <row r="24" spans="2:10" ht="14.1" customHeight="1">
      <c r="B24" s="996"/>
      <c r="C24" s="567">
        <v>3</v>
      </c>
      <c r="D24" s="927">
        <v>104.5</v>
      </c>
      <c r="E24" s="927">
        <v>128.6</v>
      </c>
      <c r="F24" s="927">
        <v>2.6</v>
      </c>
      <c r="G24" s="1282">
        <v>3.6</v>
      </c>
      <c r="H24" s="679">
        <v>292065</v>
      </c>
      <c r="I24" s="680">
        <v>3.2</v>
      </c>
      <c r="J24" s="679">
        <v>3190.6</v>
      </c>
    </row>
    <row r="25" spans="2:10" ht="14.1" customHeight="1">
      <c r="B25" s="998"/>
      <c r="C25" s="567">
        <v>4</v>
      </c>
      <c r="D25" s="927">
        <v>104.4</v>
      </c>
      <c r="E25" s="927">
        <v>135.80000000000001</v>
      </c>
      <c r="F25" s="927">
        <v>2.6</v>
      </c>
      <c r="G25" s="1282">
        <v>-0.5</v>
      </c>
      <c r="H25" s="679">
        <v>244705</v>
      </c>
      <c r="I25" s="680">
        <v>3.1</v>
      </c>
      <c r="J25" s="679">
        <v>3979.5</v>
      </c>
    </row>
    <row r="26" spans="2:10" ht="14.1" customHeight="1">
      <c r="B26" s="1000"/>
      <c r="C26" s="567">
        <v>5</v>
      </c>
      <c r="D26" s="927">
        <v>104.5</v>
      </c>
      <c r="E26" s="927">
        <v>122.6</v>
      </c>
      <c r="F26" s="927">
        <v>2.6</v>
      </c>
      <c r="G26" s="1282">
        <v>0.9</v>
      </c>
      <c r="H26" s="679">
        <v>259288</v>
      </c>
      <c r="I26" s="680">
        <v>3.7</v>
      </c>
      <c r="J26" s="679">
        <v>3779.5</v>
      </c>
    </row>
    <row r="27" spans="2:10" ht="14.1" customHeight="1">
      <c r="B27" s="996"/>
      <c r="C27" s="567">
        <v>6</v>
      </c>
      <c r="D27" s="927">
        <v>104.9</v>
      </c>
      <c r="E27" s="927">
        <v>126.4</v>
      </c>
      <c r="F27" s="927">
        <v>2.5</v>
      </c>
      <c r="G27" s="1282">
        <v>4.5999999999999996</v>
      </c>
      <c r="H27" s="679">
        <v>380681</v>
      </c>
      <c r="I27" s="680">
        <v>3.2</v>
      </c>
      <c r="J27" s="679">
        <v>2841.2</v>
      </c>
    </row>
    <row r="28" spans="2:10" ht="14.1" customHeight="1">
      <c r="B28" s="996"/>
      <c r="C28" s="567">
        <v>7</v>
      </c>
      <c r="D28" s="927">
        <v>105</v>
      </c>
      <c r="E28" s="927">
        <v>99.6</v>
      </c>
      <c r="F28" s="927">
        <v>2.7</v>
      </c>
      <c r="G28" s="1282">
        <v>-4.3</v>
      </c>
      <c r="H28" s="679">
        <v>266868</v>
      </c>
      <c r="I28" s="680">
        <v>3.3</v>
      </c>
      <c r="J28" s="679">
        <v>5956.7</v>
      </c>
    </row>
    <row r="29" spans="2:10" ht="14.1" customHeight="1">
      <c r="B29" s="996"/>
      <c r="C29" s="567">
        <v>8</v>
      </c>
      <c r="D29" s="927">
        <v>105.4</v>
      </c>
      <c r="E29" s="927">
        <v>121</v>
      </c>
      <c r="F29" s="927">
        <v>2.5</v>
      </c>
      <c r="G29" s="1282">
        <v>3</v>
      </c>
      <c r="H29" s="1277">
        <v>329269</v>
      </c>
      <c r="I29" s="680">
        <v>2.7</v>
      </c>
      <c r="J29" s="679">
        <v>3643.4</v>
      </c>
    </row>
    <row r="30" spans="2:10" ht="14.1" customHeight="1">
      <c r="B30" s="996"/>
      <c r="C30" s="567">
        <v>9</v>
      </c>
      <c r="D30" s="927">
        <v>105.6</v>
      </c>
      <c r="E30" s="927">
        <v>132.9</v>
      </c>
      <c r="F30" s="927">
        <v>2.4</v>
      </c>
      <c r="G30" s="1282">
        <v>0.3</v>
      </c>
      <c r="H30" s="1277">
        <v>293666</v>
      </c>
      <c r="I30" s="680">
        <v>2.1</v>
      </c>
      <c r="J30" s="679">
        <v>3483.5</v>
      </c>
    </row>
    <row r="31" spans="2:10" ht="14.1" customHeight="1">
      <c r="B31" s="996"/>
      <c r="C31" s="567">
        <v>10</v>
      </c>
      <c r="D31" s="927">
        <v>105.4</v>
      </c>
      <c r="E31" s="927">
        <v>148.6</v>
      </c>
      <c r="F31" s="927">
        <v>2.5</v>
      </c>
      <c r="G31" s="1282">
        <v>-2.6</v>
      </c>
      <c r="H31" s="1277">
        <v>310453</v>
      </c>
      <c r="I31" s="680">
        <v>2.4</v>
      </c>
      <c r="J31" s="679">
        <v>3426.3</v>
      </c>
    </row>
    <row r="32" spans="2:10" ht="14.1" customHeight="1">
      <c r="B32" s="996"/>
      <c r="C32" s="567">
        <v>11</v>
      </c>
      <c r="D32" s="927">
        <v>105.8</v>
      </c>
      <c r="E32" s="927">
        <v>138.80000000000001</v>
      </c>
      <c r="F32" s="927">
        <v>2.5</v>
      </c>
      <c r="G32" s="1282">
        <v>2.6</v>
      </c>
      <c r="H32" s="1277">
        <v>388180</v>
      </c>
      <c r="I32" s="680">
        <v>2.9</v>
      </c>
      <c r="J32" s="679">
        <v>3527.5</v>
      </c>
    </row>
    <row r="33" spans="2:13" ht="14.1" customHeight="1">
      <c r="B33" s="997"/>
      <c r="C33" s="787">
        <v>12</v>
      </c>
      <c r="D33" s="928">
        <v>106.2</v>
      </c>
      <c r="E33" s="928">
        <v>133</v>
      </c>
      <c r="F33" s="928">
        <v>2.5</v>
      </c>
      <c r="G33" s="1283">
        <v>0.6</v>
      </c>
      <c r="H33" s="1278">
        <v>299489</v>
      </c>
      <c r="I33" s="915">
        <v>3.5</v>
      </c>
      <c r="J33" s="916">
        <v>3413.2</v>
      </c>
    </row>
    <row r="34" spans="2:13" ht="14.1" customHeight="1">
      <c r="B34" s="1008" t="str">
        <f>"Ｒ"&amp;DBCS(初期登録!B$10-1)</f>
        <v>Ｒ７</v>
      </c>
      <c r="C34" s="768">
        <v>1</v>
      </c>
      <c r="D34" s="929">
        <v>106.1</v>
      </c>
      <c r="E34" s="929">
        <v>135.9</v>
      </c>
      <c r="F34" s="929">
        <v>2.5</v>
      </c>
      <c r="G34" s="1284">
        <v>2.9</v>
      </c>
      <c r="H34" s="1279">
        <v>293059</v>
      </c>
      <c r="I34" s="835">
        <v>3.8</v>
      </c>
      <c r="J34" s="834">
        <v>3329.7</v>
      </c>
    </row>
    <row r="35" spans="2:13" ht="14.1" customHeight="1">
      <c r="B35" s="996"/>
      <c r="C35" s="567">
        <v>2</v>
      </c>
      <c r="D35" s="927">
        <v>106.3</v>
      </c>
      <c r="E35" s="927">
        <v>137.4</v>
      </c>
      <c r="F35" s="927">
        <v>2.4</v>
      </c>
      <c r="G35" s="1282">
        <v>1.2</v>
      </c>
      <c r="H35" s="1277">
        <v>251622</v>
      </c>
      <c r="I35" s="680">
        <v>3.5</v>
      </c>
      <c r="J35" s="679">
        <v>3900.5</v>
      </c>
    </row>
    <row r="36" spans="2:13" ht="14.1" customHeight="1">
      <c r="B36" s="996"/>
      <c r="C36" s="567">
        <v>3</v>
      </c>
      <c r="D36" s="927">
        <v>104.7</v>
      </c>
      <c r="E36" s="927">
        <v>167.8</v>
      </c>
      <c r="F36" s="927">
        <v>2.5</v>
      </c>
      <c r="G36" s="1282">
        <v>1.8</v>
      </c>
      <c r="H36" s="1277">
        <v>297809</v>
      </c>
      <c r="I36" s="680">
        <v>3.7</v>
      </c>
      <c r="J36" s="679">
        <v>2936.6</v>
      </c>
    </row>
    <row r="37" spans="2:13" ht="14.1" customHeight="1">
      <c r="B37" s="998"/>
      <c r="C37" s="567">
        <v>4</v>
      </c>
      <c r="D37" s="927">
        <v>104.8</v>
      </c>
      <c r="E37" s="927">
        <v>117</v>
      </c>
      <c r="F37" s="927">
        <v>2.5</v>
      </c>
      <c r="G37" s="1282">
        <v>0.9</v>
      </c>
      <c r="H37" s="679">
        <v>294370</v>
      </c>
      <c r="I37" s="680">
        <v>3.4</v>
      </c>
      <c r="J37" s="679">
        <v>3706.6</v>
      </c>
    </row>
    <row r="38" spans="2:13" ht="14.1" customHeight="1">
      <c r="B38" s="1000"/>
      <c r="C38" s="567">
        <v>5</v>
      </c>
      <c r="D38" s="927">
        <v>104.6</v>
      </c>
      <c r="E38" s="927">
        <v>115.4</v>
      </c>
      <c r="F38" s="927">
        <v>2.5</v>
      </c>
      <c r="G38" s="1282">
        <v>-1.3</v>
      </c>
      <c r="H38" s="679">
        <v>265595</v>
      </c>
      <c r="I38" s="680">
        <v>3.3</v>
      </c>
      <c r="J38" s="679">
        <v>3782.6</v>
      </c>
    </row>
    <row r="39" spans="2:13" ht="14.1" customHeight="1">
      <c r="B39" s="996"/>
      <c r="C39" s="567">
        <v>6</v>
      </c>
      <c r="D39" s="927">
        <v>104.3</v>
      </c>
      <c r="E39" s="927">
        <v>125.2</v>
      </c>
      <c r="F39" s="927">
        <v>2.5</v>
      </c>
      <c r="G39" s="1282">
        <v>0.3</v>
      </c>
      <c r="H39" s="679">
        <v>251762</v>
      </c>
      <c r="I39" s="680">
        <v>3.3</v>
      </c>
      <c r="J39" s="679">
        <v>3081.1</v>
      </c>
    </row>
    <row r="40" spans="2:13" ht="14.1" customHeight="1">
      <c r="B40" s="996"/>
      <c r="C40" s="567">
        <v>7</v>
      </c>
      <c r="D40" s="927">
        <v>104.5</v>
      </c>
      <c r="E40" s="927">
        <v>113.7</v>
      </c>
      <c r="F40" s="927">
        <v>2.4</v>
      </c>
      <c r="G40" s="1282">
        <v>2.9</v>
      </c>
      <c r="H40" s="679">
        <v>362350</v>
      </c>
      <c r="I40" s="680">
        <v>3.1</v>
      </c>
      <c r="J40" s="679">
        <v>2170</v>
      </c>
    </row>
    <row r="41" spans="2:13" ht="14.1" customHeight="1">
      <c r="B41" s="996"/>
      <c r="C41" s="567">
        <v>8</v>
      </c>
      <c r="D41" s="927">
        <v>103.8</v>
      </c>
      <c r="E41" s="927">
        <v>122.8</v>
      </c>
      <c r="F41" s="927">
        <v>2.6</v>
      </c>
      <c r="G41" s="1282">
        <v>-0.8</v>
      </c>
      <c r="H41" s="679">
        <v>251313</v>
      </c>
      <c r="I41" s="680">
        <v>2.7</v>
      </c>
      <c r="J41" s="679">
        <v>4318.3999999999996</v>
      </c>
    </row>
    <row r="42" spans="2:13" ht="14.1" customHeight="1">
      <c r="B42" s="996"/>
      <c r="C42" s="567">
        <v>9</v>
      </c>
      <c r="D42" s="927">
        <v>103.4</v>
      </c>
      <c r="E42" s="927">
        <v>117.2</v>
      </c>
      <c r="F42" s="927">
        <v>2.6</v>
      </c>
      <c r="G42" s="1282">
        <v>-2.2999999999999998</v>
      </c>
      <c r="H42" s="679">
        <v>345055</v>
      </c>
      <c r="I42" s="680">
        <v>3.6</v>
      </c>
      <c r="J42" s="679">
        <v>3643.4</v>
      </c>
    </row>
    <row r="43" spans="2:13" ht="14.1" customHeight="1">
      <c r="B43" s="996"/>
      <c r="C43" s="567">
        <v>10</v>
      </c>
      <c r="D43" s="927">
        <v>103.8</v>
      </c>
      <c r="E43" s="927">
        <v>114.6</v>
      </c>
      <c r="F43" s="927">
        <v>2.6</v>
      </c>
      <c r="G43" s="1282">
        <v>0.9</v>
      </c>
      <c r="H43" s="679">
        <v>332048</v>
      </c>
      <c r="I43" s="680">
        <v>3.7</v>
      </c>
      <c r="J43" s="679">
        <v>4108.6000000000004</v>
      </c>
    </row>
    <row r="44" spans="2:13" ht="14.1" customHeight="1">
      <c r="B44" s="996"/>
      <c r="C44" s="567">
        <v>11</v>
      </c>
      <c r="D44" s="927">
        <v>104.4</v>
      </c>
      <c r="E44" s="927">
        <v>120.6</v>
      </c>
      <c r="F44" s="927">
        <v>2.6</v>
      </c>
      <c r="G44" s="1282">
        <v>0.2</v>
      </c>
      <c r="H44" s="679">
        <v>380334</v>
      </c>
      <c r="I44" s="680">
        <v>3.8</v>
      </c>
      <c r="J44" s="679">
        <v>3460.8</v>
      </c>
    </row>
    <row r="45" spans="2:13" ht="14.1" customHeight="1">
      <c r="B45" s="997"/>
      <c r="C45" s="923">
        <v>12</v>
      </c>
      <c r="D45" s="928">
        <v>104.1</v>
      </c>
      <c r="E45" s="928">
        <v>114.2</v>
      </c>
      <c r="F45" s="928">
        <v>2.6</v>
      </c>
      <c r="G45" s="1283">
        <v>-3</v>
      </c>
      <c r="H45" s="916">
        <v>365105</v>
      </c>
      <c r="I45" s="915">
        <v>3.3</v>
      </c>
      <c r="J45" s="916">
        <v>4689.3999999999996</v>
      </c>
    </row>
    <row r="46" spans="2:13" ht="13.5" customHeight="1">
      <c r="B46" s="1008" t="str">
        <f>"Ｒ"&amp;DBCS(初期登録!B$10)</f>
        <v>Ｒ８</v>
      </c>
      <c r="C46" s="1056">
        <v>1</v>
      </c>
      <c r="D46" s="929">
        <v>103.6</v>
      </c>
      <c r="E46" s="929">
        <v>133.4</v>
      </c>
      <c r="F46" s="929">
        <v>2.7</v>
      </c>
      <c r="G46" s="1284">
        <v>-0.8</v>
      </c>
      <c r="H46" s="1058">
        <v>297012</v>
      </c>
      <c r="I46" s="1057">
        <v>2.2999999999999998</v>
      </c>
      <c r="J46" s="1058">
        <v>2326.8000000000002</v>
      </c>
    </row>
    <row r="47" spans="2:13" ht="13.5" customHeight="1">
      <c r="B47" s="998"/>
      <c r="C47" s="898">
        <v>2</v>
      </c>
      <c r="D47" s="927">
        <v>103</v>
      </c>
      <c r="E47" s="927">
        <v>104.6</v>
      </c>
      <c r="F47" s="927">
        <v>2.6</v>
      </c>
      <c r="G47" s="1282">
        <v>-0.6</v>
      </c>
      <c r="H47" s="917">
        <v>245167</v>
      </c>
      <c r="I47" s="899">
        <v>2.4</v>
      </c>
      <c r="J47" s="917">
        <v>4151.3999999999996</v>
      </c>
      <c r="K47" s="1162"/>
      <c r="M47" s="900"/>
    </row>
    <row r="48" spans="2:13" ht="13.5" customHeight="1">
      <c r="B48" s="998"/>
      <c r="C48" s="898">
        <v>3</v>
      </c>
      <c r="D48" s="899">
        <v>103.2</v>
      </c>
      <c r="E48" s="899">
        <v>147.19999999999999</v>
      </c>
      <c r="F48" s="899">
        <v>2.7</v>
      </c>
      <c r="G48" s="899">
        <v>-2.8</v>
      </c>
      <c r="H48" s="917">
        <v>277629</v>
      </c>
      <c r="I48" s="899">
        <v>2.9</v>
      </c>
      <c r="J48" s="980">
        <v>3526.5</v>
      </c>
      <c r="K48" s="1162"/>
    </row>
    <row r="49" spans="2:36" ht="13.5" hidden="1" customHeight="1">
      <c r="B49" s="998"/>
      <c r="C49" s="898">
        <v>4</v>
      </c>
      <c r="D49" s="899"/>
      <c r="E49" s="899"/>
      <c r="F49" s="899"/>
      <c r="G49" s="899"/>
      <c r="H49" s="917"/>
      <c r="I49" s="899"/>
      <c r="J49" s="980"/>
      <c r="K49" s="1162"/>
    </row>
    <row r="50" spans="2:36" ht="14.25" hidden="1" customHeight="1">
      <c r="B50" s="998"/>
      <c r="C50" s="898">
        <v>5</v>
      </c>
      <c r="D50" s="899"/>
      <c r="E50" s="1280"/>
      <c r="F50" s="899"/>
      <c r="G50" s="899"/>
      <c r="H50" s="917"/>
      <c r="I50" s="899"/>
      <c r="J50" s="980"/>
      <c r="K50" s="1162"/>
    </row>
    <row r="51" spans="2:36" ht="14.25" hidden="1" customHeight="1">
      <c r="B51" s="897"/>
      <c r="C51" s="898">
        <v>6</v>
      </c>
      <c r="D51" s="926"/>
      <c r="E51" s="926"/>
      <c r="F51" s="926"/>
      <c r="G51" s="925"/>
      <c r="H51" s="917"/>
      <c r="I51" s="899"/>
      <c r="J51" s="917"/>
      <c r="K51" s="1162"/>
    </row>
    <row r="52" spans="2:36" ht="14.25" hidden="1" customHeight="1">
      <c r="B52" s="897"/>
      <c r="C52" s="898">
        <v>7</v>
      </c>
      <c r="D52" s="926"/>
      <c r="E52" s="926"/>
      <c r="F52" s="1324"/>
      <c r="G52" s="925"/>
      <c r="H52" s="917"/>
      <c r="I52" s="899"/>
      <c r="J52" s="917"/>
      <c r="K52" s="1162"/>
    </row>
    <row r="53" spans="2:36" ht="15" hidden="1" customHeight="1">
      <c r="B53" s="897"/>
      <c r="C53" s="898">
        <v>8</v>
      </c>
      <c r="D53" s="926"/>
      <c r="E53" s="926"/>
      <c r="F53" s="926"/>
      <c r="G53" s="899"/>
      <c r="H53" s="917"/>
      <c r="I53" s="899"/>
      <c r="J53" s="917"/>
      <c r="K53" s="1162"/>
      <c r="AE53"/>
      <c r="AF53"/>
      <c r="AG53"/>
      <c r="AH53"/>
      <c r="AI53"/>
    </row>
    <row r="54" spans="2:36" ht="15" hidden="1" customHeight="1">
      <c r="B54" s="897"/>
      <c r="C54" s="898">
        <v>9</v>
      </c>
      <c r="D54" s="926"/>
      <c r="E54" s="926"/>
      <c r="F54" s="926"/>
      <c r="G54" s="899"/>
      <c r="H54" s="917"/>
      <c r="I54" s="899"/>
      <c r="J54" s="917"/>
      <c r="K54" s="1162"/>
      <c r="AE54"/>
      <c r="AF54"/>
      <c r="AG54"/>
      <c r="AH54"/>
      <c r="AI54"/>
    </row>
    <row r="55" spans="2:36" ht="15" hidden="1" customHeight="1">
      <c r="B55" s="897"/>
      <c r="C55" s="898">
        <v>10</v>
      </c>
      <c r="D55" s="926"/>
      <c r="E55" s="926"/>
      <c r="F55" s="926"/>
      <c r="G55" s="925"/>
      <c r="H55" s="917"/>
      <c r="I55" s="899"/>
      <c r="J55" s="917"/>
      <c r="K55" s="1162"/>
      <c r="AE55"/>
      <c r="AF55"/>
      <c r="AG55"/>
      <c r="AH55"/>
      <c r="AI55"/>
    </row>
    <row r="56" spans="2:36" ht="15" hidden="1" customHeight="1">
      <c r="B56" s="897"/>
      <c r="C56" s="898">
        <v>11</v>
      </c>
      <c r="D56" s="926"/>
      <c r="E56" s="926"/>
      <c r="F56" s="926"/>
      <c r="G56" s="925"/>
      <c r="H56" s="937"/>
      <c r="I56" s="1280"/>
      <c r="J56" s="980"/>
      <c r="K56" s="1162"/>
      <c r="AE56"/>
      <c r="AF56"/>
      <c r="AG56"/>
      <c r="AH56"/>
      <c r="AI56"/>
    </row>
    <row r="57" spans="2:36" ht="13.5" hidden="1" customHeight="1">
      <c r="B57" s="897"/>
      <c r="C57" s="898">
        <v>12</v>
      </c>
      <c r="D57" s="1323"/>
      <c r="E57" s="1323"/>
      <c r="F57" s="1323"/>
      <c r="G57" s="1235"/>
      <c r="H57" s="937"/>
      <c r="I57" s="1280"/>
      <c r="J57" s="980"/>
      <c r="K57" s="1162"/>
      <c r="AE57"/>
      <c r="AF57"/>
      <c r="AG57"/>
      <c r="AH57"/>
      <c r="AI57"/>
    </row>
    <row r="58" spans="2:36" ht="13.5" hidden="1" customHeight="1">
      <c r="B58" s="1082"/>
      <c r="C58" s="1082"/>
      <c r="D58" s="1173"/>
      <c r="E58" s="1084"/>
      <c r="F58" s="1134"/>
      <c r="G58" s="1084"/>
      <c r="H58" s="1085"/>
      <c r="I58" s="1084"/>
      <c r="J58" s="1228"/>
      <c r="K58" s="1162"/>
      <c r="AE58"/>
      <c r="AF58"/>
      <c r="AG58"/>
      <c r="AH58"/>
      <c r="AI58"/>
    </row>
    <row r="59" spans="2:36" ht="6.75" customHeight="1">
      <c r="B59" s="1082"/>
      <c r="C59" s="1082"/>
      <c r="D59" s="1083"/>
      <c r="E59" s="1084"/>
      <c r="F59" s="1084"/>
      <c r="G59" s="1084"/>
      <c r="H59" s="1085"/>
      <c r="I59" s="1084"/>
      <c r="J59" s="1229"/>
      <c r="K59" s="1162"/>
      <c r="AE59"/>
      <c r="AF59"/>
      <c r="AG59"/>
      <c r="AH59"/>
      <c r="AI59"/>
    </row>
    <row r="60" spans="2:36">
      <c r="B60" s="445" t="s">
        <v>63</v>
      </c>
      <c r="C60" s="441" t="s">
        <v>577</v>
      </c>
      <c r="D60" s="254" t="s">
        <v>755</v>
      </c>
      <c r="E60" s="450"/>
      <c r="F60" s="450"/>
      <c r="G60" s="450"/>
      <c r="H60" s="451"/>
      <c r="I60" s="451"/>
      <c r="J60" s="1230"/>
      <c r="K60" s="1162"/>
    </row>
    <row r="61" spans="2:36" ht="13.5" customHeight="1">
      <c r="B61" s="249" t="s">
        <v>64</v>
      </c>
      <c r="C61" s="441" t="s">
        <v>552</v>
      </c>
      <c r="D61" s="1499" t="s">
        <v>757</v>
      </c>
      <c r="E61" s="1499"/>
      <c r="F61" s="1499"/>
      <c r="G61" s="1499"/>
      <c r="H61" s="1499"/>
      <c r="I61" s="1499"/>
      <c r="J61" s="1499"/>
      <c r="K61" s="1239"/>
    </row>
    <row r="62" spans="2:36" ht="12" customHeight="1">
      <c r="B62" s="249" t="s">
        <v>542</v>
      </c>
      <c r="C62" s="1169" t="s">
        <v>766</v>
      </c>
      <c r="D62" s="254" t="s">
        <v>765</v>
      </c>
      <c r="H62" s="253"/>
      <c r="I62" s="252"/>
      <c r="K62" s="252"/>
      <c r="L62" s="252"/>
      <c r="AE62"/>
      <c r="AF62"/>
      <c r="AG62"/>
      <c r="AH62"/>
      <c r="AI62"/>
      <c r="AJ62"/>
    </row>
    <row r="63" spans="2:36">
      <c r="B63" s="249"/>
      <c r="C63" s="1169" t="s">
        <v>839</v>
      </c>
      <c r="D63" s="1108" t="s">
        <v>818</v>
      </c>
      <c r="E63" s="256"/>
      <c r="F63" s="256"/>
      <c r="G63" s="256"/>
      <c r="H63" s="256"/>
      <c r="I63" s="257"/>
      <c r="J63" s="1231"/>
      <c r="K63" s="1162"/>
    </row>
    <row r="64" spans="2:36">
      <c r="B64" s="249"/>
      <c r="C64" s="1169" t="s">
        <v>840</v>
      </c>
      <c r="D64" s="1108" t="s">
        <v>847</v>
      </c>
      <c r="E64" s="256"/>
      <c r="F64" s="256"/>
      <c r="G64" s="256"/>
      <c r="H64" s="256"/>
      <c r="I64" s="257"/>
      <c r="J64" s="1231"/>
      <c r="K64" s="1162"/>
    </row>
    <row r="65" spans="2:11" ht="6.75" customHeight="1">
      <c r="B65" s="249"/>
      <c r="C65" s="1171"/>
      <c r="D65" s="1170"/>
      <c r="E65" s="256"/>
      <c r="F65" s="256"/>
      <c r="G65" s="256"/>
      <c r="H65" s="256"/>
      <c r="I65" s="257"/>
      <c r="J65" s="1231"/>
      <c r="K65" s="1162"/>
    </row>
    <row r="66" spans="2:11">
      <c r="B66" s="249"/>
      <c r="C66" s="262"/>
      <c r="D66" s="1133"/>
      <c r="E66" s="256"/>
      <c r="F66" s="256"/>
      <c r="G66" s="256"/>
      <c r="H66" s="256"/>
      <c r="I66" s="257"/>
      <c r="J66" s="1231"/>
    </row>
    <row r="67" spans="2:11">
      <c r="B67" s="259"/>
      <c r="C67" s="262"/>
      <c r="D67" s="255"/>
      <c r="E67" s="256"/>
      <c r="F67" s="256"/>
      <c r="G67" s="256"/>
      <c r="H67" s="256"/>
      <c r="I67" s="257"/>
      <c r="J67" s="1231"/>
    </row>
  </sheetData>
  <customSheetViews>
    <customSheetView guid="{7EBA91D6-F088-446F-A1CC-E1462A1CA2C3}" scale="120" showRuler="0" topLeftCell="A193">
      <selection activeCell="B206" sqref="B206"/>
      <pageMargins left="0.39370078740157483" right="0.39370078740157483" top="0.59055118110236227" bottom="0.39370078740157483" header="0.51181102362204722" footer="0.31496062992125984"/>
      <pageSetup paperSize="9" orientation="portrait" r:id="rId1"/>
      <headerFooter alignWithMargins="0">
        <oddFooter>&amp;C-9-</oddFooter>
      </headerFooter>
    </customSheetView>
    <customSheetView guid="{883B7A2B-3CB3-449D-A461-655262B722BC}" scale="120" showRuler="0" topLeftCell="A193">
      <selection activeCell="B206" sqref="B206"/>
      <pageMargins left="0.39370078740157483" right="0.39370078740157483" top="0.59055118110236227" bottom="0.39370078740157483" header="0.51181102362204722" footer="0.31496062992125984"/>
      <pageSetup paperSize="9" orientation="portrait" r:id="rId2"/>
      <headerFooter alignWithMargins="0">
        <oddFooter>&amp;C-9-</oddFooter>
      </headerFooter>
    </customSheetView>
  </customSheetViews>
  <mergeCells count="9">
    <mergeCell ref="D61:J61"/>
    <mergeCell ref="J5:J8"/>
    <mergeCell ref="B3:I3"/>
    <mergeCell ref="D5:D8"/>
    <mergeCell ref="E5:E8"/>
    <mergeCell ref="F5:F8"/>
    <mergeCell ref="H5:H8"/>
    <mergeCell ref="I5:I8"/>
    <mergeCell ref="G5:G8"/>
  </mergeCells>
  <phoneticPr fontId="3"/>
  <conditionalFormatting sqref="B17:B21">
    <cfRule type="expression" dxfId="211" priority="1" stopIfTrue="1">
      <formula>$C22=#REF!</formula>
    </cfRule>
  </conditionalFormatting>
  <conditionalFormatting sqref="B29:B33">
    <cfRule type="expression" dxfId="210" priority="2" stopIfTrue="1">
      <formula>$C34=#REF!</formula>
    </cfRule>
  </conditionalFormatting>
  <pageMargins left="0.78740157480314965" right="0.39370078740157483" top="0.59055118110236227" bottom="0.59055118110236227" header="0.39370078740157483" footer="0.39370078740157483"/>
  <pageSetup paperSize="9" scale="92" orientation="portrait" horizontalDpi="300" verticalDpi="300" r:id="rId3"/>
  <headerFooter alignWithMargins="0">
    <oddFooter>&amp;C-9-</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AU48"/>
  <sheetViews>
    <sheetView view="pageBreakPreview" zoomScale="80" zoomScaleNormal="100" zoomScaleSheetLayoutView="80" workbookViewId="0">
      <pane xSplit="20" ySplit="4" topLeftCell="U5" activePane="bottomRight" state="frozen"/>
      <selection activeCell="B18" sqref="A15:I25"/>
      <selection pane="topRight" activeCell="B18" sqref="A15:I25"/>
      <selection pane="bottomLeft" activeCell="B18" sqref="A15:I25"/>
      <selection pane="bottomRight" activeCell="AB17" sqref="AB17"/>
    </sheetView>
  </sheetViews>
  <sheetFormatPr defaultColWidth="8" defaultRowHeight="17.25"/>
  <cols>
    <col min="1" max="1" width="5.875" style="435" customWidth="1"/>
    <col min="2" max="2" width="7.375" style="213" customWidth="1"/>
    <col min="3" max="3" width="7.375" style="263" customWidth="1"/>
    <col min="4" max="7" width="7.375" style="211" customWidth="1"/>
    <col min="8" max="8" width="5.875" style="437" customWidth="1"/>
    <col min="9" max="19" width="8.5" style="211" hidden="1" customWidth="1"/>
    <col min="20" max="20" width="6.625" style="211" hidden="1" customWidth="1"/>
    <col min="21" max="23" width="8.125" style="211" hidden="1" customWidth="1"/>
    <col min="24" max="33" width="9.125" style="211" customWidth="1"/>
    <col min="34" max="35" width="8.125" style="211" customWidth="1"/>
    <col min="36" max="44" width="8.125" style="211" hidden="1" customWidth="1"/>
    <col min="45" max="45" width="3.75" style="211" hidden="1" customWidth="1"/>
    <col min="46" max="46" width="2.375" hidden="1" customWidth="1"/>
    <col min="47" max="47" width="1.875" customWidth="1"/>
    <col min="48" max="48" width="8" style="211" customWidth="1"/>
    <col min="49" max="16384" width="8" style="211"/>
  </cols>
  <sheetData>
    <row r="1" spans="1:47" s="270" customFormat="1" ht="39.950000000000003" customHeight="1">
      <c r="A1" s="702" t="str">
        <f>"８．（参考）ＤＩ変化方向表（令和７年４月～令和８年"&amp;DBCS(初期登録!$D$10)&amp;"月）"</f>
        <v>８．（参考）ＤＩ変化方向表（令和７年４月～令和８年３月）</v>
      </c>
      <c r="C1" s="296"/>
      <c r="H1" s="736"/>
      <c r="AT1"/>
      <c r="AU1"/>
    </row>
    <row r="2" spans="1:47" ht="15" customHeight="1" thickBot="1">
      <c r="U2" s="1051"/>
      <c r="V2" s="1051"/>
      <c r="W2" s="1051"/>
      <c r="X2" s="1051"/>
      <c r="Y2" s="1051"/>
      <c r="Z2" s="1051"/>
      <c r="AA2" s="1051"/>
      <c r="AB2" s="1051"/>
      <c r="AC2" s="1051"/>
      <c r="AD2" s="1051"/>
      <c r="AE2" s="1051"/>
      <c r="AF2" s="1051"/>
      <c r="AG2" s="1051"/>
      <c r="AH2" s="1051"/>
    </row>
    <row r="3" spans="1:47" s="375" customFormat="1" ht="24.95" customHeight="1">
      <c r="A3" s="612"/>
      <c r="B3" s="1547" t="s">
        <v>217</v>
      </c>
      <c r="C3" s="1529" t="s">
        <v>218</v>
      </c>
      <c r="D3" s="1530"/>
      <c r="E3" s="1530"/>
      <c r="F3" s="1530"/>
      <c r="G3" s="1531"/>
      <c r="H3" s="1527" t="s">
        <v>302</v>
      </c>
      <c r="I3" s="1089" t="s">
        <v>702</v>
      </c>
      <c r="J3" s="1088"/>
      <c r="K3" s="1088"/>
      <c r="L3" s="1088"/>
      <c r="M3" s="1088"/>
      <c r="N3" s="1088"/>
      <c r="O3" s="1088"/>
      <c r="P3" s="1088"/>
      <c r="Q3" s="1088"/>
      <c r="R3" s="1088"/>
      <c r="S3" s="1088"/>
      <c r="T3" s="1087"/>
      <c r="U3" s="1089" t="s">
        <v>799</v>
      </c>
      <c r="V3" s="1088"/>
      <c r="W3" s="1088"/>
      <c r="X3" s="1088" t="s">
        <v>799</v>
      </c>
      <c r="Y3" s="1088"/>
      <c r="Z3" s="1088"/>
      <c r="AA3" s="1088"/>
      <c r="AB3" s="1088"/>
      <c r="AC3" s="1088"/>
      <c r="AD3" s="1088"/>
      <c r="AE3" s="1088"/>
      <c r="AF3" s="1087"/>
      <c r="AG3" s="1089" t="s">
        <v>821</v>
      </c>
      <c r="AH3" s="1088"/>
      <c r="AI3" s="1088"/>
      <c r="AJ3" s="1088"/>
      <c r="AK3" s="1088"/>
      <c r="AL3" s="1088"/>
      <c r="AM3" s="1088"/>
      <c r="AN3" s="1088"/>
      <c r="AO3" s="1088"/>
      <c r="AP3" s="1088"/>
      <c r="AQ3" s="1088"/>
      <c r="AR3" s="1216"/>
      <c r="AS3" s="1305"/>
      <c r="AT3"/>
      <c r="AU3" s="1312"/>
    </row>
    <row r="4" spans="1:47" s="375" customFormat="1" ht="24.95" customHeight="1">
      <c r="A4" s="880"/>
      <c r="B4" s="1548"/>
      <c r="C4" s="1532"/>
      <c r="D4" s="1533"/>
      <c r="E4" s="1533"/>
      <c r="F4" s="1533"/>
      <c r="G4" s="1534"/>
      <c r="H4" s="1528"/>
      <c r="I4" s="1050" t="s">
        <v>209</v>
      </c>
      <c r="J4" s="733" t="s">
        <v>211</v>
      </c>
      <c r="K4" s="734" t="s">
        <v>212</v>
      </c>
      <c r="L4" s="735" t="s">
        <v>213</v>
      </c>
      <c r="M4" s="735" t="s">
        <v>214</v>
      </c>
      <c r="N4" s="735" t="s">
        <v>215</v>
      </c>
      <c r="O4" s="735" t="s">
        <v>216</v>
      </c>
      <c r="P4" s="735" t="s">
        <v>18</v>
      </c>
      <c r="Q4" s="735" t="s">
        <v>19</v>
      </c>
      <c r="R4" s="735">
        <v>10</v>
      </c>
      <c r="S4" s="735">
        <v>11</v>
      </c>
      <c r="T4" s="796">
        <v>12</v>
      </c>
      <c r="U4" s="1022" t="s">
        <v>209</v>
      </c>
      <c r="V4" s="1033" t="s">
        <v>211</v>
      </c>
      <c r="W4" s="734" t="s">
        <v>212</v>
      </c>
      <c r="X4" s="734" t="s">
        <v>213</v>
      </c>
      <c r="Y4" s="733" t="s">
        <v>214</v>
      </c>
      <c r="Z4" s="1012" t="s">
        <v>215</v>
      </c>
      <c r="AA4" s="734" t="s">
        <v>216</v>
      </c>
      <c r="AB4" s="1048" t="s">
        <v>18</v>
      </c>
      <c r="AC4" s="734" t="s">
        <v>19</v>
      </c>
      <c r="AD4" s="733">
        <v>10</v>
      </c>
      <c r="AE4" s="1012">
        <v>11</v>
      </c>
      <c r="AF4" s="1090">
        <v>12</v>
      </c>
      <c r="AG4" s="1059" t="s">
        <v>209</v>
      </c>
      <c r="AH4" s="733" t="s">
        <v>211</v>
      </c>
      <c r="AI4" s="734" t="s">
        <v>212</v>
      </c>
      <c r="AJ4" s="734" t="s">
        <v>213</v>
      </c>
      <c r="AK4" s="734" t="s">
        <v>214</v>
      </c>
      <c r="AL4" s="734" t="s">
        <v>215</v>
      </c>
      <c r="AM4" s="734" t="s">
        <v>216</v>
      </c>
      <c r="AN4" s="1048" t="s">
        <v>18</v>
      </c>
      <c r="AO4" s="734" t="s">
        <v>19</v>
      </c>
      <c r="AP4" s="734">
        <v>10</v>
      </c>
      <c r="AQ4" s="734">
        <v>11</v>
      </c>
      <c r="AR4" s="791">
        <v>12</v>
      </c>
      <c r="AS4" s="1305"/>
      <c r="AT4"/>
      <c r="AU4" s="1312"/>
    </row>
    <row r="5" spans="1:47" ht="45" customHeight="1">
      <c r="A5" s="1544" t="s">
        <v>219</v>
      </c>
      <c r="B5" s="725" t="s">
        <v>220</v>
      </c>
      <c r="C5" s="726" t="s">
        <v>209</v>
      </c>
      <c r="D5" s="1539" t="s">
        <v>221</v>
      </c>
      <c r="E5" s="1539"/>
      <c r="F5" s="1539"/>
      <c r="G5" s="1540"/>
      <c r="H5" s="1070" t="s">
        <v>223</v>
      </c>
      <c r="I5" s="1069" t="s">
        <v>849</v>
      </c>
      <c r="J5" s="710" t="s">
        <v>848</v>
      </c>
      <c r="K5" s="710" t="s">
        <v>849</v>
      </c>
      <c r="L5" s="711" t="s">
        <v>848</v>
      </c>
      <c r="M5" s="711" t="s">
        <v>848</v>
      </c>
      <c r="N5" s="711" t="s">
        <v>849</v>
      </c>
      <c r="O5" s="711" t="s">
        <v>849</v>
      </c>
      <c r="P5" s="711" t="s">
        <v>849</v>
      </c>
      <c r="Q5" s="711" t="s">
        <v>849</v>
      </c>
      <c r="R5" s="711" t="s">
        <v>849</v>
      </c>
      <c r="S5" s="711" t="s">
        <v>849</v>
      </c>
      <c r="T5" s="799" t="s">
        <v>848</v>
      </c>
      <c r="U5" s="1023" t="s">
        <v>849</v>
      </c>
      <c r="V5" s="969" t="s">
        <v>848</v>
      </c>
      <c r="W5" s="969" t="s">
        <v>849</v>
      </c>
      <c r="X5" s="969" t="s">
        <v>848</v>
      </c>
      <c r="Y5" s="711" t="s">
        <v>848</v>
      </c>
      <c r="Z5" s="1013" t="s">
        <v>849</v>
      </c>
      <c r="AA5" s="969" t="s">
        <v>849</v>
      </c>
      <c r="AB5" s="969" t="s">
        <v>849</v>
      </c>
      <c r="AC5" s="969" t="s">
        <v>849</v>
      </c>
      <c r="AD5" s="711" t="s">
        <v>849</v>
      </c>
      <c r="AE5" s="1013" t="s">
        <v>849</v>
      </c>
      <c r="AF5" s="799" t="s">
        <v>848</v>
      </c>
      <c r="AG5" s="709" t="s">
        <v>848</v>
      </c>
      <c r="AH5" s="711" t="s">
        <v>849</v>
      </c>
      <c r="AI5" s="969" t="s">
        <v>848</v>
      </c>
      <c r="AJ5" s="969"/>
      <c r="AK5" s="969"/>
      <c r="AL5" s="969"/>
      <c r="AM5" s="969"/>
      <c r="AN5" s="969"/>
      <c r="AO5" s="969"/>
      <c r="AP5" s="969"/>
      <c r="AQ5" s="969"/>
      <c r="AR5" s="770"/>
      <c r="AS5" s="1306"/>
      <c r="AU5" s="1312"/>
    </row>
    <row r="6" spans="1:47" ht="45" customHeight="1">
      <c r="A6" s="1545"/>
      <c r="B6" s="1563" t="s">
        <v>564</v>
      </c>
      <c r="C6" s="727" t="s">
        <v>211</v>
      </c>
      <c r="D6" s="1541" t="s">
        <v>565</v>
      </c>
      <c r="E6" s="1542"/>
      <c r="F6" s="1542"/>
      <c r="G6" s="1543"/>
      <c r="H6" s="1068" t="s">
        <v>223</v>
      </c>
      <c r="I6" s="1063" t="s">
        <v>848</v>
      </c>
      <c r="J6" s="704" t="s">
        <v>848</v>
      </c>
      <c r="K6" s="704" t="s">
        <v>849</v>
      </c>
      <c r="L6" s="705" t="s">
        <v>848</v>
      </c>
      <c r="M6" s="705" t="s">
        <v>848</v>
      </c>
      <c r="N6" s="705" t="s">
        <v>848</v>
      </c>
      <c r="O6" s="705" t="s">
        <v>848</v>
      </c>
      <c r="P6" s="705" t="s">
        <v>848</v>
      </c>
      <c r="Q6" s="705" t="s">
        <v>849</v>
      </c>
      <c r="R6" s="705" t="s">
        <v>849</v>
      </c>
      <c r="S6" s="705" t="s">
        <v>849</v>
      </c>
      <c r="T6" s="797" t="s">
        <v>849</v>
      </c>
      <c r="U6" s="1024" t="s">
        <v>848</v>
      </c>
      <c r="V6" s="970" t="s">
        <v>848</v>
      </c>
      <c r="W6" s="970" t="s">
        <v>849</v>
      </c>
      <c r="X6" s="970" t="s">
        <v>848</v>
      </c>
      <c r="Y6" s="705" t="s">
        <v>848</v>
      </c>
      <c r="Z6" s="1014" t="s">
        <v>848</v>
      </c>
      <c r="AA6" s="970" t="s">
        <v>848</v>
      </c>
      <c r="AB6" s="970" t="s">
        <v>848</v>
      </c>
      <c r="AC6" s="970" t="s">
        <v>849</v>
      </c>
      <c r="AD6" s="705" t="s">
        <v>849</v>
      </c>
      <c r="AE6" s="1014" t="s">
        <v>849</v>
      </c>
      <c r="AF6" s="797" t="s">
        <v>849</v>
      </c>
      <c r="AG6" s="703" t="s">
        <v>848</v>
      </c>
      <c r="AH6" s="705" t="s">
        <v>849</v>
      </c>
      <c r="AI6" s="970" t="s">
        <v>848</v>
      </c>
      <c r="AJ6" s="970"/>
      <c r="AK6" s="970"/>
      <c r="AL6" s="970"/>
      <c r="AM6" s="970"/>
      <c r="AN6" s="970"/>
      <c r="AO6" s="970"/>
      <c r="AP6" s="970"/>
      <c r="AQ6" s="970"/>
      <c r="AR6" s="779"/>
      <c r="AS6" s="1306"/>
      <c r="AU6" s="1312"/>
    </row>
    <row r="7" spans="1:47" ht="45" customHeight="1">
      <c r="A7" s="1545"/>
      <c r="B7" s="1564"/>
      <c r="C7" s="728" t="s">
        <v>212</v>
      </c>
      <c r="D7" s="1549" t="s">
        <v>475</v>
      </c>
      <c r="E7" s="1550"/>
      <c r="F7" s="1550"/>
      <c r="G7" s="1551"/>
      <c r="H7" s="1065" t="s">
        <v>223</v>
      </c>
      <c r="I7" s="1062" t="s">
        <v>848</v>
      </c>
      <c r="J7" s="707" t="s">
        <v>848</v>
      </c>
      <c r="K7" s="707" t="s">
        <v>848</v>
      </c>
      <c r="L7" s="708" t="s">
        <v>848</v>
      </c>
      <c r="M7" s="708" t="s">
        <v>848</v>
      </c>
      <c r="N7" s="708" t="s">
        <v>848</v>
      </c>
      <c r="O7" s="708" t="s">
        <v>848</v>
      </c>
      <c r="P7" s="708" t="s">
        <v>848</v>
      </c>
      <c r="Q7" s="708" t="s">
        <v>848</v>
      </c>
      <c r="R7" s="708" t="s">
        <v>848</v>
      </c>
      <c r="S7" s="708" t="s">
        <v>849</v>
      </c>
      <c r="T7" s="798" t="s">
        <v>849</v>
      </c>
      <c r="U7" s="1025" t="s">
        <v>848</v>
      </c>
      <c r="V7" s="971" t="s">
        <v>848</v>
      </c>
      <c r="W7" s="971" t="s">
        <v>848</v>
      </c>
      <c r="X7" s="971" t="s">
        <v>848</v>
      </c>
      <c r="Y7" s="708" t="s">
        <v>848</v>
      </c>
      <c r="Z7" s="1015" t="s">
        <v>848</v>
      </c>
      <c r="AA7" s="971" t="s">
        <v>848</v>
      </c>
      <c r="AB7" s="971" t="s">
        <v>848</v>
      </c>
      <c r="AC7" s="971" t="s">
        <v>848</v>
      </c>
      <c r="AD7" s="708" t="s">
        <v>848</v>
      </c>
      <c r="AE7" s="1015" t="s">
        <v>849</v>
      </c>
      <c r="AF7" s="798" t="s">
        <v>849</v>
      </c>
      <c r="AG7" s="706" t="s">
        <v>849</v>
      </c>
      <c r="AH7" s="708" t="s">
        <v>849</v>
      </c>
      <c r="AI7" s="971" t="s">
        <v>849</v>
      </c>
      <c r="AJ7" s="971"/>
      <c r="AK7" s="971"/>
      <c r="AL7" s="971"/>
      <c r="AM7" s="971"/>
      <c r="AN7" s="971"/>
      <c r="AO7" s="971"/>
      <c r="AP7" s="971"/>
      <c r="AQ7" s="971"/>
      <c r="AR7" s="769"/>
      <c r="AS7" s="1306"/>
      <c r="AU7" s="1312"/>
    </row>
    <row r="8" spans="1:47" ht="45" customHeight="1">
      <c r="A8" s="1545"/>
      <c r="B8" s="729" t="s">
        <v>15</v>
      </c>
      <c r="C8" s="730" t="s">
        <v>213</v>
      </c>
      <c r="D8" s="1554" t="s">
        <v>224</v>
      </c>
      <c r="E8" s="1554"/>
      <c r="F8" s="1554"/>
      <c r="G8" s="1555"/>
      <c r="H8" s="1071" t="s">
        <v>223</v>
      </c>
      <c r="I8" s="1069" t="s">
        <v>849</v>
      </c>
      <c r="J8" s="710" t="s">
        <v>849</v>
      </c>
      <c r="K8" s="710" t="s">
        <v>849</v>
      </c>
      <c r="L8" s="711" t="s">
        <v>848</v>
      </c>
      <c r="M8" s="711" t="s">
        <v>848</v>
      </c>
      <c r="N8" s="711" t="s">
        <v>848</v>
      </c>
      <c r="O8" s="711" t="s">
        <v>848</v>
      </c>
      <c r="P8" s="711" t="s">
        <v>849</v>
      </c>
      <c r="Q8" s="711" t="s">
        <v>849</v>
      </c>
      <c r="R8" s="711" t="s">
        <v>849</v>
      </c>
      <c r="S8" s="711" t="s">
        <v>849</v>
      </c>
      <c r="T8" s="799" t="s">
        <v>849</v>
      </c>
      <c r="U8" s="1023" t="s">
        <v>849</v>
      </c>
      <c r="V8" s="969" t="s">
        <v>849</v>
      </c>
      <c r="W8" s="969" t="s">
        <v>849</v>
      </c>
      <c r="X8" s="969" t="s">
        <v>848</v>
      </c>
      <c r="Y8" s="711" t="s">
        <v>848</v>
      </c>
      <c r="Z8" s="1013" t="s">
        <v>848</v>
      </c>
      <c r="AA8" s="969" t="s">
        <v>848</v>
      </c>
      <c r="AB8" s="969" t="s">
        <v>849</v>
      </c>
      <c r="AC8" s="969" t="s">
        <v>849</v>
      </c>
      <c r="AD8" s="711" t="s">
        <v>849</v>
      </c>
      <c r="AE8" s="1013" t="s">
        <v>849</v>
      </c>
      <c r="AF8" s="799" t="s">
        <v>849</v>
      </c>
      <c r="AG8" s="709" t="s">
        <v>849</v>
      </c>
      <c r="AH8" s="711" t="s">
        <v>848</v>
      </c>
      <c r="AI8" s="969" t="s">
        <v>848</v>
      </c>
      <c r="AJ8" s="969"/>
      <c r="AK8" s="969"/>
      <c r="AL8" s="969"/>
      <c r="AM8" s="969"/>
      <c r="AN8" s="969"/>
      <c r="AO8" s="969"/>
      <c r="AP8" s="969"/>
      <c r="AQ8" s="969"/>
      <c r="AR8" s="770"/>
      <c r="AS8" s="1306"/>
      <c r="AU8" s="1312"/>
    </row>
    <row r="9" spans="1:47" ht="45" customHeight="1">
      <c r="A9" s="1545"/>
      <c r="B9" s="729" t="s">
        <v>828</v>
      </c>
      <c r="C9" s="731" t="s">
        <v>214</v>
      </c>
      <c r="D9" s="1558" t="s">
        <v>225</v>
      </c>
      <c r="E9" s="1559"/>
      <c r="F9" s="1559"/>
      <c r="G9" s="1560"/>
      <c r="H9" s="1072" t="s">
        <v>223</v>
      </c>
      <c r="I9" s="1069" t="s">
        <v>849</v>
      </c>
      <c r="J9" s="710" t="s">
        <v>848</v>
      </c>
      <c r="K9" s="710" t="s">
        <v>848</v>
      </c>
      <c r="L9" s="711" t="s">
        <v>848</v>
      </c>
      <c r="M9" s="711" t="s">
        <v>849</v>
      </c>
      <c r="N9" s="711" t="s">
        <v>849</v>
      </c>
      <c r="O9" s="711" t="s">
        <v>849</v>
      </c>
      <c r="P9" s="711" t="s">
        <v>849</v>
      </c>
      <c r="Q9" s="711" t="s">
        <v>849</v>
      </c>
      <c r="R9" s="711" t="s">
        <v>848</v>
      </c>
      <c r="S9" s="711" t="s">
        <v>848</v>
      </c>
      <c r="T9" s="799" t="s">
        <v>848</v>
      </c>
      <c r="U9" s="1023" t="s">
        <v>849</v>
      </c>
      <c r="V9" s="969" t="s">
        <v>848</v>
      </c>
      <c r="W9" s="969" t="s">
        <v>848</v>
      </c>
      <c r="X9" s="969" t="s">
        <v>848</v>
      </c>
      <c r="Y9" s="711" t="s">
        <v>849</v>
      </c>
      <c r="Z9" s="1013" t="s">
        <v>849</v>
      </c>
      <c r="AA9" s="969" t="s">
        <v>849</v>
      </c>
      <c r="AB9" s="969" t="s">
        <v>849</v>
      </c>
      <c r="AC9" s="969" t="s">
        <v>849</v>
      </c>
      <c r="AD9" s="711" t="s">
        <v>848</v>
      </c>
      <c r="AE9" s="1013" t="s">
        <v>848</v>
      </c>
      <c r="AF9" s="799" t="s">
        <v>848</v>
      </c>
      <c r="AG9" s="709" t="s">
        <v>848</v>
      </c>
      <c r="AH9" s="711" t="s">
        <v>849</v>
      </c>
      <c r="AI9" s="969" t="s">
        <v>849</v>
      </c>
      <c r="AJ9" s="969"/>
      <c r="AK9" s="969"/>
      <c r="AL9" s="969"/>
      <c r="AM9" s="969"/>
      <c r="AN9" s="969"/>
      <c r="AO9" s="969"/>
      <c r="AP9" s="969"/>
      <c r="AQ9" s="969"/>
      <c r="AR9" s="770"/>
      <c r="AS9" s="1306"/>
      <c r="AU9" s="1312"/>
    </row>
    <row r="10" spans="1:47" ht="45" customHeight="1">
      <c r="A10" s="1545"/>
      <c r="B10" s="1552" t="s">
        <v>226</v>
      </c>
      <c r="C10" s="727" t="s">
        <v>215</v>
      </c>
      <c r="D10" s="1561" t="s">
        <v>460</v>
      </c>
      <c r="E10" s="1562"/>
      <c r="F10" s="1562"/>
      <c r="G10" s="1562"/>
      <c r="H10" s="1066" t="s">
        <v>465</v>
      </c>
      <c r="I10" s="1063" t="s">
        <v>848</v>
      </c>
      <c r="J10" s="704" t="s">
        <v>849</v>
      </c>
      <c r="K10" s="704" t="s">
        <v>850</v>
      </c>
      <c r="L10" s="705" t="s">
        <v>848</v>
      </c>
      <c r="M10" s="705" t="s">
        <v>849</v>
      </c>
      <c r="N10" s="705" t="s">
        <v>849</v>
      </c>
      <c r="O10" s="705" t="s">
        <v>848</v>
      </c>
      <c r="P10" s="705" t="s">
        <v>848</v>
      </c>
      <c r="Q10" s="705" t="s">
        <v>848</v>
      </c>
      <c r="R10" s="705" t="s">
        <v>848</v>
      </c>
      <c r="S10" s="705" t="s">
        <v>848</v>
      </c>
      <c r="T10" s="797" t="s">
        <v>849</v>
      </c>
      <c r="U10" s="1024" t="s">
        <v>848</v>
      </c>
      <c r="V10" s="970" t="s">
        <v>849</v>
      </c>
      <c r="W10" s="970" t="s">
        <v>850</v>
      </c>
      <c r="X10" s="970" t="s">
        <v>848</v>
      </c>
      <c r="Y10" s="705" t="s">
        <v>849</v>
      </c>
      <c r="Z10" s="1014" t="s">
        <v>849</v>
      </c>
      <c r="AA10" s="970" t="s">
        <v>848</v>
      </c>
      <c r="AB10" s="970" t="s">
        <v>848</v>
      </c>
      <c r="AC10" s="970" t="s">
        <v>848</v>
      </c>
      <c r="AD10" s="705" t="s">
        <v>848</v>
      </c>
      <c r="AE10" s="1014" t="s">
        <v>848</v>
      </c>
      <c r="AF10" s="797" t="s">
        <v>849</v>
      </c>
      <c r="AG10" s="703" t="s">
        <v>850</v>
      </c>
      <c r="AH10" s="705" t="s">
        <v>848</v>
      </c>
      <c r="AI10" s="970" t="s">
        <v>848</v>
      </c>
      <c r="AJ10" s="970"/>
      <c r="AK10" s="970"/>
      <c r="AL10" s="970"/>
      <c r="AM10" s="970"/>
      <c r="AN10" s="970"/>
      <c r="AO10" s="970"/>
      <c r="AP10" s="970"/>
      <c r="AQ10" s="970"/>
      <c r="AR10" s="779"/>
      <c r="AS10" s="1306"/>
      <c r="AU10" s="1312"/>
    </row>
    <row r="11" spans="1:47" ht="45" customHeight="1">
      <c r="A11" s="1545"/>
      <c r="B11" s="1553"/>
      <c r="C11" s="728" t="s">
        <v>216</v>
      </c>
      <c r="D11" s="732" t="s">
        <v>227</v>
      </c>
      <c r="E11" s="815"/>
      <c r="F11" s="816"/>
      <c r="G11" s="732"/>
      <c r="H11" s="1152" t="s">
        <v>721</v>
      </c>
      <c r="I11" s="1062" t="s">
        <v>848</v>
      </c>
      <c r="J11" s="707" t="s">
        <v>848</v>
      </c>
      <c r="K11" s="707" t="s">
        <v>848</v>
      </c>
      <c r="L11" s="708" t="s">
        <v>848</v>
      </c>
      <c r="M11" s="708" t="s">
        <v>848</v>
      </c>
      <c r="N11" s="708" t="s">
        <v>848</v>
      </c>
      <c r="O11" s="708" t="s">
        <v>848</v>
      </c>
      <c r="P11" s="708" t="s">
        <v>849</v>
      </c>
      <c r="Q11" s="708" t="s">
        <v>849</v>
      </c>
      <c r="R11" s="708" t="s">
        <v>848</v>
      </c>
      <c r="S11" s="708" t="s">
        <v>848</v>
      </c>
      <c r="T11" s="798" t="s">
        <v>848</v>
      </c>
      <c r="U11" s="1025" t="s">
        <v>848</v>
      </c>
      <c r="V11" s="708" t="s">
        <v>848</v>
      </c>
      <c r="W11" s="971" t="s">
        <v>848</v>
      </c>
      <c r="X11" s="971" t="s">
        <v>848</v>
      </c>
      <c r="Y11" s="708" t="s">
        <v>848</v>
      </c>
      <c r="Z11" s="708" t="s">
        <v>848</v>
      </c>
      <c r="AA11" s="971" t="s">
        <v>848</v>
      </c>
      <c r="AB11" s="971" t="s">
        <v>849</v>
      </c>
      <c r="AC11" s="971" t="s">
        <v>849</v>
      </c>
      <c r="AD11" s="708" t="s">
        <v>848</v>
      </c>
      <c r="AE11" s="1015" t="s">
        <v>848</v>
      </c>
      <c r="AF11" s="798" t="s">
        <v>848</v>
      </c>
      <c r="AG11" s="706" t="s">
        <v>848</v>
      </c>
      <c r="AH11" s="708" t="s">
        <v>848</v>
      </c>
      <c r="AI11" s="971" t="s">
        <v>848</v>
      </c>
      <c r="AJ11" s="971"/>
      <c r="AK11" s="971"/>
      <c r="AL11" s="971"/>
      <c r="AM11" s="971"/>
      <c r="AN11" s="971"/>
      <c r="AO11" s="971"/>
      <c r="AP11" s="971"/>
      <c r="AQ11" s="971"/>
      <c r="AR11" s="769"/>
      <c r="AS11" s="1306"/>
      <c r="AU11" s="1312"/>
    </row>
    <row r="12" spans="1:47" ht="33.950000000000003" customHeight="1">
      <c r="A12" s="1545"/>
      <c r="B12" s="1537" t="s">
        <v>228</v>
      </c>
      <c r="C12" s="1538"/>
      <c r="D12" s="1538"/>
      <c r="E12" s="1538"/>
      <c r="F12" s="1538"/>
      <c r="G12" s="1538"/>
      <c r="H12" s="1538"/>
      <c r="I12" s="831">
        <f t="shared" ref="I12:W12" si="0">COUNTIF(I5:I11,"＋")+COUNTIF(I5:I11,0)/2</f>
        <v>4</v>
      </c>
      <c r="J12" s="824">
        <f t="shared" si="0"/>
        <v>5</v>
      </c>
      <c r="K12" s="824">
        <f t="shared" si="0"/>
        <v>3.5</v>
      </c>
      <c r="L12" s="823">
        <f t="shared" si="0"/>
        <v>7</v>
      </c>
      <c r="M12" s="823">
        <f t="shared" si="0"/>
        <v>5</v>
      </c>
      <c r="N12" s="823">
        <f t="shared" si="0"/>
        <v>4</v>
      </c>
      <c r="O12" s="823">
        <f t="shared" si="0"/>
        <v>5</v>
      </c>
      <c r="P12" s="823">
        <f t="shared" si="0"/>
        <v>3</v>
      </c>
      <c r="Q12" s="823">
        <f t="shared" si="0"/>
        <v>2</v>
      </c>
      <c r="R12" s="823">
        <f t="shared" si="0"/>
        <v>4</v>
      </c>
      <c r="S12" s="823">
        <f t="shared" si="0"/>
        <v>3</v>
      </c>
      <c r="T12" s="825">
        <f t="shared" si="0"/>
        <v>3</v>
      </c>
      <c r="U12" s="1026">
        <f>COUNTIF(U5:U11,"＋")+COUNTIF(U5:U11,0)/2</f>
        <v>4</v>
      </c>
      <c r="V12" s="972">
        <f t="shared" si="0"/>
        <v>5</v>
      </c>
      <c r="W12" s="972">
        <f t="shared" si="0"/>
        <v>3.5</v>
      </c>
      <c r="X12" s="972">
        <f t="shared" ref="X12:AD12" si="1">COUNTIF(X5:X11,"＋")+COUNTIF(X5:X11,0)/2</f>
        <v>7</v>
      </c>
      <c r="Y12" s="823">
        <f t="shared" si="1"/>
        <v>5</v>
      </c>
      <c r="Z12" s="1094">
        <f t="shared" si="1"/>
        <v>4</v>
      </c>
      <c r="AA12" s="972">
        <f t="shared" si="1"/>
        <v>5</v>
      </c>
      <c r="AB12" s="972">
        <f t="shared" si="1"/>
        <v>3</v>
      </c>
      <c r="AC12" s="972">
        <f t="shared" si="1"/>
        <v>2</v>
      </c>
      <c r="AD12" s="823">
        <f t="shared" si="1"/>
        <v>4</v>
      </c>
      <c r="AE12" s="1016">
        <f>COUNTIF(AE5:AE11,"＋")+COUNTIF(AE5:AE11,0)/2</f>
        <v>3</v>
      </c>
      <c r="AF12" s="825">
        <f>COUNTIF(AF5:AF11,"＋")+COUNTIF(AF5:AF11,0)/2</f>
        <v>3</v>
      </c>
      <c r="AG12" s="831">
        <f>COUNTIF(AG5:AG11,"＋")+COUNTIF(AG5:AG11,0)/2</f>
        <v>4.5</v>
      </c>
      <c r="AH12" s="823">
        <f t="shared" ref="AH12:AP12" si="2">COUNTIF(AH5:AH11,"＋")+COUNTIF(AH5:AH11,0)/2</f>
        <v>3</v>
      </c>
      <c r="AI12" s="972">
        <f t="shared" si="2"/>
        <v>5</v>
      </c>
      <c r="AJ12" s="972">
        <f t="shared" si="2"/>
        <v>0</v>
      </c>
      <c r="AK12" s="972">
        <f t="shared" si="2"/>
        <v>0</v>
      </c>
      <c r="AL12" s="972">
        <f t="shared" si="2"/>
        <v>0</v>
      </c>
      <c r="AM12" s="972">
        <f t="shared" si="2"/>
        <v>0</v>
      </c>
      <c r="AN12" s="972">
        <f t="shared" si="2"/>
        <v>0</v>
      </c>
      <c r="AO12" s="972">
        <f t="shared" si="2"/>
        <v>0</v>
      </c>
      <c r="AP12" s="972">
        <f t="shared" si="2"/>
        <v>0</v>
      </c>
      <c r="AQ12" s="972">
        <f>COUNTIF(AQ5:AQ11,"＋")+COUNTIF(AQ5:AQ11,0)/2</f>
        <v>0</v>
      </c>
      <c r="AR12" s="771">
        <f>COUNTIF(AR5:AR11,"＋")+COUNTIF(AR5:AR11,0)/2</f>
        <v>0</v>
      </c>
      <c r="AS12" s="1307"/>
      <c r="AU12" s="1312"/>
    </row>
    <row r="13" spans="1:47" ht="33.950000000000003" customHeight="1">
      <c r="A13" s="1545"/>
      <c r="B13" s="1535" t="s">
        <v>229</v>
      </c>
      <c r="C13" s="1536"/>
      <c r="D13" s="1536"/>
      <c r="E13" s="1536"/>
      <c r="F13" s="1536"/>
      <c r="G13" s="1536"/>
      <c r="H13" s="1536"/>
      <c r="I13" s="706">
        <f t="shared" ref="I13:AD13" si="3">7-COUNTIF(I5:I11,"")</f>
        <v>7</v>
      </c>
      <c r="J13" s="707">
        <f t="shared" si="3"/>
        <v>7</v>
      </c>
      <c r="K13" s="707">
        <f t="shared" si="3"/>
        <v>7</v>
      </c>
      <c r="L13" s="708">
        <f t="shared" si="3"/>
        <v>7</v>
      </c>
      <c r="M13" s="708">
        <f t="shared" si="3"/>
        <v>7</v>
      </c>
      <c r="N13" s="708">
        <f t="shared" si="3"/>
        <v>7</v>
      </c>
      <c r="O13" s="708">
        <f t="shared" si="3"/>
        <v>7</v>
      </c>
      <c r="P13" s="708">
        <f t="shared" si="3"/>
        <v>7</v>
      </c>
      <c r="Q13" s="708">
        <f t="shared" si="3"/>
        <v>7</v>
      </c>
      <c r="R13" s="708">
        <f t="shared" si="3"/>
        <v>7</v>
      </c>
      <c r="S13" s="708">
        <f t="shared" si="3"/>
        <v>7</v>
      </c>
      <c r="T13" s="798">
        <f t="shared" si="3"/>
        <v>7</v>
      </c>
      <c r="U13" s="1025">
        <f>7-COUNTIF(U5:U11,"")</f>
        <v>7</v>
      </c>
      <c r="V13" s="971">
        <f t="shared" si="3"/>
        <v>7</v>
      </c>
      <c r="W13" s="971">
        <f t="shared" si="3"/>
        <v>7</v>
      </c>
      <c r="X13" s="971">
        <f t="shared" si="3"/>
        <v>7</v>
      </c>
      <c r="Y13" s="708">
        <f t="shared" si="3"/>
        <v>7</v>
      </c>
      <c r="Z13" s="708">
        <f t="shared" si="3"/>
        <v>7</v>
      </c>
      <c r="AA13" s="971">
        <f t="shared" si="3"/>
        <v>7</v>
      </c>
      <c r="AB13" s="971">
        <f t="shared" si="3"/>
        <v>7</v>
      </c>
      <c r="AC13" s="971">
        <f t="shared" si="3"/>
        <v>7</v>
      </c>
      <c r="AD13" s="708">
        <f t="shared" si="3"/>
        <v>7</v>
      </c>
      <c r="AE13" s="1015">
        <f>7-COUNTIF(AE5:AE11,"")</f>
        <v>7</v>
      </c>
      <c r="AF13" s="798">
        <f>7-COUNTIF(AF5:AF11,"")</f>
        <v>7</v>
      </c>
      <c r="AG13" s="706">
        <f>7-COUNTIF(AG5:AG11,"")</f>
        <v>7</v>
      </c>
      <c r="AH13" s="708">
        <f t="shared" ref="AH13:AP13" si="4">7-COUNTIF(AH5:AH11,"")</f>
        <v>7</v>
      </c>
      <c r="AI13" s="971">
        <f t="shared" si="4"/>
        <v>7</v>
      </c>
      <c r="AJ13" s="971">
        <f t="shared" si="4"/>
        <v>0</v>
      </c>
      <c r="AK13" s="971">
        <f t="shared" si="4"/>
        <v>0</v>
      </c>
      <c r="AL13" s="971">
        <f t="shared" si="4"/>
        <v>0</v>
      </c>
      <c r="AM13" s="971">
        <f t="shared" si="4"/>
        <v>0</v>
      </c>
      <c r="AN13" s="971">
        <f t="shared" si="4"/>
        <v>0</v>
      </c>
      <c r="AO13" s="971">
        <f t="shared" si="4"/>
        <v>0</v>
      </c>
      <c r="AP13" s="971">
        <f t="shared" si="4"/>
        <v>0</v>
      </c>
      <c r="AQ13" s="971">
        <f>7-COUNTIF(AQ5:AQ11,"")</f>
        <v>0</v>
      </c>
      <c r="AR13" s="769">
        <f>7-COUNTIF(AR5:AR11,"")</f>
        <v>0</v>
      </c>
      <c r="AS13" s="1306"/>
      <c r="AU13" s="1312"/>
    </row>
    <row r="14" spans="1:47" s="379" customFormat="1" ht="39" customHeight="1" thickBot="1">
      <c r="A14" s="1546"/>
      <c r="B14" s="1556" t="s">
        <v>230</v>
      </c>
      <c r="C14" s="1557"/>
      <c r="D14" s="1557"/>
      <c r="E14" s="1557"/>
      <c r="F14" s="1557"/>
      <c r="G14" s="1557"/>
      <c r="H14" s="1557"/>
      <c r="I14" s="781">
        <f t="shared" ref="I14:T14" si="5">ROUND(I12/I13*100,1)</f>
        <v>57.1</v>
      </c>
      <c r="J14" s="746">
        <f t="shared" si="5"/>
        <v>71.400000000000006</v>
      </c>
      <c r="K14" s="746">
        <f t="shared" si="5"/>
        <v>50</v>
      </c>
      <c r="L14" s="746">
        <f t="shared" si="5"/>
        <v>100</v>
      </c>
      <c r="M14" s="746">
        <f t="shared" si="5"/>
        <v>71.400000000000006</v>
      </c>
      <c r="N14" s="746">
        <f t="shared" si="5"/>
        <v>57.1</v>
      </c>
      <c r="O14" s="746">
        <f t="shared" si="5"/>
        <v>71.400000000000006</v>
      </c>
      <c r="P14" s="746">
        <f t="shared" si="5"/>
        <v>42.9</v>
      </c>
      <c r="Q14" s="746">
        <f t="shared" si="5"/>
        <v>28.6</v>
      </c>
      <c r="R14" s="746">
        <f t="shared" si="5"/>
        <v>57.1</v>
      </c>
      <c r="S14" s="746">
        <f t="shared" si="5"/>
        <v>42.9</v>
      </c>
      <c r="T14" s="746">
        <f t="shared" si="5"/>
        <v>42.9</v>
      </c>
      <c r="U14" s="1027">
        <f>ROUND(U12/U13*100,1)</f>
        <v>57.1</v>
      </c>
      <c r="V14" s="973">
        <f t="shared" ref="V14:AD14" si="6">ROUND(V12/V13*100,1)</f>
        <v>71.400000000000006</v>
      </c>
      <c r="W14" s="973">
        <f t="shared" si="6"/>
        <v>50</v>
      </c>
      <c r="X14" s="973">
        <f t="shared" si="6"/>
        <v>100</v>
      </c>
      <c r="Y14" s="746">
        <f t="shared" si="6"/>
        <v>71.400000000000006</v>
      </c>
      <c r="Z14" s="746">
        <f t="shared" si="6"/>
        <v>57.1</v>
      </c>
      <c r="AA14" s="973">
        <f t="shared" si="6"/>
        <v>71.400000000000006</v>
      </c>
      <c r="AB14" s="973">
        <f t="shared" si="6"/>
        <v>42.9</v>
      </c>
      <c r="AC14" s="973">
        <f t="shared" si="6"/>
        <v>28.6</v>
      </c>
      <c r="AD14" s="746">
        <f t="shared" si="6"/>
        <v>57.1</v>
      </c>
      <c r="AE14" s="1017">
        <f>ROUND(AE12/AE13*100,1)</f>
        <v>42.9</v>
      </c>
      <c r="AF14" s="800">
        <f>ROUND(AF12/AF13*100,1)</f>
        <v>42.9</v>
      </c>
      <c r="AG14" s="781">
        <f>ROUND(AG12/AG13*100,1)</f>
        <v>64.3</v>
      </c>
      <c r="AH14" s="746">
        <f t="shared" ref="AH14:AP14" si="7">ROUND(AH12/AH13*100,1)</f>
        <v>42.9</v>
      </c>
      <c r="AI14" s="973">
        <f t="shared" si="7"/>
        <v>71.400000000000006</v>
      </c>
      <c r="AJ14" s="973" t="e">
        <f t="shared" si="7"/>
        <v>#DIV/0!</v>
      </c>
      <c r="AK14" s="973" t="e">
        <f t="shared" si="7"/>
        <v>#DIV/0!</v>
      </c>
      <c r="AL14" s="973" t="e">
        <f t="shared" si="7"/>
        <v>#DIV/0!</v>
      </c>
      <c r="AM14" s="973" t="e">
        <f t="shared" si="7"/>
        <v>#DIV/0!</v>
      </c>
      <c r="AN14" s="973" t="e">
        <f t="shared" si="7"/>
        <v>#DIV/0!</v>
      </c>
      <c r="AO14" s="973" t="e">
        <f t="shared" si="7"/>
        <v>#DIV/0!</v>
      </c>
      <c r="AP14" s="973" t="e">
        <f t="shared" si="7"/>
        <v>#DIV/0!</v>
      </c>
      <c r="AQ14" s="973" t="e">
        <f>ROUND(AQ12/AQ13*100,1)</f>
        <v>#DIV/0!</v>
      </c>
      <c r="AR14" s="772" t="e">
        <f>ROUND(AR12/AR13*100,1)</f>
        <v>#DIV/0!</v>
      </c>
      <c r="AS14" s="1308"/>
      <c r="AT14"/>
      <c r="AU14" s="1312"/>
    </row>
    <row r="15" spans="1:47" ht="45" customHeight="1">
      <c r="A15" s="1575" t="s">
        <v>231</v>
      </c>
      <c r="B15" s="1585" t="s">
        <v>232</v>
      </c>
      <c r="C15" s="817" t="s">
        <v>16</v>
      </c>
      <c r="D15" s="1586" t="s">
        <v>233</v>
      </c>
      <c r="E15" s="1586"/>
      <c r="F15" s="1586"/>
      <c r="G15" s="1587"/>
      <c r="H15" s="818" t="s">
        <v>234</v>
      </c>
      <c r="I15" s="712" t="s">
        <v>849</v>
      </c>
      <c r="J15" s="713" t="s">
        <v>849</v>
      </c>
      <c r="K15" s="713" t="s">
        <v>850</v>
      </c>
      <c r="L15" s="714" t="s">
        <v>850</v>
      </c>
      <c r="M15" s="714" t="s">
        <v>849</v>
      </c>
      <c r="N15" s="714" t="s">
        <v>849</v>
      </c>
      <c r="O15" s="714" t="s">
        <v>849</v>
      </c>
      <c r="P15" s="714" t="s">
        <v>849</v>
      </c>
      <c r="Q15" s="714" t="s">
        <v>849</v>
      </c>
      <c r="R15" s="714" t="s">
        <v>849</v>
      </c>
      <c r="S15" s="714" t="s">
        <v>849</v>
      </c>
      <c r="T15" s="820" t="s">
        <v>849</v>
      </c>
      <c r="U15" s="1028" t="s">
        <v>849</v>
      </c>
      <c r="V15" s="974" t="s">
        <v>849</v>
      </c>
      <c r="W15" s="974" t="s">
        <v>850</v>
      </c>
      <c r="X15" s="974" t="s">
        <v>850</v>
      </c>
      <c r="Y15" s="714" t="s">
        <v>849</v>
      </c>
      <c r="Z15" s="714" t="s">
        <v>849</v>
      </c>
      <c r="AA15" s="974" t="s">
        <v>849</v>
      </c>
      <c r="AB15" s="1049" t="s">
        <v>849</v>
      </c>
      <c r="AC15" s="974" t="s">
        <v>849</v>
      </c>
      <c r="AD15" s="714" t="s">
        <v>849</v>
      </c>
      <c r="AE15" s="1018" t="s">
        <v>849</v>
      </c>
      <c r="AF15" s="820" t="s">
        <v>849</v>
      </c>
      <c r="AG15" s="712" t="s">
        <v>849</v>
      </c>
      <c r="AH15" s="714" t="s">
        <v>848</v>
      </c>
      <c r="AI15" s="974" t="s">
        <v>848</v>
      </c>
      <c r="AJ15" s="974"/>
      <c r="AK15" s="974"/>
      <c r="AL15" s="974"/>
      <c r="AM15" s="974"/>
      <c r="AN15" s="974"/>
      <c r="AO15" s="974"/>
      <c r="AP15" s="974"/>
      <c r="AQ15" s="974"/>
      <c r="AR15" s="793"/>
      <c r="AS15" s="1306"/>
      <c r="AU15" s="1312"/>
    </row>
    <row r="16" spans="1:47" ht="45" customHeight="1">
      <c r="A16" s="1545"/>
      <c r="B16" s="1585"/>
      <c r="C16" s="745" t="s">
        <v>561</v>
      </c>
      <c r="D16" s="1524" t="s">
        <v>459</v>
      </c>
      <c r="E16" s="1525"/>
      <c r="F16" s="1525"/>
      <c r="G16" s="1526"/>
      <c r="H16" s="738" t="s">
        <v>238</v>
      </c>
      <c r="I16" s="715" t="s">
        <v>848</v>
      </c>
      <c r="J16" s="716" t="s">
        <v>848</v>
      </c>
      <c r="K16" s="716" t="s">
        <v>848</v>
      </c>
      <c r="L16" s="717" t="s">
        <v>849</v>
      </c>
      <c r="M16" s="717" t="s">
        <v>848</v>
      </c>
      <c r="N16" s="717" t="s">
        <v>849</v>
      </c>
      <c r="O16" s="717" t="s">
        <v>849</v>
      </c>
      <c r="P16" s="717" t="s">
        <v>849</v>
      </c>
      <c r="Q16" s="717" t="s">
        <v>849</v>
      </c>
      <c r="R16" s="717" t="s">
        <v>849</v>
      </c>
      <c r="S16" s="717" t="s">
        <v>849</v>
      </c>
      <c r="T16" s="821" t="s">
        <v>849</v>
      </c>
      <c r="U16" s="1029" t="s">
        <v>848</v>
      </c>
      <c r="V16" s="975" t="s">
        <v>848</v>
      </c>
      <c r="W16" s="975" t="s">
        <v>848</v>
      </c>
      <c r="X16" s="975" t="s">
        <v>849</v>
      </c>
      <c r="Y16" s="717" t="s">
        <v>848</v>
      </c>
      <c r="Z16" s="717" t="s">
        <v>849</v>
      </c>
      <c r="AA16" s="975" t="s">
        <v>849</v>
      </c>
      <c r="AB16" s="975" t="s">
        <v>849</v>
      </c>
      <c r="AC16" s="975" t="s">
        <v>849</v>
      </c>
      <c r="AD16" s="717" t="s">
        <v>849</v>
      </c>
      <c r="AE16" s="1019" t="s">
        <v>849</v>
      </c>
      <c r="AF16" s="821" t="s">
        <v>849</v>
      </c>
      <c r="AG16" s="715" t="s">
        <v>848</v>
      </c>
      <c r="AH16" s="717" t="s">
        <v>848</v>
      </c>
      <c r="AI16" s="975" t="s">
        <v>848</v>
      </c>
      <c r="AJ16" s="975"/>
      <c r="AK16" s="975"/>
      <c r="AL16" s="975"/>
      <c r="AM16" s="975"/>
      <c r="AN16" s="975"/>
      <c r="AO16" s="975"/>
      <c r="AP16" s="975"/>
      <c r="AQ16" s="975"/>
      <c r="AR16" s="794"/>
      <c r="AS16" s="1306"/>
      <c r="AU16" s="1312"/>
    </row>
    <row r="17" spans="1:47" ht="45" customHeight="1">
      <c r="A17" s="1545"/>
      <c r="B17" s="1566"/>
      <c r="C17" s="742" t="s">
        <v>556</v>
      </c>
      <c r="D17" s="1571" t="s">
        <v>235</v>
      </c>
      <c r="E17" s="1549"/>
      <c r="F17" s="1549"/>
      <c r="G17" s="1572"/>
      <c r="H17" s="728" t="s">
        <v>223</v>
      </c>
      <c r="I17" s="706" t="s">
        <v>848</v>
      </c>
      <c r="J17" s="707" t="s">
        <v>848</v>
      </c>
      <c r="K17" s="707" t="s">
        <v>848</v>
      </c>
      <c r="L17" s="707" t="s">
        <v>848</v>
      </c>
      <c r="M17" s="708" t="s">
        <v>848</v>
      </c>
      <c r="N17" s="708" t="s">
        <v>848</v>
      </c>
      <c r="O17" s="765" t="s">
        <v>849</v>
      </c>
      <c r="P17" s="707" t="s">
        <v>849</v>
      </c>
      <c r="Q17" s="707" t="s">
        <v>849</v>
      </c>
      <c r="R17" s="708" t="s">
        <v>849</v>
      </c>
      <c r="S17" s="708" t="s">
        <v>848</v>
      </c>
      <c r="T17" s="798" t="s">
        <v>848</v>
      </c>
      <c r="U17" s="1025" t="s">
        <v>848</v>
      </c>
      <c r="V17" s="971" t="s">
        <v>848</v>
      </c>
      <c r="W17" s="971" t="s">
        <v>848</v>
      </c>
      <c r="X17" s="971" t="s">
        <v>848</v>
      </c>
      <c r="Y17" s="708" t="s">
        <v>848</v>
      </c>
      <c r="Z17" s="708" t="s">
        <v>848</v>
      </c>
      <c r="AA17" s="971" t="s">
        <v>849</v>
      </c>
      <c r="AB17" s="971" t="s">
        <v>849</v>
      </c>
      <c r="AC17" s="971" t="s">
        <v>849</v>
      </c>
      <c r="AD17" s="708" t="s">
        <v>849</v>
      </c>
      <c r="AE17" s="1015" t="s">
        <v>848</v>
      </c>
      <c r="AF17" s="798" t="s">
        <v>848</v>
      </c>
      <c r="AG17" s="706" t="s">
        <v>849</v>
      </c>
      <c r="AH17" s="708" t="s">
        <v>848</v>
      </c>
      <c r="AI17" s="971" t="s">
        <v>848</v>
      </c>
      <c r="AJ17" s="971"/>
      <c r="AK17" s="971"/>
      <c r="AL17" s="971"/>
      <c r="AM17" s="971"/>
      <c r="AN17" s="971"/>
      <c r="AO17" s="971"/>
      <c r="AP17" s="971"/>
      <c r="AQ17" s="971"/>
      <c r="AR17" s="769"/>
      <c r="AS17" s="1306"/>
      <c r="AU17" s="1312"/>
    </row>
    <row r="18" spans="1:47" ht="45" customHeight="1">
      <c r="A18" s="1545"/>
      <c r="B18" s="1590" t="s">
        <v>222</v>
      </c>
      <c r="C18" s="830" t="s">
        <v>557</v>
      </c>
      <c r="D18" s="1541" t="s">
        <v>502</v>
      </c>
      <c r="E18" s="1542"/>
      <c r="F18" s="1542"/>
      <c r="G18" s="1543"/>
      <c r="H18" s="727" t="s">
        <v>223</v>
      </c>
      <c r="I18" s="703" t="s">
        <v>848</v>
      </c>
      <c r="J18" s="704" t="s">
        <v>849</v>
      </c>
      <c r="K18" s="704" t="s">
        <v>848</v>
      </c>
      <c r="L18" s="705" t="s">
        <v>849</v>
      </c>
      <c r="M18" s="705" t="s">
        <v>849</v>
      </c>
      <c r="N18" s="705" t="s">
        <v>849</v>
      </c>
      <c r="O18" s="705" t="s">
        <v>849</v>
      </c>
      <c r="P18" s="705" t="s">
        <v>849</v>
      </c>
      <c r="Q18" s="705" t="s">
        <v>849</v>
      </c>
      <c r="R18" s="705" t="s">
        <v>849</v>
      </c>
      <c r="S18" s="705" t="s">
        <v>849</v>
      </c>
      <c r="T18" s="797" t="s">
        <v>848</v>
      </c>
      <c r="U18" s="1024" t="s">
        <v>848</v>
      </c>
      <c r="V18" s="970" t="s">
        <v>849</v>
      </c>
      <c r="W18" s="970" t="s">
        <v>848</v>
      </c>
      <c r="X18" s="970" t="s">
        <v>849</v>
      </c>
      <c r="Y18" s="705" t="s">
        <v>849</v>
      </c>
      <c r="Z18" s="705" t="s">
        <v>849</v>
      </c>
      <c r="AA18" s="970" t="s">
        <v>849</v>
      </c>
      <c r="AB18" s="970" t="s">
        <v>849</v>
      </c>
      <c r="AC18" s="970" t="s">
        <v>849</v>
      </c>
      <c r="AD18" s="705" t="s">
        <v>849</v>
      </c>
      <c r="AE18" s="1014" t="s">
        <v>849</v>
      </c>
      <c r="AF18" s="797" t="s">
        <v>848</v>
      </c>
      <c r="AG18" s="703" t="s">
        <v>848</v>
      </c>
      <c r="AH18" s="705" t="s">
        <v>849</v>
      </c>
      <c r="AI18" s="970" t="s">
        <v>848</v>
      </c>
      <c r="AJ18" s="970"/>
      <c r="AK18" s="970"/>
      <c r="AL18" s="970"/>
      <c r="AM18" s="970"/>
      <c r="AN18" s="970"/>
      <c r="AO18" s="970"/>
      <c r="AP18" s="970"/>
      <c r="AQ18" s="970"/>
      <c r="AR18" s="779"/>
      <c r="AS18" s="1306"/>
      <c r="AU18" s="1312"/>
    </row>
    <row r="19" spans="1:47" ht="45" customHeight="1">
      <c r="A19" s="1545"/>
      <c r="B19" s="1585"/>
      <c r="C19" s="745" t="s">
        <v>562</v>
      </c>
      <c r="D19" s="1525" t="s">
        <v>508</v>
      </c>
      <c r="E19" s="1567"/>
      <c r="F19" s="1567"/>
      <c r="G19" s="1568"/>
      <c r="H19" s="878" t="s">
        <v>223</v>
      </c>
      <c r="I19" s="715" t="s">
        <v>848</v>
      </c>
      <c r="J19" s="716" t="s">
        <v>848</v>
      </c>
      <c r="K19" s="716" t="s">
        <v>848</v>
      </c>
      <c r="L19" s="717" t="s">
        <v>849</v>
      </c>
      <c r="M19" s="717" t="s">
        <v>848</v>
      </c>
      <c r="N19" s="717" t="s">
        <v>849</v>
      </c>
      <c r="O19" s="717" t="s">
        <v>849</v>
      </c>
      <c r="P19" s="717" t="s">
        <v>849</v>
      </c>
      <c r="Q19" s="717" t="s">
        <v>848</v>
      </c>
      <c r="R19" s="717" t="s">
        <v>848</v>
      </c>
      <c r="S19" s="717" t="s">
        <v>848</v>
      </c>
      <c r="T19" s="821" t="s">
        <v>848</v>
      </c>
      <c r="U19" s="1029" t="s">
        <v>848</v>
      </c>
      <c r="V19" s="975" t="s">
        <v>848</v>
      </c>
      <c r="W19" s="975" t="s">
        <v>848</v>
      </c>
      <c r="X19" s="975" t="s">
        <v>849</v>
      </c>
      <c r="Y19" s="717" t="s">
        <v>848</v>
      </c>
      <c r="Z19" s="717" t="s">
        <v>849</v>
      </c>
      <c r="AA19" s="975" t="s">
        <v>849</v>
      </c>
      <c r="AB19" s="975" t="s">
        <v>849</v>
      </c>
      <c r="AC19" s="975" t="s">
        <v>848</v>
      </c>
      <c r="AD19" s="717" t="s">
        <v>848</v>
      </c>
      <c r="AE19" s="1019" t="s">
        <v>848</v>
      </c>
      <c r="AF19" s="821" t="s">
        <v>848</v>
      </c>
      <c r="AG19" s="715" t="s">
        <v>848</v>
      </c>
      <c r="AH19" s="717" t="s">
        <v>848</v>
      </c>
      <c r="AI19" s="975" t="s">
        <v>848</v>
      </c>
      <c r="AJ19" s="975"/>
      <c r="AK19" s="975"/>
      <c r="AL19" s="975"/>
      <c r="AM19" s="975"/>
      <c r="AN19" s="975"/>
      <c r="AO19" s="975"/>
      <c r="AP19" s="975"/>
      <c r="AQ19" s="975"/>
      <c r="AR19" s="794"/>
      <c r="AS19" s="1306"/>
      <c r="AU19" s="1312"/>
    </row>
    <row r="20" spans="1:47" ht="45" customHeight="1">
      <c r="A20" s="1545"/>
      <c r="B20" s="1591"/>
      <c r="C20" s="745" t="s">
        <v>563</v>
      </c>
      <c r="D20" s="1525" t="s">
        <v>6</v>
      </c>
      <c r="E20" s="1567"/>
      <c r="F20" s="1567"/>
      <c r="G20" s="1568"/>
      <c r="H20" s="878" t="s">
        <v>223</v>
      </c>
      <c r="I20" s="715" t="s">
        <v>848</v>
      </c>
      <c r="J20" s="716" t="s">
        <v>848</v>
      </c>
      <c r="K20" s="716" t="s">
        <v>849</v>
      </c>
      <c r="L20" s="717" t="s">
        <v>849</v>
      </c>
      <c r="M20" s="717" t="s">
        <v>849</v>
      </c>
      <c r="N20" s="717" t="s">
        <v>849</v>
      </c>
      <c r="O20" s="717" t="s">
        <v>849</v>
      </c>
      <c r="P20" s="717" t="s">
        <v>848</v>
      </c>
      <c r="Q20" s="717" t="s">
        <v>848</v>
      </c>
      <c r="R20" s="717" t="s">
        <v>848</v>
      </c>
      <c r="S20" s="717" t="s">
        <v>848</v>
      </c>
      <c r="T20" s="821" t="s">
        <v>848</v>
      </c>
      <c r="U20" s="1029" t="s">
        <v>848</v>
      </c>
      <c r="V20" s="975" t="s">
        <v>848</v>
      </c>
      <c r="W20" s="975" t="s">
        <v>849</v>
      </c>
      <c r="X20" s="975" t="s">
        <v>849</v>
      </c>
      <c r="Y20" s="717" t="s">
        <v>849</v>
      </c>
      <c r="Z20" s="717" t="s">
        <v>849</v>
      </c>
      <c r="AA20" s="975" t="s">
        <v>849</v>
      </c>
      <c r="AB20" s="975" t="s">
        <v>848</v>
      </c>
      <c r="AC20" s="975" t="s">
        <v>848</v>
      </c>
      <c r="AD20" s="708" t="s">
        <v>848</v>
      </c>
      <c r="AE20" s="1019" t="s">
        <v>848</v>
      </c>
      <c r="AF20" s="821" t="s">
        <v>848</v>
      </c>
      <c r="AG20" s="715" t="s">
        <v>848</v>
      </c>
      <c r="AH20" s="717" t="s">
        <v>848</v>
      </c>
      <c r="AI20" s="975" t="s">
        <v>848</v>
      </c>
      <c r="AJ20" s="975"/>
      <c r="AK20" s="975"/>
      <c r="AL20" s="975"/>
      <c r="AM20" s="975"/>
      <c r="AN20" s="975"/>
      <c r="AO20" s="975"/>
      <c r="AP20" s="971"/>
      <c r="AQ20" s="975"/>
      <c r="AR20" s="794"/>
      <c r="AS20" s="1306"/>
      <c r="AU20" s="1312"/>
    </row>
    <row r="21" spans="1:47" ht="45" customHeight="1">
      <c r="A21" s="1545"/>
      <c r="B21" s="744" t="s">
        <v>237</v>
      </c>
      <c r="C21" s="743" t="s">
        <v>82</v>
      </c>
      <c r="D21" s="1559" t="s">
        <v>511</v>
      </c>
      <c r="E21" s="1588"/>
      <c r="F21" s="1588"/>
      <c r="G21" s="1589"/>
      <c r="H21" s="749" t="s">
        <v>238</v>
      </c>
      <c r="I21" s="709" t="s">
        <v>848</v>
      </c>
      <c r="J21" s="710" t="s">
        <v>848</v>
      </c>
      <c r="K21" s="710" t="s">
        <v>849</v>
      </c>
      <c r="L21" s="710" t="s">
        <v>849</v>
      </c>
      <c r="M21" s="711" t="s">
        <v>849</v>
      </c>
      <c r="N21" s="711" t="s">
        <v>849</v>
      </c>
      <c r="O21" s="764" t="s">
        <v>849</v>
      </c>
      <c r="P21" s="711" t="s">
        <v>849</v>
      </c>
      <c r="Q21" s="711" t="s">
        <v>848</v>
      </c>
      <c r="R21" s="711" t="s">
        <v>848</v>
      </c>
      <c r="S21" s="711" t="s">
        <v>848</v>
      </c>
      <c r="T21" s="799" t="s">
        <v>849</v>
      </c>
      <c r="U21" s="1023" t="s">
        <v>848</v>
      </c>
      <c r="V21" s="969" t="s">
        <v>848</v>
      </c>
      <c r="W21" s="969" t="s">
        <v>849</v>
      </c>
      <c r="X21" s="969" t="s">
        <v>849</v>
      </c>
      <c r="Y21" s="711" t="s">
        <v>849</v>
      </c>
      <c r="Z21" s="711" t="s">
        <v>849</v>
      </c>
      <c r="AA21" s="969" t="s">
        <v>849</v>
      </c>
      <c r="AB21" s="969" t="s">
        <v>849</v>
      </c>
      <c r="AC21" s="969" t="s">
        <v>848</v>
      </c>
      <c r="AD21" s="711" t="s">
        <v>848</v>
      </c>
      <c r="AE21" s="1013" t="s">
        <v>848</v>
      </c>
      <c r="AF21" s="799" t="s">
        <v>849</v>
      </c>
      <c r="AG21" s="709" t="s">
        <v>848</v>
      </c>
      <c r="AH21" s="711" t="s">
        <v>848</v>
      </c>
      <c r="AI21" s="969" t="s">
        <v>848</v>
      </c>
      <c r="AJ21" s="969"/>
      <c r="AK21" s="969"/>
      <c r="AL21" s="969"/>
      <c r="AM21" s="969"/>
      <c r="AN21" s="969"/>
      <c r="AO21" s="969"/>
      <c r="AP21" s="969"/>
      <c r="AQ21" s="969"/>
      <c r="AR21" s="770"/>
      <c r="AS21" s="1306"/>
      <c r="AU21" s="1312"/>
    </row>
    <row r="22" spans="1:47" ht="45" customHeight="1">
      <c r="A22" s="1545"/>
      <c r="B22" s="741" t="s">
        <v>503</v>
      </c>
      <c r="C22" s="743" t="s">
        <v>640</v>
      </c>
      <c r="D22" s="1558" t="s">
        <v>478</v>
      </c>
      <c r="E22" s="1559"/>
      <c r="F22" s="1559"/>
      <c r="G22" s="1560"/>
      <c r="H22" s="731" t="s">
        <v>223</v>
      </c>
      <c r="I22" s="709" t="s">
        <v>848</v>
      </c>
      <c r="J22" s="710" t="s">
        <v>849</v>
      </c>
      <c r="K22" s="710" t="s">
        <v>848</v>
      </c>
      <c r="L22" s="711" t="s">
        <v>849</v>
      </c>
      <c r="M22" s="711" t="s">
        <v>849</v>
      </c>
      <c r="N22" s="711" t="s">
        <v>849</v>
      </c>
      <c r="O22" s="711" t="s">
        <v>849</v>
      </c>
      <c r="P22" s="711" t="s">
        <v>849</v>
      </c>
      <c r="Q22" s="711" t="s">
        <v>849</v>
      </c>
      <c r="R22" s="711" t="s">
        <v>848</v>
      </c>
      <c r="S22" s="711" t="s">
        <v>848</v>
      </c>
      <c r="T22" s="799" t="s">
        <v>848</v>
      </c>
      <c r="U22" s="1023" t="s">
        <v>848</v>
      </c>
      <c r="V22" s="969" t="s">
        <v>849</v>
      </c>
      <c r="W22" s="969" t="s">
        <v>848</v>
      </c>
      <c r="X22" s="969" t="s">
        <v>849</v>
      </c>
      <c r="Y22" s="711" t="s">
        <v>849</v>
      </c>
      <c r="Z22" s="1095" t="s">
        <v>849</v>
      </c>
      <c r="AA22" s="969" t="s">
        <v>849</v>
      </c>
      <c r="AB22" s="969" t="s">
        <v>849</v>
      </c>
      <c r="AC22" s="969" t="s">
        <v>849</v>
      </c>
      <c r="AD22" s="711" t="s">
        <v>848</v>
      </c>
      <c r="AE22" s="1013" t="s">
        <v>848</v>
      </c>
      <c r="AF22" s="799" t="s">
        <v>848</v>
      </c>
      <c r="AG22" s="709" t="s">
        <v>848</v>
      </c>
      <c r="AH22" s="711" t="s">
        <v>848</v>
      </c>
      <c r="AI22" s="969" t="s">
        <v>849</v>
      </c>
      <c r="AJ22" s="969"/>
      <c r="AK22" s="969"/>
      <c r="AL22" s="969"/>
      <c r="AM22" s="969"/>
      <c r="AN22" s="969"/>
      <c r="AO22" s="969"/>
      <c r="AP22" s="969"/>
      <c r="AQ22" s="969"/>
      <c r="AR22" s="770"/>
      <c r="AS22" s="1306"/>
      <c r="AU22" s="1312"/>
    </row>
    <row r="23" spans="1:47" ht="33.950000000000003" customHeight="1">
      <c r="A23" s="1545"/>
      <c r="B23" s="1576" t="s">
        <v>228</v>
      </c>
      <c r="C23" s="1577"/>
      <c r="D23" s="1577"/>
      <c r="E23" s="1577"/>
      <c r="F23" s="1577"/>
      <c r="G23" s="1577"/>
      <c r="H23" s="1577"/>
      <c r="I23" s="1064">
        <f t="shared" ref="I23:AD23" si="8">COUNTIF(I15:I22,"＋")+COUNTIF(I15:I22,0)/2</f>
        <v>7</v>
      </c>
      <c r="J23" s="824">
        <f t="shared" si="8"/>
        <v>5</v>
      </c>
      <c r="K23" s="824">
        <f t="shared" si="8"/>
        <v>5.5</v>
      </c>
      <c r="L23" s="823">
        <f t="shared" si="8"/>
        <v>1.5</v>
      </c>
      <c r="M23" s="823">
        <f t="shared" si="8"/>
        <v>3</v>
      </c>
      <c r="N23" s="823">
        <f t="shared" si="8"/>
        <v>1</v>
      </c>
      <c r="O23" s="823">
        <f t="shared" si="8"/>
        <v>0</v>
      </c>
      <c r="P23" s="823">
        <f t="shared" si="8"/>
        <v>1</v>
      </c>
      <c r="Q23" s="823">
        <f t="shared" si="8"/>
        <v>3</v>
      </c>
      <c r="R23" s="823">
        <f t="shared" si="8"/>
        <v>4</v>
      </c>
      <c r="S23" s="823">
        <f t="shared" si="8"/>
        <v>5</v>
      </c>
      <c r="T23" s="825">
        <f t="shared" si="8"/>
        <v>5</v>
      </c>
      <c r="U23" s="1026">
        <f t="shared" si="8"/>
        <v>7</v>
      </c>
      <c r="V23" s="972">
        <f t="shared" si="8"/>
        <v>5</v>
      </c>
      <c r="W23" s="972">
        <f t="shared" si="8"/>
        <v>5.5</v>
      </c>
      <c r="X23" s="972">
        <f t="shared" si="8"/>
        <v>1.5</v>
      </c>
      <c r="Y23" s="823">
        <f t="shared" si="8"/>
        <v>3</v>
      </c>
      <c r="Z23" s="1016">
        <f t="shared" si="8"/>
        <v>1</v>
      </c>
      <c r="AA23" s="972">
        <f t="shared" si="8"/>
        <v>0</v>
      </c>
      <c r="AB23" s="972">
        <f>COUNTIF(AB15:AB22,"＋")+COUNTIF(AB15:AB22,0)/2</f>
        <v>1</v>
      </c>
      <c r="AC23" s="972">
        <f t="shared" si="8"/>
        <v>3</v>
      </c>
      <c r="AD23" s="823">
        <f t="shared" si="8"/>
        <v>4</v>
      </c>
      <c r="AE23" s="1016">
        <f>COUNTIF(AE15:AE22,"＋")+COUNTIF(AE15:AE22,0)/2</f>
        <v>5</v>
      </c>
      <c r="AF23" s="825">
        <f>COUNTIF(AF15:AF22,"＋")+COUNTIF(AF15:AF22,0)/2</f>
        <v>5</v>
      </c>
      <c r="AG23" s="831">
        <f t="shared" ref="AG23:AM23" si="9">COUNTIF(AG15:AG22,"＋")+COUNTIF(AG15:AG22,0)/2</f>
        <v>6</v>
      </c>
      <c r="AH23" s="823">
        <f t="shared" si="9"/>
        <v>7</v>
      </c>
      <c r="AI23" s="972">
        <f t="shared" si="9"/>
        <v>7</v>
      </c>
      <c r="AJ23" s="972">
        <f t="shared" si="9"/>
        <v>0</v>
      </c>
      <c r="AK23" s="972">
        <f t="shared" si="9"/>
        <v>0</v>
      </c>
      <c r="AL23" s="972">
        <f t="shared" si="9"/>
        <v>0</v>
      </c>
      <c r="AM23" s="972">
        <f t="shared" si="9"/>
        <v>0</v>
      </c>
      <c r="AN23" s="972">
        <f>COUNTIF(AN15:AN22,"＋")+COUNTIF(AN15:AN22,0)/2</f>
        <v>0</v>
      </c>
      <c r="AO23" s="972">
        <f>COUNTIF(AO15:AO22,"＋")+COUNTIF(AO15:AO22,0)/2</f>
        <v>0</v>
      </c>
      <c r="AP23" s="972">
        <f>COUNTIF(AP15:AP22,"＋")+COUNTIF(AP15:AP22,0)/2</f>
        <v>0</v>
      </c>
      <c r="AQ23" s="972">
        <f>COUNTIF(AQ15:AQ22,"＋")+COUNTIF(AQ15:AQ22,0)/2</f>
        <v>0</v>
      </c>
      <c r="AR23" s="771">
        <f>COUNTIF(AR15:AR22,"＋")+COUNTIF(AR15:AR22,0)/2</f>
        <v>0</v>
      </c>
      <c r="AS23" s="1307"/>
      <c r="AU23" s="1312"/>
    </row>
    <row r="24" spans="1:47" ht="33.950000000000003" customHeight="1">
      <c r="A24" s="1583"/>
      <c r="B24" s="1578" t="s">
        <v>229</v>
      </c>
      <c r="C24" s="1579"/>
      <c r="D24" s="1579"/>
      <c r="E24" s="1579"/>
      <c r="F24" s="1579"/>
      <c r="G24" s="1579"/>
      <c r="H24" s="1579"/>
      <c r="I24" s="1062">
        <f>8-COUNTIF(I15:I22,"")</f>
        <v>8</v>
      </c>
      <c r="J24" s="707">
        <f t="shared" ref="J24:W24" si="10">8-COUNTIF(J15:J22,"")</f>
        <v>8</v>
      </c>
      <c r="K24" s="819">
        <f t="shared" si="10"/>
        <v>8</v>
      </c>
      <c r="L24" s="708">
        <f t="shared" si="10"/>
        <v>8</v>
      </c>
      <c r="M24" s="708">
        <f t="shared" si="10"/>
        <v>8</v>
      </c>
      <c r="N24" s="708">
        <f t="shared" si="10"/>
        <v>8</v>
      </c>
      <c r="O24" s="708">
        <f t="shared" si="10"/>
        <v>8</v>
      </c>
      <c r="P24" s="708">
        <f t="shared" si="10"/>
        <v>8</v>
      </c>
      <c r="Q24" s="708">
        <f t="shared" si="10"/>
        <v>8</v>
      </c>
      <c r="R24" s="708">
        <f t="shared" si="10"/>
        <v>8</v>
      </c>
      <c r="S24" s="708">
        <f t="shared" si="10"/>
        <v>8</v>
      </c>
      <c r="T24" s="798">
        <f t="shared" si="10"/>
        <v>8</v>
      </c>
      <c r="U24" s="1025">
        <f t="shared" si="10"/>
        <v>8</v>
      </c>
      <c r="V24" s="708">
        <f t="shared" si="10"/>
        <v>8</v>
      </c>
      <c r="W24" s="971">
        <f t="shared" si="10"/>
        <v>8</v>
      </c>
      <c r="X24" s="971">
        <f t="shared" ref="X24:AD24" si="11">8-COUNTIF(X15:X22,"")</f>
        <v>8</v>
      </c>
      <c r="Y24" s="708">
        <f t="shared" si="11"/>
        <v>8</v>
      </c>
      <c r="Z24" s="1015">
        <f t="shared" si="11"/>
        <v>8</v>
      </c>
      <c r="AA24" s="971">
        <f t="shared" si="11"/>
        <v>8</v>
      </c>
      <c r="AB24" s="971">
        <f t="shared" si="11"/>
        <v>8</v>
      </c>
      <c r="AC24" s="971">
        <f t="shared" si="11"/>
        <v>8</v>
      </c>
      <c r="AD24" s="708">
        <f t="shared" si="11"/>
        <v>8</v>
      </c>
      <c r="AE24" s="1015">
        <f>8-COUNTIF(AE15:AE22,"")</f>
        <v>8</v>
      </c>
      <c r="AF24" s="798">
        <f>8-COUNTIF(AF15:AF22,"")</f>
        <v>8</v>
      </c>
      <c r="AG24" s="706">
        <f t="shared" ref="AG24:AP24" si="12">8-COUNTIF(AG15:AG22,"")</f>
        <v>8</v>
      </c>
      <c r="AH24" s="708">
        <f t="shared" si="12"/>
        <v>8</v>
      </c>
      <c r="AI24" s="971">
        <f t="shared" si="12"/>
        <v>8</v>
      </c>
      <c r="AJ24" s="971">
        <f t="shared" si="12"/>
        <v>0</v>
      </c>
      <c r="AK24" s="971">
        <f t="shared" si="12"/>
        <v>0</v>
      </c>
      <c r="AL24" s="971">
        <f t="shared" si="12"/>
        <v>0</v>
      </c>
      <c r="AM24" s="971">
        <f t="shared" si="12"/>
        <v>0</v>
      </c>
      <c r="AN24" s="971">
        <f t="shared" si="12"/>
        <v>0</v>
      </c>
      <c r="AO24" s="971">
        <f t="shared" si="12"/>
        <v>0</v>
      </c>
      <c r="AP24" s="971">
        <f t="shared" si="12"/>
        <v>0</v>
      </c>
      <c r="AQ24" s="971">
        <f>8-COUNTIF(AQ15:AQ22,"")</f>
        <v>0</v>
      </c>
      <c r="AR24" s="769">
        <f>8-COUNTIF(AR15:AR22,"")</f>
        <v>0</v>
      </c>
      <c r="AS24" s="1306"/>
      <c r="AU24" s="1312"/>
    </row>
    <row r="25" spans="1:47" s="379" customFormat="1" ht="39" customHeight="1" thickBot="1">
      <c r="A25" s="1584"/>
      <c r="B25" s="1556" t="s">
        <v>239</v>
      </c>
      <c r="C25" s="1557"/>
      <c r="D25" s="1557"/>
      <c r="E25" s="1557"/>
      <c r="F25" s="1557"/>
      <c r="G25" s="1557"/>
      <c r="H25" s="1557"/>
      <c r="I25" s="979">
        <f t="shared" ref="I25:U25" si="13">ROUND(I23/I24*100,1)</f>
        <v>87.5</v>
      </c>
      <c r="J25" s="950">
        <f t="shared" si="13"/>
        <v>62.5</v>
      </c>
      <c r="K25" s="950">
        <f t="shared" si="13"/>
        <v>68.8</v>
      </c>
      <c r="L25" s="747">
        <f t="shared" si="13"/>
        <v>18.8</v>
      </c>
      <c r="M25" s="747">
        <f t="shared" si="13"/>
        <v>37.5</v>
      </c>
      <c r="N25" s="747">
        <f t="shared" si="13"/>
        <v>12.5</v>
      </c>
      <c r="O25" s="747">
        <f t="shared" si="13"/>
        <v>0</v>
      </c>
      <c r="P25" s="747">
        <f t="shared" si="13"/>
        <v>12.5</v>
      </c>
      <c r="Q25" s="747">
        <f t="shared" si="13"/>
        <v>37.5</v>
      </c>
      <c r="R25" s="747">
        <f t="shared" si="13"/>
        <v>50</v>
      </c>
      <c r="S25" s="747">
        <f t="shared" si="13"/>
        <v>62.5</v>
      </c>
      <c r="T25" s="822">
        <f t="shared" si="13"/>
        <v>62.5</v>
      </c>
      <c r="U25" s="1030">
        <f t="shared" si="13"/>
        <v>87.5</v>
      </c>
      <c r="V25" s="1009">
        <f t="shared" ref="V25:AD25" si="14">ROUND(V23/V24*100,1)</f>
        <v>62.5</v>
      </c>
      <c r="W25" s="982">
        <f t="shared" si="14"/>
        <v>68.8</v>
      </c>
      <c r="X25" s="1009">
        <f t="shared" si="14"/>
        <v>18.8</v>
      </c>
      <c r="Y25" s="746">
        <f t="shared" si="14"/>
        <v>37.5</v>
      </c>
      <c r="Z25" s="950">
        <f t="shared" si="14"/>
        <v>12.5</v>
      </c>
      <c r="AA25" s="982">
        <f t="shared" si="14"/>
        <v>0</v>
      </c>
      <c r="AB25" s="982">
        <f>ROUND(AB23/AB24*100,1)</f>
        <v>12.5</v>
      </c>
      <c r="AC25" s="982">
        <f t="shared" si="14"/>
        <v>37.5</v>
      </c>
      <c r="AD25" s="950">
        <f t="shared" si="14"/>
        <v>50</v>
      </c>
      <c r="AE25" s="1044">
        <f>ROUND(AE23/AE24*100,1)</f>
        <v>62.5</v>
      </c>
      <c r="AF25" s="1091">
        <f>ROUND(AF23/AF24*100,1)</f>
        <v>62.5</v>
      </c>
      <c r="AG25" s="1060">
        <f t="shared" ref="AG25:AM25" si="15">ROUND(AG23/AG24*100,1)</f>
        <v>75</v>
      </c>
      <c r="AH25" s="950">
        <f t="shared" si="15"/>
        <v>87.5</v>
      </c>
      <c r="AI25" s="982">
        <f t="shared" si="15"/>
        <v>87.5</v>
      </c>
      <c r="AJ25" s="1009" t="e">
        <f t="shared" si="15"/>
        <v>#DIV/0!</v>
      </c>
      <c r="AK25" s="1009" t="e">
        <f t="shared" si="15"/>
        <v>#DIV/0!</v>
      </c>
      <c r="AL25" s="982" t="e">
        <f t="shared" si="15"/>
        <v>#DIV/0!</v>
      </c>
      <c r="AM25" s="982" t="e">
        <f t="shared" si="15"/>
        <v>#DIV/0!</v>
      </c>
      <c r="AN25" s="982" t="e">
        <f>ROUND(AN23/AN24*100,1)</f>
        <v>#DIV/0!</v>
      </c>
      <c r="AO25" s="982" t="e">
        <f>ROUND(AO23/AO24*100,1)</f>
        <v>#DIV/0!</v>
      </c>
      <c r="AP25" s="982" t="e">
        <f>ROUND(AP23/AP24*100,1)</f>
        <v>#DIV/0!</v>
      </c>
      <c r="AQ25" s="982" t="e">
        <f>ROUND(AQ23/AQ24*100,1)</f>
        <v>#DIV/0!</v>
      </c>
      <c r="AR25" s="785" t="e">
        <f>ROUND(AR23/AR24*100,1)</f>
        <v>#DIV/0!</v>
      </c>
      <c r="AS25" s="1309"/>
      <c r="AT25"/>
      <c r="AU25" s="1312"/>
    </row>
    <row r="26" spans="1:47" ht="45" customHeight="1">
      <c r="A26" s="1575" t="s">
        <v>240</v>
      </c>
      <c r="B26" s="1565" t="s">
        <v>220</v>
      </c>
      <c r="C26" s="740" t="s">
        <v>16</v>
      </c>
      <c r="D26" s="1580" t="s">
        <v>241</v>
      </c>
      <c r="E26" s="1581"/>
      <c r="F26" s="1581"/>
      <c r="G26" s="1582"/>
      <c r="H26" s="737" t="s">
        <v>223</v>
      </c>
      <c r="I26" s="801" t="s">
        <v>848</v>
      </c>
      <c r="J26" s="826" t="s">
        <v>848</v>
      </c>
      <c r="K26" s="826" t="s">
        <v>849</v>
      </c>
      <c r="L26" s="826" t="s">
        <v>849</v>
      </c>
      <c r="M26" s="827" t="s">
        <v>849</v>
      </c>
      <c r="N26" s="827" t="s">
        <v>849</v>
      </c>
      <c r="O26" s="827" t="s">
        <v>849</v>
      </c>
      <c r="P26" s="827" t="s">
        <v>849</v>
      </c>
      <c r="Q26" s="827" t="s">
        <v>849</v>
      </c>
      <c r="R26" s="827" t="s">
        <v>849</v>
      </c>
      <c r="S26" s="827" t="s">
        <v>848</v>
      </c>
      <c r="T26" s="828" t="s">
        <v>849</v>
      </c>
      <c r="U26" s="1031" t="s">
        <v>848</v>
      </c>
      <c r="V26" s="976" t="s">
        <v>848</v>
      </c>
      <c r="W26" s="976" t="s">
        <v>849</v>
      </c>
      <c r="X26" s="976" t="s">
        <v>849</v>
      </c>
      <c r="Y26" s="827" t="s">
        <v>849</v>
      </c>
      <c r="Z26" s="827" t="s">
        <v>849</v>
      </c>
      <c r="AA26" s="976" t="s">
        <v>849</v>
      </c>
      <c r="AB26" s="976" t="s">
        <v>849</v>
      </c>
      <c r="AC26" s="974" t="s">
        <v>849</v>
      </c>
      <c r="AD26" s="827" t="s">
        <v>849</v>
      </c>
      <c r="AE26" s="1020" t="s">
        <v>848</v>
      </c>
      <c r="AF26" s="828" t="s">
        <v>849</v>
      </c>
      <c r="AG26" s="801" t="s">
        <v>849</v>
      </c>
      <c r="AH26" s="827" t="s">
        <v>849</v>
      </c>
      <c r="AI26" s="976" t="s">
        <v>849</v>
      </c>
      <c r="AJ26" s="976"/>
      <c r="AK26" s="976"/>
      <c r="AL26" s="976"/>
      <c r="AM26" s="976"/>
      <c r="AN26" s="976"/>
      <c r="AO26" s="974"/>
      <c r="AP26" s="976"/>
      <c r="AQ26" s="976"/>
      <c r="AR26" s="953"/>
      <c r="AS26" s="1306"/>
      <c r="AU26" s="1312"/>
    </row>
    <row r="27" spans="1:47" ht="45" customHeight="1">
      <c r="A27" s="1545"/>
      <c r="B27" s="1566"/>
      <c r="C27" s="742" t="s">
        <v>17</v>
      </c>
      <c r="D27" s="1571" t="s">
        <v>623</v>
      </c>
      <c r="E27" s="1549"/>
      <c r="F27" s="1549"/>
      <c r="G27" s="1572"/>
      <c r="H27" s="954" t="s">
        <v>238</v>
      </c>
      <c r="I27" s="706" t="s">
        <v>849</v>
      </c>
      <c r="J27" s="707" t="s">
        <v>848</v>
      </c>
      <c r="K27" s="707" t="s">
        <v>849</v>
      </c>
      <c r="L27" s="708" t="s">
        <v>849</v>
      </c>
      <c r="M27" s="708" t="s">
        <v>850</v>
      </c>
      <c r="N27" s="708" t="s">
        <v>850</v>
      </c>
      <c r="O27" s="708" t="s">
        <v>848</v>
      </c>
      <c r="P27" s="708" t="s">
        <v>849</v>
      </c>
      <c r="Q27" s="708" t="s">
        <v>849</v>
      </c>
      <c r="R27" s="708" t="s">
        <v>849</v>
      </c>
      <c r="S27" s="708" t="s">
        <v>849</v>
      </c>
      <c r="T27" s="798" t="s">
        <v>849</v>
      </c>
      <c r="U27" s="1025" t="s">
        <v>849</v>
      </c>
      <c r="V27" s="971" t="s">
        <v>848</v>
      </c>
      <c r="W27" s="971" t="s">
        <v>849</v>
      </c>
      <c r="X27" s="971" t="s">
        <v>849</v>
      </c>
      <c r="Y27" s="708" t="s">
        <v>850</v>
      </c>
      <c r="Z27" s="708" t="s">
        <v>850</v>
      </c>
      <c r="AA27" s="971" t="s">
        <v>848</v>
      </c>
      <c r="AB27" s="971" t="s">
        <v>849</v>
      </c>
      <c r="AC27" s="971" t="s">
        <v>849</v>
      </c>
      <c r="AD27" s="708" t="s">
        <v>849</v>
      </c>
      <c r="AE27" s="1015" t="s">
        <v>849</v>
      </c>
      <c r="AF27" s="798" t="s">
        <v>849</v>
      </c>
      <c r="AG27" s="706" t="s">
        <v>849</v>
      </c>
      <c r="AH27" s="708" t="s">
        <v>849</v>
      </c>
      <c r="AI27" s="971" t="s">
        <v>849</v>
      </c>
      <c r="AJ27" s="971"/>
      <c r="AK27" s="971"/>
      <c r="AL27" s="971"/>
      <c r="AM27" s="971"/>
      <c r="AN27" s="971"/>
      <c r="AO27" s="971"/>
      <c r="AP27" s="971"/>
      <c r="AQ27" s="971"/>
      <c r="AR27" s="769"/>
      <c r="AS27" s="1306"/>
      <c r="AU27" s="1312"/>
    </row>
    <row r="28" spans="1:47" ht="45" customHeight="1">
      <c r="A28" s="1545"/>
      <c r="B28" s="952" t="s">
        <v>222</v>
      </c>
      <c r="C28" s="830" t="s">
        <v>78</v>
      </c>
      <c r="D28" s="1541" t="s">
        <v>242</v>
      </c>
      <c r="E28" s="1542"/>
      <c r="F28" s="1542"/>
      <c r="G28" s="1543"/>
      <c r="H28" s="727" t="s">
        <v>223</v>
      </c>
      <c r="I28" s="703" t="s">
        <v>848</v>
      </c>
      <c r="J28" s="704" t="s">
        <v>848</v>
      </c>
      <c r="K28" s="704" t="s">
        <v>848</v>
      </c>
      <c r="L28" s="705" t="s">
        <v>849</v>
      </c>
      <c r="M28" s="705" t="s">
        <v>849</v>
      </c>
      <c r="N28" s="705" t="s">
        <v>849</v>
      </c>
      <c r="O28" s="705" t="s">
        <v>849</v>
      </c>
      <c r="P28" s="705" t="s">
        <v>849</v>
      </c>
      <c r="Q28" s="705" t="s">
        <v>848</v>
      </c>
      <c r="R28" s="705" t="s">
        <v>849</v>
      </c>
      <c r="S28" s="705" t="s">
        <v>849</v>
      </c>
      <c r="T28" s="797" t="s">
        <v>848</v>
      </c>
      <c r="U28" s="1024" t="s">
        <v>848</v>
      </c>
      <c r="V28" s="970" t="s">
        <v>848</v>
      </c>
      <c r="W28" s="977" t="s">
        <v>848</v>
      </c>
      <c r="X28" s="977" t="s">
        <v>849</v>
      </c>
      <c r="Y28" s="1046" t="s">
        <v>849</v>
      </c>
      <c r="Z28" s="1046" t="s">
        <v>849</v>
      </c>
      <c r="AA28" s="977" t="s">
        <v>849</v>
      </c>
      <c r="AB28" s="969" t="s">
        <v>849</v>
      </c>
      <c r="AC28" s="977" t="s">
        <v>848</v>
      </c>
      <c r="AD28" s="1046" t="s">
        <v>849</v>
      </c>
      <c r="AE28" s="792" t="s">
        <v>849</v>
      </c>
      <c r="AF28" s="1092" t="s">
        <v>848</v>
      </c>
      <c r="AG28" s="703" t="s">
        <v>848</v>
      </c>
      <c r="AH28" s="1046" t="s">
        <v>849</v>
      </c>
      <c r="AI28" s="977" t="s">
        <v>848</v>
      </c>
      <c r="AJ28" s="977"/>
      <c r="AK28" s="977"/>
      <c r="AL28" s="977"/>
      <c r="AM28" s="977"/>
      <c r="AN28" s="969"/>
      <c r="AO28" s="977"/>
      <c r="AP28" s="977"/>
      <c r="AQ28" s="977"/>
      <c r="AR28" s="773"/>
      <c r="AS28" s="1306"/>
      <c r="AU28" s="1312"/>
    </row>
    <row r="29" spans="1:47" ht="45" customHeight="1">
      <c r="A29" s="1545"/>
      <c r="B29" s="1569" t="s">
        <v>236</v>
      </c>
      <c r="C29" s="830" t="s">
        <v>557</v>
      </c>
      <c r="D29" s="1541" t="s">
        <v>633</v>
      </c>
      <c r="E29" s="1542"/>
      <c r="F29" s="1542"/>
      <c r="G29" s="1543"/>
      <c r="H29" s="727" t="s">
        <v>467</v>
      </c>
      <c r="I29" s="703" t="s">
        <v>849</v>
      </c>
      <c r="J29" s="704" t="s">
        <v>848</v>
      </c>
      <c r="K29" s="704" t="s">
        <v>848</v>
      </c>
      <c r="L29" s="705" t="s">
        <v>849</v>
      </c>
      <c r="M29" s="705" t="s">
        <v>849</v>
      </c>
      <c r="N29" s="705" t="s">
        <v>849</v>
      </c>
      <c r="O29" s="705" t="s">
        <v>848</v>
      </c>
      <c r="P29" s="705" t="s">
        <v>849</v>
      </c>
      <c r="Q29" s="705" t="s">
        <v>849</v>
      </c>
      <c r="R29" s="705" t="s">
        <v>848</v>
      </c>
      <c r="S29" s="705" t="s">
        <v>849</v>
      </c>
      <c r="T29" s="797" t="s">
        <v>849</v>
      </c>
      <c r="U29" s="1024" t="s">
        <v>849</v>
      </c>
      <c r="V29" s="970" t="s">
        <v>848</v>
      </c>
      <c r="W29" s="970" t="s">
        <v>848</v>
      </c>
      <c r="X29" s="970" t="s">
        <v>849</v>
      </c>
      <c r="Y29" s="705" t="s">
        <v>849</v>
      </c>
      <c r="Z29" s="705" t="s">
        <v>849</v>
      </c>
      <c r="AA29" s="970" t="s">
        <v>848</v>
      </c>
      <c r="AB29" s="970" t="s">
        <v>849</v>
      </c>
      <c r="AC29" s="970" t="s">
        <v>849</v>
      </c>
      <c r="AD29" s="705" t="s">
        <v>848</v>
      </c>
      <c r="AE29" s="1014" t="s">
        <v>849</v>
      </c>
      <c r="AF29" s="797" t="s">
        <v>849</v>
      </c>
      <c r="AG29" s="703" t="s">
        <v>850</v>
      </c>
      <c r="AH29" s="705" t="s">
        <v>848</v>
      </c>
      <c r="AI29" s="970" t="s">
        <v>849</v>
      </c>
      <c r="AJ29" s="970"/>
      <c r="AK29" s="970"/>
      <c r="AL29" s="970"/>
      <c r="AM29" s="970"/>
      <c r="AN29" s="970"/>
      <c r="AO29" s="970"/>
      <c r="AP29" s="970"/>
      <c r="AQ29" s="970"/>
      <c r="AR29" s="779"/>
      <c r="AS29" s="1306"/>
      <c r="AU29" s="1312"/>
    </row>
    <row r="30" spans="1:47" ht="45" customHeight="1">
      <c r="A30" s="1545"/>
      <c r="B30" s="1570"/>
      <c r="C30" s="742" t="s">
        <v>558</v>
      </c>
      <c r="D30" s="1571" t="s">
        <v>501</v>
      </c>
      <c r="E30" s="1550"/>
      <c r="F30" s="1550"/>
      <c r="G30" s="1551"/>
      <c r="H30" s="728" t="s">
        <v>223</v>
      </c>
      <c r="I30" s="706" t="s">
        <v>849</v>
      </c>
      <c r="J30" s="707" t="s">
        <v>849</v>
      </c>
      <c r="K30" s="707" t="s">
        <v>849</v>
      </c>
      <c r="L30" s="708" t="s">
        <v>849</v>
      </c>
      <c r="M30" s="708" t="s">
        <v>849</v>
      </c>
      <c r="N30" s="708" t="s">
        <v>849</v>
      </c>
      <c r="O30" s="708" t="s">
        <v>848</v>
      </c>
      <c r="P30" s="708" t="s">
        <v>849</v>
      </c>
      <c r="Q30" s="708" t="s">
        <v>848</v>
      </c>
      <c r="R30" s="708" t="s">
        <v>848</v>
      </c>
      <c r="S30" s="708" t="s">
        <v>848</v>
      </c>
      <c r="T30" s="798" t="s">
        <v>848</v>
      </c>
      <c r="U30" s="1025" t="s">
        <v>849</v>
      </c>
      <c r="V30" s="971" t="s">
        <v>849</v>
      </c>
      <c r="W30" s="971" t="s">
        <v>849</v>
      </c>
      <c r="X30" s="971" t="s">
        <v>849</v>
      </c>
      <c r="Y30" s="708" t="s">
        <v>849</v>
      </c>
      <c r="Z30" s="708" t="s">
        <v>849</v>
      </c>
      <c r="AA30" s="971" t="s">
        <v>848</v>
      </c>
      <c r="AB30" s="971" t="s">
        <v>849</v>
      </c>
      <c r="AC30" s="971" t="s">
        <v>848</v>
      </c>
      <c r="AD30" s="708" t="s">
        <v>848</v>
      </c>
      <c r="AE30" s="1015" t="s">
        <v>848</v>
      </c>
      <c r="AF30" s="798" t="s">
        <v>848</v>
      </c>
      <c r="AG30" s="706" t="s">
        <v>848</v>
      </c>
      <c r="AH30" s="708" t="s">
        <v>849</v>
      </c>
      <c r="AI30" s="971" t="s">
        <v>849</v>
      </c>
      <c r="AJ30" s="971"/>
      <c r="AK30" s="971"/>
      <c r="AL30" s="971"/>
      <c r="AM30" s="971"/>
      <c r="AN30" s="971"/>
      <c r="AO30" s="971"/>
      <c r="AP30" s="971"/>
      <c r="AQ30" s="971"/>
      <c r="AR30" s="769"/>
      <c r="AS30" s="1306"/>
      <c r="AU30" s="1312"/>
    </row>
    <row r="31" spans="1:47" ht="45" customHeight="1">
      <c r="A31" s="1545"/>
      <c r="B31" s="725" t="s">
        <v>243</v>
      </c>
      <c r="C31" s="743" t="s">
        <v>559</v>
      </c>
      <c r="D31" s="1558" t="s">
        <v>244</v>
      </c>
      <c r="E31" s="1559"/>
      <c r="F31" s="1559"/>
      <c r="G31" s="1560"/>
      <c r="H31" s="731" t="s">
        <v>467</v>
      </c>
      <c r="I31" s="709" t="s">
        <v>848</v>
      </c>
      <c r="J31" s="710" t="s">
        <v>848</v>
      </c>
      <c r="K31" s="710" t="s">
        <v>848</v>
      </c>
      <c r="L31" s="711" t="s">
        <v>848</v>
      </c>
      <c r="M31" s="711" t="s">
        <v>849</v>
      </c>
      <c r="N31" s="711" t="s">
        <v>849</v>
      </c>
      <c r="O31" s="711" t="s">
        <v>849</v>
      </c>
      <c r="P31" s="711" t="s">
        <v>849</v>
      </c>
      <c r="Q31" s="711" t="s">
        <v>848</v>
      </c>
      <c r="R31" s="711" t="s">
        <v>848</v>
      </c>
      <c r="S31" s="711" t="s">
        <v>848</v>
      </c>
      <c r="T31" s="799" t="s">
        <v>848</v>
      </c>
      <c r="U31" s="1023" t="s">
        <v>848</v>
      </c>
      <c r="V31" s="969" t="s">
        <v>848</v>
      </c>
      <c r="W31" s="969" t="s">
        <v>848</v>
      </c>
      <c r="X31" s="969" t="s">
        <v>848</v>
      </c>
      <c r="Y31" s="711" t="s">
        <v>849</v>
      </c>
      <c r="Z31" s="711" t="s">
        <v>849</v>
      </c>
      <c r="AA31" s="969" t="s">
        <v>849</v>
      </c>
      <c r="AB31" s="969" t="s">
        <v>849</v>
      </c>
      <c r="AC31" s="969" t="s">
        <v>848</v>
      </c>
      <c r="AD31" s="711" t="s">
        <v>848</v>
      </c>
      <c r="AE31" s="1013" t="s">
        <v>848</v>
      </c>
      <c r="AF31" s="799" t="s">
        <v>848</v>
      </c>
      <c r="AG31" s="709" t="s">
        <v>849</v>
      </c>
      <c r="AH31" s="711" t="s">
        <v>849</v>
      </c>
      <c r="AI31" s="969" t="s">
        <v>849</v>
      </c>
      <c r="AJ31" s="969"/>
      <c r="AK31" s="969"/>
      <c r="AL31" s="969"/>
      <c r="AM31" s="969"/>
      <c r="AN31" s="969"/>
      <c r="AO31" s="969"/>
      <c r="AP31" s="969"/>
      <c r="AQ31" s="969"/>
      <c r="AR31" s="770"/>
      <c r="AS31" s="1306"/>
      <c r="AU31" s="1312"/>
    </row>
    <row r="32" spans="1:47" ht="45" customHeight="1">
      <c r="A32" s="1545"/>
      <c r="B32" s="879" t="s">
        <v>237</v>
      </c>
      <c r="C32" s="743" t="s">
        <v>560</v>
      </c>
      <c r="D32" s="1558" t="s">
        <v>406</v>
      </c>
      <c r="E32" s="1592"/>
      <c r="F32" s="1592"/>
      <c r="G32" s="1593"/>
      <c r="H32" s="731" t="s">
        <v>223</v>
      </c>
      <c r="I32" s="709" t="s">
        <v>849</v>
      </c>
      <c r="J32" s="710" t="s">
        <v>848</v>
      </c>
      <c r="K32" s="710" t="s">
        <v>849</v>
      </c>
      <c r="L32" s="711" t="s">
        <v>848</v>
      </c>
      <c r="M32" s="711" t="s">
        <v>848</v>
      </c>
      <c r="N32" s="711" t="s">
        <v>849</v>
      </c>
      <c r="O32" s="711" t="s">
        <v>849</v>
      </c>
      <c r="P32" s="711" t="s">
        <v>848</v>
      </c>
      <c r="Q32" s="711" t="s">
        <v>849</v>
      </c>
      <c r="R32" s="711" t="s">
        <v>848</v>
      </c>
      <c r="S32" s="711" t="s">
        <v>848</v>
      </c>
      <c r="T32" s="799" t="s">
        <v>848</v>
      </c>
      <c r="U32" s="1023" t="s">
        <v>849</v>
      </c>
      <c r="V32" s="969" t="s">
        <v>848</v>
      </c>
      <c r="W32" s="969" t="s">
        <v>849</v>
      </c>
      <c r="X32" s="969" t="s">
        <v>848</v>
      </c>
      <c r="Y32" s="711" t="s">
        <v>848</v>
      </c>
      <c r="Z32" s="711" t="s">
        <v>849</v>
      </c>
      <c r="AA32" s="969" t="s">
        <v>849</v>
      </c>
      <c r="AB32" s="969" t="s">
        <v>848</v>
      </c>
      <c r="AC32" s="969" t="s">
        <v>849</v>
      </c>
      <c r="AD32" s="711" t="s">
        <v>848</v>
      </c>
      <c r="AE32" s="1013" t="s">
        <v>848</v>
      </c>
      <c r="AF32" s="799" t="s">
        <v>848</v>
      </c>
      <c r="AG32" s="709" t="s">
        <v>849</v>
      </c>
      <c r="AH32" s="711" t="s">
        <v>848</v>
      </c>
      <c r="AI32" s="969" t="s">
        <v>849</v>
      </c>
      <c r="AJ32" s="969"/>
      <c r="AK32" s="969"/>
      <c r="AL32" s="969"/>
      <c r="AM32" s="969"/>
      <c r="AN32" s="969"/>
      <c r="AO32" s="969"/>
      <c r="AP32" s="969"/>
      <c r="AQ32" s="969"/>
      <c r="AR32" s="770"/>
      <c r="AS32" s="1306"/>
      <c r="AU32" s="1312"/>
    </row>
    <row r="33" spans="1:47" ht="33.950000000000003" customHeight="1">
      <c r="A33" s="1545"/>
      <c r="B33" s="1537" t="s">
        <v>228</v>
      </c>
      <c r="C33" s="1538"/>
      <c r="D33" s="1538"/>
      <c r="E33" s="1538"/>
      <c r="F33" s="1538"/>
      <c r="G33" s="1538"/>
      <c r="H33" s="1538"/>
      <c r="I33" s="831">
        <f t="shared" ref="I33:W33" si="16">COUNTIF(I26:I32,"＋")+COUNTIF(I26:I32,0)/2</f>
        <v>3</v>
      </c>
      <c r="J33" s="824">
        <f t="shared" si="16"/>
        <v>6</v>
      </c>
      <c r="K33" s="824">
        <f t="shared" si="16"/>
        <v>3</v>
      </c>
      <c r="L33" s="823">
        <f t="shared" si="16"/>
        <v>2</v>
      </c>
      <c r="M33" s="823">
        <f t="shared" si="16"/>
        <v>1.5</v>
      </c>
      <c r="N33" s="823">
        <f t="shared" si="16"/>
        <v>0.5</v>
      </c>
      <c r="O33" s="823">
        <f t="shared" si="16"/>
        <v>3</v>
      </c>
      <c r="P33" s="823">
        <f t="shared" si="16"/>
        <v>1</v>
      </c>
      <c r="Q33" s="823">
        <f t="shared" si="16"/>
        <v>3</v>
      </c>
      <c r="R33" s="823">
        <f t="shared" si="16"/>
        <v>4</v>
      </c>
      <c r="S33" s="823">
        <f t="shared" si="16"/>
        <v>4</v>
      </c>
      <c r="T33" s="825">
        <f t="shared" si="16"/>
        <v>4</v>
      </c>
      <c r="U33" s="1026">
        <f t="shared" si="16"/>
        <v>3</v>
      </c>
      <c r="V33" s="972">
        <f t="shared" si="16"/>
        <v>6</v>
      </c>
      <c r="W33" s="972">
        <f t="shared" si="16"/>
        <v>3</v>
      </c>
      <c r="X33" s="972">
        <f t="shared" ref="X33:AD33" si="17">COUNTIF(X26:X32,"＋")+COUNTIF(X26:X32,0)/2</f>
        <v>2</v>
      </c>
      <c r="Y33" s="823">
        <f t="shared" si="17"/>
        <v>1.5</v>
      </c>
      <c r="Z33" s="823">
        <f t="shared" si="17"/>
        <v>0.5</v>
      </c>
      <c r="AA33" s="972">
        <f t="shared" si="17"/>
        <v>3</v>
      </c>
      <c r="AB33" s="972">
        <f t="shared" si="17"/>
        <v>1</v>
      </c>
      <c r="AC33" s="972">
        <f t="shared" si="17"/>
        <v>3</v>
      </c>
      <c r="AD33" s="823">
        <f t="shared" si="17"/>
        <v>4</v>
      </c>
      <c r="AE33" s="1016">
        <f>COUNTIF(AE26:AE32,"＋")+COUNTIF(AE26:AE32,0)/2</f>
        <v>4</v>
      </c>
      <c r="AF33" s="825">
        <f>COUNTIF(AF26:AF32,"＋")+COUNTIF(AF26:AF32,0)/2</f>
        <v>4</v>
      </c>
      <c r="AG33" s="831">
        <f t="shared" ref="AG33:AP33" si="18">COUNTIF(AG26:AG32,"＋")+COUNTIF(AG26:AG32,0)/2</f>
        <v>2.5</v>
      </c>
      <c r="AH33" s="823">
        <f t="shared" si="18"/>
        <v>2</v>
      </c>
      <c r="AI33" s="972">
        <f t="shared" si="18"/>
        <v>1</v>
      </c>
      <c r="AJ33" s="972">
        <f t="shared" si="18"/>
        <v>0</v>
      </c>
      <c r="AK33" s="972">
        <f t="shared" si="18"/>
        <v>0</v>
      </c>
      <c r="AL33" s="972">
        <f t="shared" si="18"/>
        <v>0</v>
      </c>
      <c r="AM33" s="972">
        <f t="shared" si="18"/>
        <v>0</v>
      </c>
      <c r="AN33" s="972">
        <f t="shared" si="18"/>
        <v>0</v>
      </c>
      <c r="AO33" s="972">
        <f t="shared" si="18"/>
        <v>0</v>
      </c>
      <c r="AP33" s="972">
        <f t="shared" si="18"/>
        <v>0</v>
      </c>
      <c r="AQ33" s="972">
        <f>COUNTIF(AQ26:AQ32,"＋")+COUNTIF(AQ26:AQ32,0)/2</f>
        <v>0</v>
      </c>
      <c r="AR33" s="771">
        <f>COUNTIF(AR26:AR32,"＋")+COUNTIF(AR26:AR32,0)/2</f>
        <v>0</v>
      </c>
      <c r="AS33" s="1307"/>
      <c r="AU33" s="1312"/>
    </row>
    <row r="34" spans="1:47" ht="33.950000000000003" customHeight="1">
      <c r="A34" s="1545"/>
      <c r="B34" s="1535" t="s">
        <v>229</v>
      </c>
      <c r="C34" s="1536"/>
      <c r="D34" s="1536"/>
      <c r="E34" s="1536"/>
      <c r="F34" s="1536"/>
      <c r="G34" s="1536"/>
      <c r="H34" s="1536"/>
      <c r="I34" s="718">
        <f t="shared" ref="I34:AD34" si="19">7-COUNTIF(I26:I33,"")</f>
        <v>7</v>
      </c>
      <c r="J34" s="719">
        <f t="shared" si="19"/>
        <v>7</v>
      </c>
      <c r="K34" s="719">
        <f t="shared" si="19"/>
        <v>7</v>
      </c>
      <c r="L34" s="720">
        <f t="shared" si="19"/>
        <v>7</v>
      </c>
      <c r="M34" s="720">
        <f t="shared" si="19"/>
        <v>7</v>
      </c>
      <c r="N34" s="720">
        <f t="shared" si="19"/>
        <v>7</v>
      </c>
      <c r="O34" s="720">
        <f t="shared" si="19"/>
        <v>7</v>
      </c>
      <c r="P34" s="720">
        <f t="shared" si="19"/>
        <v>7</v>
      </c>
      <c r="Q34" s="720">
        <f t="shared" si="19"/>
        <v>7</v>
      </c>
      <c r="R34" s="720">
        <f t="shared" si="19"/>
        <v>7</v>
      </c>
      <c r="S34" s="720">
        <f t="shared" si="19"/>
        <v>7</v>
      </c>
      <c r="T34" s="829">
        <f t="shared" si="19"/>
        <v>7</v>
      </c>
      <c r="U34" s="1032">
        <f t="shared" si="19"/>
        <v>7</v>
      </c>
      <c r="V34" s="978">
        <f t="shared" si="19"/>
        <v>7</v>
      </c>
      <c r="W34" s="978">
        <f t="shared" si="19"/>
        <v>7</v>
      </c>
      <c r="X34" s="978">
        <f t="shared" si="19"/>
        <v>7</v>
      </c>
      <c r="Y34" s="720">
        <f t="shared" si="19"/>
        <v>7</v>
      </c>
      <c r="Z34" s="720">
        <f t="shared" si="19"/>
        <v>7</v>
      </c>
      <c r="AA34" s="978">
        <f t="shared" si="19"/>
        <v>7</v>
      </c>
      <c r="AB34" s="978">
        <f t="shared" si="19"/>
        <v>7</v>
      </c>
      <c r="AC34" s="978">
        <f t="shared" si="19"/>
        <v>7</v>
      </c>
      <c r="AD34" s="720">
        <f t="shared" si="19"/>
        <v>7</v>
      </c>
      <c r="AE34" s="1021">
        <f>7-COUNTIF(AE26:AE33,"")</f>
        <v>7</v>
      </c>
      <c r="AF34" s="829">
        <f>7-COUNTIF(AF26:AF33,"")</f>
        <v>7</v>
      </c>
      <c r="AG34" s="718">
        <f t="shared" ref="AG34:AP34" si="20">7-COUNTIF(AG26:AG33,"")</f>
        <v>7</v>
      </c>
      <c r="AH34" s="720">
        <f t="shared" si="20"/>
        <v>7</v>
      </c>
      <c r="AI34" s="978">
        <f t="shared" si="20"/>
        <v>7</v>
      </c>
      <c r="AJ34" s="978">
        <f t="shared" si="20"/>
        <v>0</v>
      </c>
      <c r="AK34" s="978">
        <f t="shared" si="20"/>
        <v>0</v>
      </c>
      <c r="AL34" s="978">
        <f t="shared" si="20"/>
        <v>0</v>
      </c>
      <c r="AM34" s="978">
        <f t="shared" si="20"/>
        <v>0</v>
      </c>
      <c r="AN34" s="978">
        <f t="shared" si="20"/>
        <v>0</v>
      </c>
      <c r="AO34" s="978">
        <f t="shared" si="20"/>
        <v>0</v>
      </c>
      <c r="AP34" s="978">
        <f t="shared" si="20"/>
        <v>0</v>
      </c>
      <c r="AQ34" s="978">
        <f>7-COUNTIF(AQ26:AQ33,"")</f>
        <v>0</v>
      </c>
      <c r="AR34" s="1047">
        <f>7-COUNTIF(AR26:AR33,"")</f>
        <v>0</v>
      </c>
      <c r="AS34" s="1310"/>
      <c r="AU34" s="1312"/>
    </row>
    <row r="35" spans="1:47" s="379" customFormat="1" ht="39" customHeight="1" thickBot="1">
      <c r="A35" s="1546"/>
      <c r="B35" s="1556" t="s">
        <v>245</v>
      </c>
      <c r="C35" s="1557"/>
      <c r="D35" s="1557"/>
      <c r="E35" s="1557"/>
      <c r="F35" s="1557"/>
      <c r="G35" s="1557"/>
      <c r="H35" s="1557"/>
      <c r="I35" s="781">
        <f t="shared" ref="I35:U35" si="21">ROUND(I33/I34*100,1)</f>
        <v>42.9</v>
      </c>
      <c r="J35" s="746">
        <f t="shared" si="21"/>
        <v>85.7</v>
      </c>
      <c r="K35" s="746">
        <f t="shared" si="21"/>
        <v>42.9</v>
      </c>
      <c r="L35" s="746">
        <f t="shared" si="21"/>
        <v>28.6</v>
      </c>
      <c r="M35" s="746">
        <f t="shared" si="21"/>
        <v>21.4</v>
      </c>
      <c r="N35" s="746">
        <f t="shared" si="21"/>
        <v>7.1</v>
      </c>
      <c r="O35" s="746">
        <f t="shared" si="21"/>
        <v>42.9</v>
      </c>
      <c r="P35" s="746">
        <f t="shared" si="21"/>
        <v>14.3</v>
      </c>
      <c r="Q35" s="746">
        <f t="shared" si="21"/>
        <v>42.9</v>
      </c>
      <c r="R35" s="746">
        <f t="shared" si="21"/>
        <v>57.1</v>
      </c>
      <c r="S35" s="746">
        <f t="shared" si="21"/>
        <v>57.1</v>
      </c>
      <c r="T35" s="800">
        <f t="shared" si="21"/>
        <v>57.1</v>
      </c>
      <c r="U35" s="1027">
        <f t="shared" si="21"/>
        <v>42.9</v>
      </c>
      <c r="V35" s="973">
        <f t="shared" ref="V35:AD35" si="22">ROUND(V33/V34*100,1)</f>
        <v>85.7</v>
      </c>
      <c r="W35" s="973">
        <f t="shared" si="22"/>
        <v>42.9</v>
      </c>
      <c r="X35" s="973">
        <f t="shared" si="22"/>
        <v>28.6</v>
      </c>
      <c r="Y35" s="746">
        <f t="shared" si="22"/>
        <v>21.4</v>
      </c>
      <c r="Z35" s="1052">
        <f t="shared" si="22"/>
        <v>7.1</v>
      </c>
      <c r="AA35" s="983">
        <f>ROUND(AA33/AA34*100,1)</f>
        <v>42.9</v>
      </c>
      <c r="AB35" s="983">
        <f>ROUND(AB33/AB34*100,1)</f>
        <v>14.3</v>
      </c>
      <c r="AC35" s="973">
        <f t="shared" si="22"/>
        <v>42.9</v>
      </c>
      <c r="AD35" s="1052">
        <f t="shared" si="22"/>
        <v>57.1</v>
      </c>
      <c r="AE35" s="1045">
        <f>ROUND(AE33/AE34*100,1)</f>
        <v>57.1</v>
      </c>
      <c r="AF35" s="1093">
        <f>ROUND(AF33/AF34*100,1)</f>
        <v>57.1</v>
      </c>
      <c r="AG35" s="781">
        <f t="shared" ref="AG35:AL35" si="23">ROUND(AG33/AG34*100,1)</f>
        <v>35.700000000000003</v>
      </c>
      <c r="AH35" s="1052">
        <f t="shared" si="23"/>
        <v>28.6</v>
      </c>
      <c r="AI35" s="973">
        <f t="shared" si="23"/>
        <v>14.3</v>
      </c>
      <c r="AJ35" s="973" t="e">
        <f t="shared" si="23"/>
        <v>#DIV/0!</v>
      </c>
      <c r="AK35" s="973" t="e">
        <f t="shared" si="23"/>
        <v>#DIV/0!</v>
      </c>
      <c r="AL35" s="983" t="e">
        <f t="shared" si="23"/>
        <v>#DIV/0!</v>
      </c>
      <c r="AM35" s="983" t="e">
        <f t="shared" ref="AM35:AR35" si="24">ROUND(AM33/AM34*100,1)</f>
        <v>#DIV/0!</v>
      </c>
      <c r="AN35" s="983" t="e">
        <f t="shared" si="24"/>
        <v>#DIV/0!</v>
      </c>
      <c r="AO35" s="973" t="e">
        <f t="shared" si="24"/>
        <v>#DIV/0!</v>
      </c>
      <c r="AP35" s="983" t="e">
        <f t="shared" si="24"/>
        <v>#DIV/0!</v>
      </c>
      <c r="AQ35" s="983" t="e">
        <f t="shared" si="24"/>
        <v>#DIV/0!</v>
      </c>
      <c r="AR35" s="786" t="e">
        <f t="shared" si="24"/>
        <v>#DIV/0!</v>
      </c>
      <c r="AS35" s="1311"/>
      <c r="AT35"/>
      <c r="AU35" s="1312"/>
    </row>
    <row r="36" spans="1:47" s="379" customFormat="1" ht="15" customHeight="1">
      <c r="A36" s="613"/>
      <c r="B36" s="614"/>
      <c r="C36" s="614"/>
      <c r="D36" s="614"/>
      <c r="E36" s="614"/>
      <c r="F36" s="614"/>
      <c r="G36" s="614"/>
      <c r="H36" s="739"/>
      <c r="I36" s="615"/>
      <c r="J36" s="615"/>
      <c r="K36" s="615"/>
      <c r="L36" s="615"/>
      <c r="M36" s="615"/>
      <c r="N36" s="615"/>
      <c r="O36" s="615"/>
      <c r="P36" s="616"/>
      <c r="Q36" s="615"/>
      <c r="R36" s="616"/>
      <c r="S36" s="616"/>
      <c r="T36" s="615"/>
      <c r="U36" s="615"/>
      <c r="V36" s="616"/>
      <c r="W36" s="616"/>
      <c r="X36" s="615"/>
      <c r="Y36" s="615"/>
      <c r="Z36" s="615"/>
      <c r="AA36" s="615"/>
      <c r="AB36" s="615"/>
      <c r="AC36" s="617"/>
      <c r="AD36" s="615"/>
      <c r="AE36" s="615"/>
      <c r="AF36" s="615"/>
      <c r="AH36" s="615"/>
      <c r="AT36"/>
      <c r="AU36"/>
    </row>
    <row r="37" spans="1:47" s="436" customFormat="1" ht="20.100000000000001" customHeight="1">
      <c r="A37" s="721" t="s">
        <v>378</v>
      </c>
      <c r="B37" s="721" t="s">
        <v>555</v>
      </c>
      <c r="C37" s="1574" t="s">
        <v>466</v>
      </c>
      <c r="D37" s="1574"/>
      <c r="E37" s="1574"/>
      <c r="F37" s="1574"/>
      <c r="G37" s="1574"/>
      <c r="H37" s="622"/>
      <c r="I37" s="623"/>
      <c r="J37" s="623"/>
      <c r="K37" s="623"/>
      <c r="L37" s="623"/>
      <c r="M37" s="623"/>
      <c r="N37" s="623"/>
      <c r="O37" s="623"/>
      <c r="P37" s="623"/>
      <c r="Q37" s="623"/>
      <c r="R37" s="623"/>
      <c r="S37" s="623"/>
      <c r="T37" s="623"/>
      <c r="U37" s="622"/>
      <c r="V37" s="622"/>
      <c r="W37" s="622"/>
      <c r="X37" s="622"/>
      <c r="Y37" s="622"/>
      <c r="Z37" s="622"/>
      <c r="AA37" s="622"/>
      <c r="AB37" s="622"/>
      <c r="AC37" s="622"/>
      <c r="AD37" s="622"/>
      <c r="AT37"/>
      <c r="AU37"/>
    </row>
    <row r="38" spans="1:47" s="436" customFormat="1" ht="20.100000000000001" customHeight="1">
      <c r="A38" s="721"/>
      <c r="B38" s="721"/>
      <c r="C38" s="1574" t="s">
        <v>74</v>
      </c>
      <c r="D38" s="1574"/>
      <c r="E38" s="1574"/>
      <c r="F38" s="1574"/>
      <c r="G38" s="1574"/>
      <c r="H38" s="1574"/>
      <c r="I38" s="623"/>
      <c r="J38" s="623"/>
      <c r="K38" s="623"/>
      <c r="L38" s="623"/>
      <c r="M38" s="623"/>
      <c r="N38" s="623"/>
      <c r="O38" s="623"/>
      <c r="P38" s="623"/>
      <c r="Q38" s="623"/>
      <c r="R38" s="623"/>
      <c r="S38" s="623"/>
      <c r="T38" s="623"/>
      <c r="U38" s="622"/>
      <c r="V38" s="622"/>
      <c r="W38" s="622"/>
      <c r="X38" s="622"/>
      <c r="Y38" s="622"/>
      <c r="Z38" s="622"/>
      <c r="AA38" s="622"/>
      <c r="AB38" s="622"/>
      <c r="AC38" s="622"/>
      <c r="AD38" s="622"/>
      <c r="AT38"/>
      <c r="AU38"/>
    </row>
    <row r="39" spans="1:47" s="436" customFormat="1" ht="20.100000000000001" customHeight="1">
      <c r="A39" s="722"/>
      <c r="B39" s="723"/>
      <c r="C39" s="1574" t="s">
        <v>75</v>
      </c>
      <c r="D39" s="1574"/>
      <c r="E39" s="1574"/>
      <c r="F39" s="1574"/>
      <c r="G39" s="1574"/>
      <c r="H39" s="622"/>
      <c r="I39" s="622"/>
      <c r="J39" s="622"/>
      <c r="K39" s="622"/>
      <c r="L39" s="622"/>
      <c r="M39" s="622"/>
      <c r="N39" s="622"/>
      <c r="O39" s="622"/>
      <c r="P39" s="622"/>
      <c r="Q39" s="622"/>
      <c r="R39" s="622"/>
      <c r="S39" s="622"/>
      <c r="T39" s="622"/>
      <c r="U39" s="622"/>
      <c r="V39" s="622"/>
      <c r="W39" s="622"/>
      <c r="X39" s="624"/>
      <c r="Y39" s="624"/>
      <c r="Z39" s="624"/>
      <c r="AA39" s="624"/>
      <c r="AB39" s="624"/>
      <c r="AC39" s="624"/>
      <c r="AD39" s="624"/>
      <c r="AT39"/>
      <c r="AU39"/>
    </row>
    <row r="40" spans="1:47" s="436" customFormat="1" ht="20.100000000000001" customHeight="1">
      <c r="A40" s="722"/>
      <c r="B40" s="723"/>
      <c r="C40" s="722" t="s">
        <v>588</v>
      </c>
      <c r="D40" s="722"/>
      <c r="E40" s="722"/>
      <c r="F40" s="722"/>
      <c r="G40" s="722"/>
      <c r="H40" s="722"/>
      <c r="I40" s="722"/>
      <c r="J40" s="722"/>
      <c r="K40" s="722"/>
      <c r="L40" s="722"/>
      <c r="M40" s="722"/>
      <c r="N40" s="722"/>
      <c r="O40" s="722"/>
      <c r="P40" s="722"/>
      <c r="Q40" s="722"/>
      <c r="R40" s="722"/>
      <c r="S40" s="722"/>
      <c r="T40" s="722"/>
      <c r="U40" s="722"/>
      <c r="V40" s="722"/>
      <c r="W40" s="722"/>
      <c r="X40" s="722"/>
      <c r="Y40" s="722"/>
      <c r="Z40" s="722"/>
      <c r="AA40" s="722"/>
      <c r="AB40" s="722"/>
      <c r="AC40" s="722"/>
      <c r="AD40" s="722"/>
      <c r="AE40" s="722"/>
      <c r="AF40" s="722"/>
      <c r="AG40" s="722"/>
      <c r="AH40" s="722"/>
      <c r="AI40" s="722"/>
      <c r="AJ40" s="722"/>
      <c r="AK40" s="722"/>
      <c r="AL40" s="722"/>
      <c r="AT40"/>
      <c r="AU40"/>
    </row>
    <row r="41" spans="1:47" s="436" customFormat="1" ht="20.100000000000001" customHeight="1">
      <c r="A41" s="722"/>
      <c r="B41" s="723"/>
      <c r="C41" s="722" t="s">
        <v>589</v>
      </c>
      <c r="D41" s="722"/>
      <c r="E41" s="722"/>
      <c r="F41" s="722"/>
      <c r="G41" s="722"/>
      <c r="H41" s="722"/>
      <c r="I41" s="722"/>
      <c r="J41" s="722"/>
      <c r="K41" s="722"/>
      <c r="L41" s="722"/>
      <c r="M41" s="722"/>
      <c r="N41" s="722"/>
      <c r="O41" s="722"/>
      <c r="P41" s="722"/>
      <c r="Q41" s="722"/>
      <c r="R41" s="722"/>
      <c r="S41" s="722"/>
      <c r="T41" s="722"/>
      <c r="U41" s="722"/>
      <c r="V41" s="722"/>
      <c r="W41" s="722"/>
      <c r="X41" s="722"/>
      <c r="Y41" s="722"/>
      <c r="Z41" s="722"/>
      <c r="AA41" s="722"/>
      <c r="AB41" s="722"/>
      <c r="AC41" s="722"/>
      <c r="AD41" s="722"/>
      <c r="AE41" s="722"/>
      <c r="AF41" s="722"/>
      <c r="AG41" s="722"/>
      <c r="AH41" s="722"/>
      <c r="AT41"/>
      <c r="AU41"/>
    </row>
    <row r="42" spans="1:47" s="436" customFormat="1" ht="20.100000000000001" customHeight="1">
      <c r="A42" s="722"/>
      <c r="B42" s="723"/>
      <c r="C42" s="1573" t="s">
        <v>590</v>
      </c>
      <c r="D42" s="1573"/>
      <c r="E42" s="1573"/>
      <c r="F42" s="1573"/>
      <c r="G42" s="1573"/>
      <c r="H42" s="1573"/>
      <c r="I42" s="1573"/>
      <c r="J42" s="1573"/>
      <c r="K42" s="1573"/>
      <c r="L42" s="1573"/>
      <c r="M42" s="1573"/>
      <c r="N42" s="1573"/>
      <c r="O42" s="1573"/>
      <c r="P42" s="1573"/>
      <c r="Q42" s="1573"/>
      <c r="R42" s="1573"/>
      <c r="S42" s="1573"/>
      <c r="T42" s="1573"/>
      <c r="U42" s="1573"/>
      <c r="V42" s="1573"/>
      <c r="W42" s="1573"/>
      <c r="X42" s="1573"/>
      <c r="Y42" s="1573"/>
      <c r="Z42" s="1573"/>
      <c r="AA42" s="1573"/>
      <c r="AB42" s="1573"/>
      <c r="AC42" s="1573"/>
      <c r="AD42" s="1573"/>
      <c r="AE42" s="1573"/>
      <c r="AF42" s="1573"/>
      <c r="AG42" s="1573"/>
      <c r="AT42"/>
      <c r="AU42"/>
    </row>
    <row r="43" spans="1:47" s="436" customFormat="1" ht="20.100000000000001" customHeight="1">
      <c r="A43" s="722"/>
      <c r="B43" s="724" t="s">
        <v>583</v>
      </c>
      <c r="C43" s="795" t="s">
        <v>584</v>
      </c>
      <c r="D43" s="722"/>
      <c r="E43" s="722"/>
      <c r="F43" s="722"/>
      <c r="G43" s="722"/>
      <c r="H43" s="622"/>
      <c r="I43" s="622"/>
      <c r="J43" s="622"/>
      <c r="K43" s="622"/>
      <c r="L43" s="622"/>
      <c r="M43" s="622"/>
      <c r="N43" s="622"/>
      <c r="O43" s="622"/>
      <c r="P43" s="622"/>
      <c r="Q43" s="622"/>
      <c r="R43" s="622"/>
      <c r="S43" s="622"/>
      <c r="T43" s="622"/>
      <c r="U43" s="622"/>
      <c r="V43" s="622"/>
      <c r="W43" s="622"/>
      <c r="X43" s="624"/>
      <c r="Y43" s="624"/>
      <c r="Z43" s="624"/>
      <c r="AA43" s="624"/>
      <c r="AB43" s="624"/>
      <c r="AC43" s="624"/>
      <c r="AD43" s="624"/>
      <c r="AT43"/>
      <c r="AU43"/>
    </row>
    <row r="44" spans="1:47" s="436" customFormat="1" ht="20.100000000000001" hidden="1" customHeight="1">
      <c r="A44" s="723"/>
      <c r="B44" s="724" t="s">
        <v>594</v>
      </c>
      <c r="C44" s="722" t="s">
        <v>543</v>
      </c>
      <c r="D44" s="722"/>
      <c r="E44" s="722"/>
      <c r="F44" s="722"/>
      <c r="G44" s="722"/>
      <c r="H44" s="622"/>
      <c r="I44" s="622"/>
      <c r="J44" s="622"/>
      <c r="K44" s="622"/>
      <c r="L44" s="622"/>
      <c r="M44" s="622"/>
      <c r="N44" s="626"/>
      <c r="O44" s="626"/>
      <c r="P44" s="626"/>
      <c r="Q44" s="626"/>
      <c r="R44" s="626"/>
      <c r="S44" s="626"/>
      <c r="T44" s="626"/>
      <c r="U44" s="626"/>
      <c r="V44" s="626"/>
      <c r="W44" s="624"/>
      <c r="X44" s="624"/>
      <c r="Y44" s="624"/>
      <c r="Z44" s="624"/>
      <c r="AA44" s="624"/>
      <c r="AB44" s="624"/>
      <c r="AC44" s="624"/>
      <c r="AD44" s="624"/>
      <c r="AT44"/>
      <c r="AU44"/>
    </row>
    <row r="45" spans="1:47" s="436" customFormat="1" ht="20.100000000000001" hidden="1" customHeight="1">
      <c r="A45" s="723"/>
      <c r="C45" s="722"/>
      <c r="D45" s="722"/>
      <c r="E45" s="722"/>
      <c r="F45" s="722"/>
      <c r="G45" s="722"/>
      <c r="H45" s="622"/>
      <c r="I45" s="622"/>
      <c r="J45" s="622"/>
      <c r="L45" s="622"/>
      <c r="M45" s="622"/>
      <c r="N45" s="626"/>
      <c r="O45" s="626"/>
      <c r="P45" s="626"/>
      <c r="Q45" s="626"/>
      <c r="R45" s="626"/>
      <c r="S45" s="626"/>
      <c r="T45" s="626"/>
      <c r="U45" s="626"/>
      <c r="V45" s="626"/>
      <c r="W45" s="624"/>
      <c r="X45" s="624"/>
      <c r="Y45" s="624"/>
      <c r="Z45" s="624"/>
      <c r="AA45" s="624"/>
      <c r="AB45" s="624"/>
      <c r="AC45" s="624"/>
      <c r="AD45" s="624"/>
      <c r="AT45"/>
      <c r="AU45"/>
    </row>
    <row r="46" spans="1:47" s="436" customFormat="1" ht="20.100000000000001" hidden="1" customHeight="1">
      <c r="A46" s="435"/>
      <c r="D46" s="622"/>
      <c r="E46" s="622"/>
      <c r="F46" s="627"/>
      <c r="G46" s="622"/>
      <c r="H46" s="622"/>
      <c r="I46" s="622"/>
      <c r="J46" s="622"/>
      <c r="K46" s="622"/>
      <c r="L46" s="622"/>
      <c r="M46" s="622"/>
      <c r="N46" s="622"/>
      <c r="O46" s="622"/>
      <c r="P46" s="622"/>
      <c r="Q46" s="622"/>
      <c r="R46" s="622"/>
      <c r="S46" s="622"/>
      <c r="T46" s="622"/>
      <c r="U46" s="622"/>
      <c r="V46" s="622"/>
      <c r="W46" s="622"/>
      <c r="X46" s="622"/>
      <c r="Y46" s="622"/>
      <c r="Z46" s="622"/>
      <c r="AA46" s="622"/>
      <c r="AB46" s="622"/>
      <c r="AC46" s="622"/>
      <c r="AD46" s="622"/>
      <c r="AT46"/>
      <c r="AU46"/>
    </row>
    <row r="47" spans="1:47" s="436" customFormat="1" ht="20.100000000000001" hidden="1" customHeight="1">
      <c r="A47" s="435"/>
      <c r="B47" s="625" t="s">
        <v>554</v>
      </c>
      <c r="C47" s="622" t="s">
        <v>411</v>
      </c>
      <c r="D47" s="622"/>
      <c r="E47" s="622"/>
      <c r="F47" s="627"/>
      <c r="G47" s="622"/>
      <c r="H47" s="622"/>
      <c r="I47" s="622"/>
      <c r="J47" s="622"/>
      <c r="K47" s="622"/>
      <c r="L47" s="622"/>
      <c r="M47" s="622"/>
      <c r="N47" s="622"/>
      <c r="O47" s="622"/>
      <c r="P47" s="622"/>
      <c r="Q47" s="622"/>
      <c r="R47" s="622"/>
      <c r="S47" s="622"/>
      <c r="T47" s="622"/>
      <c r="U47" s="622"/>
      <c r="V47" s="622"/>
      <c r="W47" s="622"/>
      <c r="X47" s="622"/>
      <c r="Y47" s="622"/>
      <c r="Z47" s="622"/>
      <c r="AA47" s="622"/>
      <c r="AB47" s="622"/>
      <c r="AC47" s="622"/>
      <c r="AD47" s="622"/>
      <c r="AT47"/>
      <c r="AU47"/>
    </row>
    <row r="48" spans="1:47" s="436" customFormat="1" ht="20.100000000000001" hidden="1" customHeight="1">
      <c r="A48" s="435"/>
      <c r="H48" s="437"/>
      <c r="AT48"/>
      <c r="AU48"/>
    </row>
  </sheetData>
  <customSheetViews>
    <customSheetView guid="{7EBA91D6-F088-446F-A1CC-E1462A1CA2C3}" showPageBreaks="1" showGridLines="0" printArea="1" hiddenRows="1" showRuler="0" topLeftCell="BH1">
      <selection activeCell="BX7" sqref="BX7"/>
      <colBreaks count="2" manualBreakCount="2">
        <brk id="37" max="41" man="1"/>
        <brk id="45" max="41" man="1"/>
      </colBreaks>
      <pageMargins left="0.51181102362204722" right="0" top="0.27559055118110237" bottom="0.27559055118110237" header="0.47244094488188981" footer="0.31496062992125984"/>
      <pageSetup paperSize="9" scale="42" orientation="portrait" r:id="rId1"/>
      <headerFooter alignWithMargins="0">
        <oddFooter>&amp;C&amp;18-10-</oddFooter>
      </headerFooter>
    </customSheetView>
    <customSheetView guid="{883B7A2B-3CB3-449D-A461-655262B722BC}" showGridLines="0" hiddenRows="1" showRuler="0" topLeftCell="BH1">
      <selection activeCell="BO1" sqref="BO1"/>
      <colBreaks count="1" manualBreakCount="1">
        <brk id="45" max="41" man="1"/>
      </colBreaks>
      <pageMargins left="0.51181102362204722" right="0" top="0.27559055118110237" bottom="0.27559055118110237" header="0.47244094488188981" footer="0.31496062992125984"/>
      <pageSetup paperSize="9" scale="42" orientation="portrait" r:id="rId2"/>
      <headerFooter alignWithMargins="0">
        <oddFooter>&amp;C&amp;18-10-</oddFooter>
      </headerFooter>
    </customSheetView>
  </customSheetViews>
  <mergeCells count="46">
    <mergeCell ref="A26:A35"/>
    <mergeCell ref="B23:H23"/>
    <mergeCell ref="B24:H24"/>
    <mergeCell ref="D26:G26"/>
    <mergeCell ref="A15:A25"/>
    <mergeCell ref="D19:G19"/>
    <mergeCell ref="B15:B17"/>
    <mergeCell ref="B25:H25"/>
    <mergeCell ref="D15:G15"/>
    <mergeCell ref="D17:G17"/>
    <mergeCell ref="D22:G22"/>
    <mergeCell ref="D21:G21"/>
    <mergeCell ref="D28:G28"/>
    <mergeCell ref="D18:G18"/>
    <mergeCell ref="B18:B20"/>
    <mergeCell ref="D32:G32"/>
    <mergeCell ref="C42:AG42"/>
    <mergeCell ref="B35:H35"/>
    <mergeCell ref="B34:H34"/>
    <mergeCell ref="C39:G39"/>
    <mergeCell ref="C37:G37"/>
    <mergeCell ref="C38:H38"/>
    <mergeCell ref="B26:B27"/>
    <mergeCell ref="D20:G20"/>
    <mergeCell ref="B33:H33"/>
    <mergeCell ref="B29:B30"/>
    <mergeCell ref="D29:G29"/>
    <mergeCell ref="D27:G27"/>
    <mergeCell ref="D31:G31"/>
    <mergeCell ref="D30:G30"/>
    <mergeCell ref="A5:A14"/>
    <mergeCell ref="B3:B4"/>
    <mergeCell ref="D7:G7"/>
    <mergeCell ref="B10:B11"/>
    <mergeCell ref="D8:G8"/>
    <mergeCell ref="B14:H14"/>
    <mergeCell ref="D9:G9"/>
    <mergeCell ref="D10:G10"/>
    <mergeCell ref="B6:B7"/>
    <mergeCell ref="D16:G16"/>
    <mergeCell ref="H3:H4"/>
    <mergeCell ref="C3:G4"/>
    <mergeCell ref="B13:H13"/>
    <mergeCell ref="B12:H12"/>
    <mergeCell ref="D5:G5"/>
    <mergeCell ref="D6:G6"/>
  </mergeCells>
  <phoneticPr fontId="3"/>
  <printOptions horizontalCentered="1" verticalCentered="1"/>
  <pageMargins left="0" right="0" top="0.59055118110236227" bottom="0.59055118110236227" header="0.31496062992125984" footer="0.31496062992125984"/>
  <pageSetup paperSize="9" scale="50" orientation="portrait" horizontalDpi="300" verticalDpi="300" r:id="rId3"/>
  <headerFooter alignWithMargins="0">
    <oddFooter>&amp;C&amp;18-10-</oddFooter>
  </headerFooter>
  <rowBreaks count="1" manualBreakCount="1">
    <brk id="45"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pageSetUpPr fitToPage="1"/>
  </sheetPr>
  <dimension ref="B1:B58"/>
  <sheetViews>
    <sheetView view="pageBreakPreview" zoomScaleNormal="100" zoomScaleSheetLayoutView="100" workbookViewId="0">
      <selection activeCell="B18" sqref="A15:I25"/>
    </sheetView>
  </sheetViews>
  <sheetFormatPr defaultColWidth="8" defaultRowHeight="13.5"/>
  <cols>
    <col min="1" max="1" width="8" style="211"/>
    <col min="2" max="14" width="8.125" style="211" customWidth="1"/>
    <col min="15" max="15" width="8" style="211"/>
    <col min="16" max="16" width="5.5" style="211" customWidth="1"/>
    <col min="17" max="16384" width="8" style="211"/>
  </cols>
  <sheetData>
    <row r="1" spans="2:2" ht="15" customHeight="1"/>
    <row r="2" spans="2:2" s="213" customFormat="1" ht="15" customHeight="1"/>
    <row r="3" spans="2:2" ht="15" customHeight="1"/>
    <row r="4" spans="2:2" ht="15" customHeight="1"/>
    <row r="5" spans="2:2" ht="15" customHeight="1"/>
    <row r="6" spans="2:2" ht="15" customHeight="1"/>
    <row r="7" spans="2:2" ht="15" customHeight="1"/>
    <row r="8" spans="2:2" ht="15" customHeight="1"/>
    <row r="9" spans="2:2" ht="15" customHeight="1">
      <c r="B9" s="1335"/>
    </row>
    <row r="10" spans="2:2" ht="15" customHeight="1"/>
    <row r="11" spans="2:2" ht="15" customHeight="1"/>
    <row r="12" spans="2:2" ht="15" customHeight="1"/>
    <row r="13" spans="2:2" ht="15" customHeight="1"/>
    <row r="14" spans="2:2" ht="15" customHeight="1"/>
    <row r="15" spans="2:2" ht="15" customHeight="1"/>
    <row r="16" spans="2:2"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8.25" customHeight="1"/>
    <row r="58" ht="9" customHeight="1"/>
  </sheetData>
  <customSheetViews>
    <customSheetView guid="{7EBA91D6-F088-446F-A1CC-E1462A1CA2C3}" scale="75" showPageBreaks="1" showGridLines="0" view="pageBreakPreview" showRuler="0">
      <selection activeCell="J45" sqref="J45"/>
      <pageMargins left="0.51181102362204722" right="0.23622047244094491" top="0.59055118110236227" bottom="0.35433070866141736" header="0.51181102362204722" footer="0.19685039370078741"/>
      <printOptions horizontalCentered="1"/>
      <pageSetup paperSize="9" orientation="landscape" r:id="rId1"/>
      <headerFooter alignWithMargins="0"/>
    </customSheetView>
    <customSheetView guid="{883B7A2B-3CB3-449D-A461-655262B722BC}" scale="75" showPageBreaks="1" showGridLines="0" view="pageBreakPreview" showRuler="0">
      <selection activeCell="J45" sqref="J45"/>
      <pageMargins left="0.51181102362204722" right="0.23622047244094491" top="0.59055118110236227" bottom="0.35433070866141736" header="0.51181102362204722" footer="0.19685039370078741"/>
      <printOptions horizontalCentered="1"/>
      <pageSetup paperSize="9" orientation="landscape" r:id="rId2"/>
      <headerFooter alignWithMargins="0"/>
    </customSheetView>
  </customSheetViews>
  <phoneticPr fontId="3"/>
  <printOptions horizontalCentered="1"/>
  <pageMargins left="0.39370078740157483" right="0.59055118110236227" top="0.6692913385826772" bottom="0.23622047244094491" header="0.39370078740157483" footer="0.39370078740157483"/>
  <pageSetup paperSize="9" orientation="landscape" horizontalDpi="300" verticalDpi="300" r:id="rId3"/>
  <headerFooter alignWithMargins="0"/>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AR60"/>
  <sheetViews>
    <sheetView view="pageBreakPreview" zoomScale="80" zoomScaleNormal="100" zoomScaleSheetLayoutView="80" workbookViewId="0">
      <pane xSplit="2" ySplit="5" topLeftCell="C6" activePane="bottomRight" state="frozen"/>
      <selection activeCell="B18" sqref="A15:I25"/>
      <selection pane="topRight" activeCell="B18" sqref="A15:I25"/>
      <selection pane="bottomLeft" activeCell="B18" sqref="A15:I25"/>
      <selection pane="bottomRight" activeCell="E58" sqref="E58"/>
    </sheetView>
  </sheetViews>
  <sheetFormatPr defaultColWidth="8" defaultRowHeight="13.5"/>
  <cols>
    <col min="1" max="2" width="3.375" style="270" customWidth="1"/>
    <col min="3" max="14" width="9.625" style="271" customWidth="1"/>
    <col min="15" max="15" width="2.125" customWidth="1"/>
    <col min="45" max="16384" width="8" style="219"/>
  </cols>
  <sheetData>
    <row r="1" spans="1:14" s="270" customFormat="1" ht="24.95" customHeight="1">
      <c r="A1" s="569" t="s">
        <v>200</v>
      </c>
      <c r="B1" s="268"/>
      <c r="C1" s="269"/>
      <c r="D1" s="269"/>
      <c r="E1" s="269"/>
      <c r="F1" s="269"/>
      <c r="G1" s="269"/>
      <c r="H1" s="269"/>
      <c r="I1" s="269"/>
      <c r="J1" s="269"/>
      <c r="K1" s="269"/>
      <c r="L1" s="269"/>
      <c r="M1" s="269"/>
      <c r="N1" s="269"/>
    </row>
    <row r="3" spans="1:14" s="270" customFormat="1" ht="17.25">
      <c r="A3" s="1607" t="s">
        <v>547</v>
      </c>
      <c r="B3" s="1607"/>
      <c r="C3" s="1607"/>
      <c r="D3" s="1607"/>
      <c r="E3" s="269"/>
      <c r="F3" s="269"/>
      <c r="G3" s="269"/>
      <c r="H3" s="269"/>
      <c r="I3" s="269"/>
      <c r="J3" s="269"/>
      <c r="K3" s="269"/>
      <c r="L3" s="269"/>
      <c r="M3" s="269"/>
      <c r="N3" s="269"/>
    </row>
    <row r="4" spans="1:14" s="270" customFormat="1" ht="20.100000000000001" customHeight="1">
      <c r="A4" s="618"/>
      <c r="B4" s="619" t="s">
        <v>189</v>
      </c>
      <c r="C4" s="1608" t="s">
        <v>256</v>
      </c>
      <c r="D4" s="1601" t="s">
        <v>257</v>
      </c>
      <c r="E4" s="1601" t="s">
        <v>258</v>
      </c>
      <c r="F4" s="1601" t="s">
        <v>280</v>
      </c>
      <c r="G4" s="1601" t="s">
        <v>293</v>
      </c>
      <c r="H4" s="1601" t="s">
        <v>294</v>
      </c>
      <c r="I4" s="1601" t="s">
        <v>295</v>
      </c>
      <c r="J4" s="1601" t="s">
        <v>296</v>
      </c>
      <c r="K4" s="1601" t="s">
        <v>297</v>
      </c>
      <c r="L4" s="1601" t="s">
        <v>298</v>
      </c>
      <c r="M4" s="1601" t="s">
        <v>137</v>
      </c>
      <c r="N4" s="1612" t="s">
        <v>138</v>
      </c>
    </row>
    <row r="5" spans="1:14" s="270" customFormat="1" ht="20.100000000000001" customHeight="1">
      <c r="A5" s="620" t="s">
        <v>190</v>
      </c>
      <c r="B5" s="621"/>
      <c r="C5" s="1609"/>
      <c r="D5" s="1602"/>
      <c r="E5" s="1602"/>
      <c r="F5" s="1602"/>
      <c r="G5" s="1602"/>
      <c r="H5" s="1602"/>
      <c r="I5" s="1602"/>
      <c r="J5" s="1602"/>
      <c r="K5" s="1602"/>
      <c r="L5" s="1602"/>
      <c r="M5" s="1602"/>
      <c r="N5" s="1613"/>
    </row>
    <row r="6" spans="1:14" ht="20.100000000000001" customHeight="1">
      <c r="A6" s="1599" t="s">
        <v>670</v>
      </c>
      <c r="B6" s="1600"/>
      <c r="C6" s="961">
        <f>IF(初期登録!$B$10*12+初期登録!$D$10&lt;DI元データ!$A$401,"",DI元データ!$D$401)</f>
        <v>92.857142857142861</v>
      </c>
      <c r="D6" s="962">
        <f>IF(初期登録!$B$10*12+初期登録!$D$10&lt;DI元データ!$A$402,"",DI元データ!$D$402)</f>
        <v>85.714285714285708</v>
      </c>
      <c r="E6" s="962">
        <f>IF(初期登録!$B$10*12+初期登録!$D$10&lt;DI元データ!$A$403,"",DI元データ!$D$403)</f>
        <v>71.428571428571431</v>
      </c>
      <c r="F6" s="962">
        <f>IF(初期登録!$B$10*12+初期登録!$D$10&lt;DI元データ!$A$404,"",DI元データ!$D$404)</f>
        <v>85.714285714285708</v>
      </c>
      <c r="G6" s="962">
        <f>IF(初期登録!$B$10*12+初期登録!$D$10&lt;DI元データ!$A$405,"",DI元データ!$D$405)</f>
        <v>100</v>
      </c>
      <c r="H6" s="962">
        <f>IF(初期登録!$B$10*12+初期登録!$D$10&lt;DI元データ!$A$406,"",DI元データ!$D$406)</f>
        <v>57.142857142857146</v>
      </c>
      <c r="I6" s="962">
        <f>IF(初期登録!$B$10*12+初期登録!$D$10&lt;DI元データ!$A$407,"",DI元データ!$D$407)</f>
        <v>71.428571428571431</v>
      </c>
      <c r="J6" s="962">
        <f>IF(初期登録!$B$10*12+初期登録!$D$10&lt;DI元データ!$A$408,"",DI元データ!$D$408)</f>
        <v>64.285714285714292</v>
      </c>
      <c r="K6" s="962">
        <f>IF(初期登録!$B$10*12+初期登録!$D$10&lt;DI元データ!$A$409,"",DI元データ!$D$409)</f>
        <v>28.571428571428573</v>
      </c>
      <c r="L6" s="962">
        <f>IF(初期登録!$B$10*12+初期登録!$D$10&lt;DI元データ!$A$410,"",DI元データ!$D$410)</f>
        <v>35.714285714285715</v>
      </c>
      <c r="M6" s="962">
        <f>IF(初期登録!$B$10*12+初期登録!$D$10&lt;DI元データ!$A$411,"",DI元データ!$D$411)</f>
        <v>42.857142857142854</v>
      </c>
      <c r="N6" s="963">
        <f>IF(初期登録!$B$10*12+初期登録!$D$10&lt;DI元データ!$A$412,"",DI元データ!$D$412)</f>
        <v>14.285714285714286</v>
      </c>
    </row>
    <row r="7" spans="1:14" ht="20.100000000000001" customHeight="1">
      <c r="A7" s="1599" t="s">
        <v>671</v>
      </c>
      <c r="B7" s="1600"/>
      <c r="C7" s="961">
        <f>IF(初期登録!$B$10*12+初期登録!$D$10&lt;DI元データ!$A$413,"",DI元データ!$D$413)</f>
        <v>42.857142857142854</v>
      </c>
      <c r="D7" s="962">
        <f>IF(初期登録!$B$10*12+初期登録!$D$10&lt;DI元データ!$A$414,"",DI元データ!$D$414)</f>
        <v>57.142857142857146</v>
      </c>
      <c r="E7" s="962">
        <f>IF(初期登録!$B$10*12+初期登録!$D$10&lt;DI元データ!$A$415,"",DI元データ!$D$415)</f>
        <v>57.142857142857146</v>
      </c>
      <c r="F7" s="962">
        <f>IF(初期登録!$B$10*12+初期登録!$D$10&lt;DI元データ!$A$416,"",DI元データ!$D$416)</f>
        <v>28.571428571428573</v>
      </c>
      <c r="G7" s="962">
        <f>IF(初期登録!$B$10*12+初期登録!$D$10&lt;DI元データ!$A$417,"",DI元データ!$D$417)</f>
        <v>71.428571428571431</v>
      </c>
      <c r="H7" s="962">
        <f>IF(初期登録!$B$10*12+初期登録!$D$10&lt;DI元データ!$A$418,"",DI元データ!$D$418)</f>
        <v>57.142857142857146</v>
      </c>
      <c r="I7" s="962">
        <f>IF(初期登録!$B$10*12+初期登録!$D$10&lt;DI元データ!$A$419,"",DI元データ!$D$419)</f>
        <v>35.714285714285715</v>
      </c>
      <c r="J7" s="962">
        <f>IF(初期登録!$B$10*12+初期登録!$D$10&lt;DI元データ!$A$420,"",DI元データ!$D$420)</f>
        <v>57.142857142857146</v>
      </c>
      <c r="K7" s="962">
        <f>IF(初期登録!$B$10*12+初期登録!$D$10&lt;DI元データ!$A$421,"",DI元データ!$D$421)</f>
        <v>78.571428571428569</v>
      </c>
      <c r="L7" s="962">
        <f>IF(初期登録!$B$10*12+初期登録!$D$10&lt;DI元データ!$A$422,"",DI元データ!$D$422)</f>
        <v>42.857142857142854</v>
      </c>
      <c r="M7" s="962">
        <f>IF(初期登録!$B$10*12+初期登録!$D$10&lt;DI元データ!$A$423,"",DI元データ!$D$423)</f>
        <v>57.142857142857146</v>
      </c>
      <c r="N7" s="963">
        <f>IF(初期登録!$B$10*12+初期登録!$D$10&lt;DI元データ!$A$424,"",DI元データ!$D$424)</f>
        <v>57.142857142857146</v>
      </c>
    </row>
    <row r="8" spans="1:14" ht="20.100000000000001" customHeight="1">
      <c r="A8" s="1599" t="s">
        <v>672</v>
      </c>
      <c r="B8" s="1600"/>
      <c r="C8" s="968">
        <f>IF(初期登録!$B$10*12+初期登録!$D$10&lt;DI元データ!$A$425,"",DI元データ!$D$425)</f>
        <v>42.857142857142854</v>
      </c>
      <c r="D8" s="965">
        <f>IF(初期登録!$B$10*12+初期登録!$D$10&lt;DI元データ!$A$426,"",DI元データ!$D$426)</f>
        <v>35.714285714285715</v>
      </c>
      <c r="E8" s="965">
        <f>IF(初期登録!$B$10*12+初期登録!$D$10&lt;DI元データ!$A$427,"",DI元データ!$D$427)</f>
        <v>35.714285714285715</v>
      </c>
      <c r="F8" s="965">
        <f>IF(初期登録!$B$10*12+初期登録!$D$10&lt;DI元データ!$A$428,"",DI元データ!$D$428)</f>
        <v>21.428571428571427</v>
      </c>
      <c r="G8" s="965">
        <f>IF(初期登録!$B$10*12+初期登録!$D$10&lt;DI元データ!$A$429,"",DI元データ!$D$429)</f>
        <v>28.571428571428573</v>
      </c>
      <c r="H8" s="965">
        <f>IF(初期登録!$B$10*12+初期登録!$D$10&lt;DI元データ!$A$430,"",DI元データ!$D$430)</f>
        <v>28.571428571428573</v>
      </c>
      <c r="I8" s="965">
        <f>IF(初期登録!$B$10*12+初期登録!$D$10&lt;DI元データ!$A$431,"",DI元データ!$D$431)</f>
        <v>14.285714285714286</v>
      </c>
      <c r="J8" s="965">
        <f>IF(初期登録!$B$10*12+初期登録!$D$10&lt;DI元データ!$A$432,"",DI元データ!$D$432)</f>
        <v>28.571428571428573</v>
      </c>
      <c r="K8" s="965">
        <f>IF(初期登録!$B$10*12+初期登録!$D$10&lt;DI元データ!$A$433,"",DI元データ!$D$433)</f>
        <v>57.142857142857146</v>
      </c>
      <c r="L8" s="965">
        <f>IF(初期登録!$B$10*12+初期登録!$D$10&lt;DI元データ!$A$434,"",DI元データ!$D$434)</f>
        <v>64.285714285714292</v>
      </c>
      <c r="M8" s="965">
        <f>IF(初期登録!$B$10*12+初期登録!$D$10&lt;DI元データ!$A$435,"",DI元データ!$D$435)</f>
        <v>71.428571428571431</v>
      </c>
      <c r="N8" s="966">
        <f>IF(初期登録!$B$10*12+初期登録!$D$10&lt;DI元データ!$A$436,"",DI元データ!$D$436)</f>
        <v>85.714285714285708</v>
      </c>
    </row>
    <row r="9" spans="1:14" ht="20.100000000000001" customHeight="1">
      <c r="A9" s="1599" t="s">
        <v>673</v>
      </c>
      <c r="B9" s="1600"/>
      <c r="C9" s="968">
        <f>IF(初期登録!$B$10*12+初期登録!$D$10&lt;DI元データ!$A$437,"",DI元データ!$D$437)</f>
        <v>64.285714285714292</v>
      </c>
      <c r="D9" s="965">
        <f>IF(初期登録!$B$10*12+初期登録!$D$10&lt;DI元データ!$A$438,"",DI元データ!$D$438)</f>
        <v>50</v>
      </c>
      <c r="E9" s="965">
        <f>IF(初期登録!$B$10*12+初期登録!$D$10&lt;DI元データ!$A$439,"",DI元データ!$D$439)</f>
        <v>14.285714285714286</v>
      </c>
      <c r="F9" s="965">
        <f>IF(初期登録!$B$10*12+初期登録!$D$10&lt;DI元データ!$A$440,"",DI元データ!$D$440)</f>
        <v>28.571428571428573</v>
      </c>
      <c r="G9" s="965">
        <f>IF(初期登録!$B$10*12+初期登録!$D$10&lt;DI元データ!$A$441,"",DI元データ!$D$441)</f>
        <v>28.571428571428573</v>
      </c>
      <c r="H9" s="965">
        <f>IF(初期登録!$B$10*12+初期登録!$D$10&lt;DI元データ!$A$442,"",DI元データ!$D$442)</f>
        <v>42.857142857142854</v>
      </c>
      <c r="I9" s="965">
        <f>IF(初期登録!$B$10*12+初期登録!$D$10&lt;DI元データ!$A$443,"",DI元データ!$D$443)</f>
        <v>57.142857142857146</v>
      </c>
      <c r="J9" s="965">
        <f>IF(初期登録!$B$10*12+初期登録!$D$10&lt;DI元データ!$A$444,"",DI元データ!$D$444)</f>
        <v>42.857142857142854</v>
      </c>
      <c r="K9" s="965">
        <f>IF(初期登録!$B$10*12+初期登録!$D$10&lt;DI元データ!$A$445,"",DI元データ!$D$445)</f>
        <v>42.857142857142854</v>
      </c>
      <c r="L9" s="965">
        <f>IF(初期登録!$B$10*12+初期登録!$D$10&lt;DI元データ!$A$446,"",DI元データ!$D$446)</f>
        <v>14.285714285714286</v>
      </c>
      <c r="M9" s="965">
        <f>IF(初期登録!$B$10*12+初期登録!$D$10&lt;DI元データ!$A$447,"",DI元データ!$D$447)</f>
        <v>14.285714285714286</v>
      </c>
      <c r="N9" s="966">
        <f>IF(初期登録!$B$10*12+初期登録!$D$10&lt;DI元データ!$A$448,"",DI元データ!$D$448)</f>
        <v>28.571428571428573</v>
      </c>
    </row>
    <row r="10" spans="1:14" ht="20.100000000000001" customHeight="1">
      <c r="A10" s="1599" t="s">
        <v>674</v>
      </c>
      <c r="B10" s="1600"/>
      <c r="C10" s="964">
        <f>IF(初期登録!$B$10*12+初期登録!$D$10&lt;DI元データ!$A$449,"",DI元データ!$D$449)</f>
        <v>14.285714285714286</v>
      </c>
      <c r="D10" s="965">
        <f>IF(初期登録!$B$10*12+初期登録!$D$10&lt;DI元データ!$A$450,"",DI元データ!$D$450)</f>
        <v>35.714285714285715</v>
      </c>
      <c r="E10" s="965">
        <f>IF(初期登録!$B$10*12+初期登録!$D$10&lt;DI元データ!$A$451,"",DI元データ!$D$451)</f>
        <v>28.571428571428573</v>
      </c>
      <c r="F10" s="965">
        <f>IF(初期登録!$B$10*12+初期登録!$D$10&lt;DI元データ!$A$452,"",DI元データ!$D$452)</f>
        <v>42.857142857142854</v>
      </c>
      <c r="G10" s="965">
        <f>IF(初期登録!$B$10*12+初期登録!$D$10&lt;DI元データ!$A$453,"",DI元データ!$D$453)</f>
        <v>57.142857142857146</v>
      </c>
      <c r="H10" s="965">
        <f>IF(初期登録!$B$10*12+初期登録!$D$10&lt;DI元データ!$A$454,"",DI元データ!$D$454)</f>
        <v>28.571428571428573</v>
      </c>
      <c r="I10" s="965">
        <f>IF(初期登録!$B$10*12+初期登録!$D$10&lt;DI元データ!$A$455,"",DI元データ!$D$455)</f>
        <v>28.571428571428573</v>
      </c>
      <c r="J10" s="965">
        <f>IF(初期登録!$B$10*12+初期登録!$D$10&lt;DI元データ!$A$456,"",DI元データ!$D$456)</f>
        <v>57.142857142857146</v>
      </c>
      <c r="K10" s="965">
        <f>IF(初期登録!$B$10*12+初期登録!$D$10&lt;DI元データ!$A$457,"",DI元データ!$D$457)</f>
        <v>42.857142857142854</v>
      </c>
      <c r="L10" s="965">
        <f>IF(初期登録!$B$10*12+初期登録!$D$10&lt;DI元データ!$A$458,"",DI元データ!$D$458)</f>
        <v>28.571428571428573</v>
      </c>
      <c r="M10" s="965">
        <f>IF(初期登録!$B$10*12+初期登録!$D$10&lt;DI元データ!$A$459,"",DI元データ!$D$459)</f>
        <v>71.428571428571431</v>
      </c>
      <c r="N10" s="966">
        <f>IF(初期登録!$B$10*12+初期登録!$D$10&lt;DI元データ!$A$460,"",DI元データ!$D$460)</f>
        <v>71.428571428571431</v>
      </c>
    </row>
    <row r="11" spans="1:14" ht="20.100000000000001" customHeight="1">
      <c r="A11" s="1599" t="s">
        <v>675</v>
      </c>
      <c r="B11" s="1600"/>
      <c r="C11" s="961">
        <f>IF(初期登録!$B$10*12+初期登録!$D$10&lt;DI元データ!$A$461,"",DI元データ!$D$461)</f>
        <v>71.428571428571431</v>
      </c>
      <c r="D11" s="962">
        <f>IF(初期登録!$B$10*12+初期登録!$D$10&lt;DI元データ!$A$462,"",DI元データ!$D$462)</f>
        <v>57.142857142857146</v>
      </c>
      <c r="E11" s="962">
        <f>IF(初期登録!$B$10*12+初期登録!$D$10&lt;DI元データ!$A$463,"",DI元データ!$D$463)</f>
        <v>42.857142857142854</v>
      </c>
      <c r="F11" s="962">
        <f>IF(初期登録!$B$10*12+初期登録!$D$10&lt;DI元データ!$A$464,"",DI元データ!$D$464)</f>
        <v>64.285714285714292</v>
      </c>
      <c r="G11" s="962">
        <f>IF(初期登録!$B$10*12+初期登録!$D$10&lt;DI元データ!$A$465,"",DI元データ!$D$465)</f>
        <v>28.571428571428573</v>
      </c>
      <c r="H11" s="962">
        <f>IF(初期登録!$B$10*12+初期登録!$D$10&lt;DI元データ!$A$466,"",DI元データ!$D$466)</f>
        <v>50</v>
      </c>
      <c r="I11" s="962">
        <f>IF(初期登録!$B$10*12+初期登録!$D$10&lt;DI元データ!$A$467,"",DI元データ!$D$467)</f>
        <v>57.142857142857146</v>
      </c>
      <c r="J11" s="962">
        <f>IF(初期登録!$B$10*12+初期登録!$D$10&lt;DI元データ!$A$468,"",DI元データ!$D$468)</f>
        <v>42.857142857142854</v>
      </c>
      <c r="K11" s="962">
        <f>IF(初期登録!$B$10*12+初期登録!$D$10&lt;DI元データ!$A$469,"",DI元データ!$D$469)</f>
        <v>28.571428571428573</v>
      </c>
      <c r="L11" s="962">
        <f>IF(初期登録!$B$10*12+初期登録!$D$10&lt;DI元データ!$A$470,"",DI元データ!$D$470)</f>
        <v>14.285714285714286</v>
      </c>
      <c r="M11" s="962">
        <f>IF(初期登録!$B$10*12+初期登録!$D$10&lt;DI元データ!$A$471,"",DI元データ!$D$471)</f>
        <v>28.571428571428573</v>
      </c>
      <c r="N11" s="963">
        <f>IF(初期登録!$B$10*12+初期登録!$D$10&lt;DI元データ!$A$472,"",DI元データ!$D$472)</f>
        <v>28.571428571428573</v>
      </c>
    </row>
    <row r="12" spans="1:14" ht="20.100000000000001" customHeight="1">
      <c r="A12" s="1599" t="s">
        <v>676</v>
      </c>
      <c r="B12" s="1600"/>
      <c r="C12" s="961">
        <f>IF(初期登録!$B$10*12+初期登録!$D$10&lt;DI元データ!$A$473,"",DI元データ!$D$473)</f>
        <v>71.428571428571431</v>
      </c>
      <c r="D12" s="962">
        <f>IF(初期登録!$B$10*12+初期登録!$D$10&lt;DI元データ!$A$474,"",DI元データ!$D$474)</f>
        <v>71.428571428571431</v>
      </c>
      <c r="E12" s="962">
        <f>IF(初期登録!$B$10*12+初期登録!$D$10&lt;DI元データ!$A$475,"",DI元データ!$D$475)</f>
        <v>85.714285714285708</v>
      </c>
      <c r="F12" s="962">
        <f>IF(初期登録!$B$10*12+初期登録!$D$10&lt;DI元データ!$A$476,"",DI元データ!$D$476)</f>
        <v>78.571428571428569</v>
      </c>
      <c r="G12" s="962">
        <f>IF(初期登録!$B$10*12+初期登録!$D$10&lt;DI元データ!$A$477,"",DI元データ!$D$477)</f>
        <v>71.428571428571431</v>
      </c>
      <c r="H12" s="962">
        <f>IF(初期登録!$B$10*12+初期登録!$D$10&lt;DI元データ!$A$478,"",DI元データ!$D$478)</f>
        <v>64.285714285714292</v>
      </c>
      <c r="I12" s="962">
        <f>IF(初期登録!$B$10*12+初期登録!$D$10&lt;DI元データ!$A$479,"",DI元データ!$D$479)</f>
        <v>78.571428571428569</v>
      </c>
      <c r="J12" s="962">
        <f>IF(初期登録!$B$10*12+初期登録!$D$10&lt;DI元データ!$A$480,"",DI元データ!$D$480)</f>
        <v>57.142857142857146</v>
      </c>
      <c r="K12" s="962">
        <f>IF(初期登録!$B$10*12+初期登録!$D$10&lt;DI元データ!$A$481,"",DI元データ!$D$481)</f>
        <v>50</v>
      </c>
      <c r="L12" s="962">
        <f>IF(初期登録!$B$10*12+初期登録!$D$10&lt;DI元データ!$A$482,"",DI元データ!$D$482)</f>
        <v>57.142857142857146</v>
      </c>
      <c r="M12" s="962">
        <f>IF(初期登録!$B$10*12+初期登録!$D$10&lt;DI元データ!$A$483,"",DI元データ!$D$483)</f>
        <v>57.142857142857146</v>
      </c>
      <c r="N12" s="963">
        <f>IF(初期登録!$B$10*12+初期登録!$D$10&lt;DI元データ!$A$484,"",DI元データ!$D$484)</f>
        <v>42.857142857142854</v>
      </c>
    </row>
    <row r="13" spans="1:14" ht="20.100000000000001" customHeight="1">
      <c r="A13" s="1599" t="s">
        <v>678</v>
      </c>
      <c r="B13" s="1600"/>
      <c r="C13" s="961">
        <f>IF(初期登録!$B$10*12+初期登録!$D$10&lt;DI元データ!$A$485,"",DI元データ!$D$485)</f>
        <v>85.714285714285708</v>
      </c>
      <c r="D13" s="962">
        <f>IF(初期登録!$B$10*12+初期登録!$D$10&lt;DI元データ!$A$486,"",DI元データ!$D$486)</f>
        <v>57.142857142857146</v>
      </c>
      <c r="E13" s="962">
        <f>IF(初期登録!$B$10*12+初期登録!$D$10&lt;DI元データ!$A$487,"",DI元データ!$D$487)</f>
        <v>14.285714285714286</v>
      </c>
      <c r="F13" s="962">
        <f>IF(初期登録!$B$10*12+初期登録!$D$10&lt;DI元データ!$A$488,"",DI元データ!$D$488)</f>
        <v>28.571428571428573</v>
      </c>
      <c r="G13" s="962">
        <f>IF(初期登録!$B$10*12+初期登録!$D$10&lt;DI元データ!$A$489,"",DI元データ!$D$489)</f>
        <v>42.857142857142854</v>
      </c>
      <c r="H13" s="962">
        <f>IF(初期登録!$B$10*12+初期登録!$D$10&lt;DI元データ!$A$490,"",DI元データ!$D$490)</f>
        <v>50</v>
      </c>
      <c r="I13" s="962">
        <f>IF(初期登録!$B$10*12+初期登録!$D$10&lt;DI元データ!$A$491,"",DI元データ!$D$491)</f>
        <v>28.571428571428573</v>
      </c>
      <c r="J13" s="962">
        <f>IF(初期登録!$B$10*12+初期登録!$D$10&lt;DI元データ!$A$492,"",DI元データ!$D$492)</f>
        <v>28.571428571428573</v>
      </c>
      <c r="K13" s="962">
        <f>IF(初期登録!$B$10*12+初期登録!$D$10&lt;DI元データ!$A$493,"",DI元データ!$D$493)</f>
        <v>28.571428571428573</v>
      </c>
      <c r="L13" s="962">
        <f>IF(初期登録!$B$10*12+初期登録!$D$10&lt;DI元データ!$A$494,"",DI元データ!$D$494)</f>
        <v>21.428571428571427</v>
      </c>
      <c r="M13" s="962">
        <f>IF(初期登録!$B$10*12+初期登録!$D$10&lt;DI元データ!$A$495,"",DI元データ!$D$495)</f>
        <v>28.571428571428573</v>
      </c>
      <c r="N13" s="963">
        <f>IF(初期登録!$B$10*12+初期登録!$D$10&lt;DI元データ!$A$496,"",DI元データ!$D$496)</f>
        <v>14.285714285714286</v>
      </c>
    </row>
    <row r="14" spans="1:14" ht="20.100000000000001" customHeight="1">
      <c r="A14" s="1610" t="s">
        <v>677</v>
      </c>
      <c r="B14" s="1611"/>
      <c r="C14" s="961">
        <f>IF(初期登録!$B$10*12+初期登録!$D$10&lt;DI元データ!$A$497,"",DI元データ!$D$497)</f>
        <v>28.571428571428573</v>
      </c>
      <c r="D14" s="1001">
        <f>IF(初期登録!$B$10*12+初期登録!$D$10&lt;DI元データ!$A$498,"",DI元データ!$D$498)</f>
        <v>14.285714285714286</v>
      </c>
      <c r="E14" s="1001">
        <f>IF(初期登録!$B$10*12+初期登録!$D$10&lt;DI元データ!$A$499,"",DI元データ!$D$499)</f>
        <v>28.571428571428573</v>
      </c>
      <c r="F14" s="1001">
        <f>IF(初期登録!$B$10*12+初期登録!$D$10&lt;DI元データ!$A$500,"",DI元データ!$D$500)</f>
        <v>14.285714285714286</v>
      </c>
      <c r="G14" s="965">
        <f>IF(初期登録!$B$10*12+初期登録!$D$10&lt;DI元データ!$A$501,"",DI元データ!$D$501)</f>
        <v>14.285714285714286</v>
      </c>
      <c r="H14" s="1001">
        <f>IF(初期登録!$B$10*12+初期登録!$D$10&lt;DI元データ!$A$502,"",DI元データ!$D$502)</f>
        <v>14.285714285714286</v>
      </c>
      <c r="I14" s="1001">
        <f>IF(初期登録!$B$10*12+初期登録!$D$10&lt;DI元データ!$A$503,"",DI元データ!$D$503)</f>
        <v>14.285714285714286</v>
      </c>
      <c r="J14" s="1001">
        <f>IF(初期登録!$B$10*12+初期登録!$D$10&lt;DI元データ!$A$504,"",DI元データ!$D$504)</f>
        <v>42.857142857142854</v>
      </c>
      <c r="K14" s="1001">
        <f>IF(初期登録!$B$10*12+初期登録!$D$10&lt;DI元データ!$A$505,"",DI元データ!$D$505)</f>
        <v>71.428571428571431</v>
      </c>
      <c r="L14" s="1001">
        <f>IF(初期登録!$B$10*12+初期登録!$D$10&lt;DI元データ!$A$506,"",DI元データ!$D$506)</f>
        <v>71.428571428571431</v>
      </c>
      <c r="M14" s="1001">
        <f>IF(初期登録!$B$10*12+初期登録!$D$10&lt;DI元データ!$A$507,"",DI元データ!$D$507)</f>
        <v>85.714285714285708</v>
      </c>
      <c r="N14" s="966">
        <f>IF(初期登録!$B$10*12+初期登録!$D$10&lt;DI元データ!$A$508,"",DI元データ!$D$508)</f>
        <v>71.428571428571431</v>
      </c>
    </row>
    <row r="15" spans="1:14" ht="20.100000000000001" customHeight="1">
      <c r="A15" s="1599" t="s">
        <v>684</v>
      </c>
      <c r="B15" s="1600"/>
      <c r="C15" s="964">
        <f>IF(初期登録!$B$10*12+初期登録!$D$10&lt;DI元データ!$A$509,"",DI元データ!$D$509)</f>
        <v>57.142857142857146</v>
      </c>
      <c r="D15" s="965">
        <f>IF(初期登録!$B$10*12+初期登録!$D$10&lt;DI元データ!$A$510,"",DI元データ!$D$510)</f>
        <v>28.571428571428573</v>
      </c>
      <c r="E15" s="965">
        <f>IF(初期登録!$B$10*12+初期登録!$D$10&lt;DI元データ!$A$511,"",DI元データ!$D$511)</f>
        <v>42.857142857142854</v>
      </c>
      <c r="F15" s="965">
        <f>IF(初期登録!$B$10*12+初期登録!$D$10&lt;DI元データ!$A$512,"",DI元データ!$D$512)</f>
        <v>71.428571428571431</v>
      </c>
      <c r="G15" s="965">
        <f>IF(初期登録!$B$10*12+初期登録!$D$10&lt;DI元データ!$A$513,"",DI元データ!$D$513)</f>
        <v>57.142857142857146</v>
      </c>
      <c r="H15" s="965">
        <f>IF(初期登録!$B$10*12+初期登録!$D$10&lt;DI元データ!$A$514,"",DI元データ!$D$514)</f>
        <v>42.857142857142854</v>
      </c>
      <c r="I15" s="965">
        <f>IF(初期登録!$B$10*12+初期登録!$D$10&lt;DI元データ!$A$515,"",DI元データ!$D$515)</f>
        <v>64.285714285714292</v>
      </c>
      <c r="J15" s="965">
        <f>IF(初期登録!$B$10*12+初期登録!$D$10&lt;DI元データ!$A$516,"",DI元データ!$D$516)</f>
        <v>71.428571428571431</v>
      </c>
      <c r="K15" s="965">
        <f>IF(初期登録!$B$10*12+初期登録!$D$10&lt;DI元データ!$A$517,"",DI元データ!$D$517)</f>
        <v>42.857142857142854</v>
      </c>
      <c r="L15" s="965">
        <f>IF(初期登録!$B$10*12+初期登録!$D$10&lt;DI元データ!$A$518,"",DI元データ!$D$518)</f>
        <v>35.714285714285715</v>
      </c>
      <c r="M15" s="965">
        <f>IF(初期登録!$B$10*12+初期登録!$D$10&lt;DI元データ!$A$519,"",DI元データ!$D$519)</f>
        <v>42.857142857142854</v>
      </c>
      <c r="N15" s="966">
        <f>IF(初期登録!$B$10*12+初期登録!$D$10&lt;DI元データ!$A$520,"",DI元データ!$D$520)</f>
        <v>42.857142857142854</v>
      </c>
    </row>
    <row r="16" spans="1:14" ht="20.100000000000001" customHeight="1">
      <c r="A16" s="1603" t="s">
        <v>687</v>
      </c>
      <c r="B16" s="1604"/>
      <c r="C16" s="964">
        <f>IF(初期登録!$B$10*12+初期登録!$D$10&lt;DI元データ!$A$521,"",DI元データ!$D$521)</f>
        <v>35.714285714285715</v>
      </c>
      <c r="D16" s="965">
        <f>IF(初期登録!$B$10*12+初期登録!$D$10&lt;DI元データ!$A$522,"",DI元データ!$D$522)</f>
        <v>42.857142857142854</v>
      </c>
      <c r="E16" s="965">
        <f>IF(初期登録!$B$10*12+初期登録!$D$10&lt;DI元データ!$A$523,"",DI元データ!$D$523)</f>
        <v>28.571428571428573</v>
      </c>
      <c r="F16" s="965">
        <f>IF(初期登録!$B$10*12+初期登録!$D$10&lt;DI元データ!$A$524,"",DI元データ!$D$524)</f>
        <v>42.857142857142854</v>
      </c>
      <c r="G16" s="965">
        <f>IF(初期登録!$B$10*12+初期登録!$D$10&lt;DI元データ!$A$525,"",DI元データ!$D$525)</f>
        <v>42.857142857142854</v>
      </c>
      <c r="H16" s="965">
        <f>IF(初期登録!$B$10*12+初期登録!$D$10&lt;DI元データ!$A$526,"",DI元データ!$D$526)</f>
        <v>64.285714285714292</v>
      </c>
      <c r="I16" s="965">
        <f>IF(初期登録!$B$10*12+初期登録!$D$10&lt;DI元データ!$A$527,"",DI元データ!$D$527)</f>
        <v>85.714285714285708</v>
      </c>
      <c r="J16" s="965">
        <f>IF(初期登録!$B$10*12+初期登録!$D$10&lt;DI元データ!$A$528,"",DI元データ!$D$528)</f>
        <v>57.142857142857146</v>
      </c>
      <c r="K16" s="965">
        <f>IF(初期登録!$B$10*12+初期登録!$D$10&lt;DI元データ!$A$529,"",DI元データ!$D$529)</f>
        <v>42.857142857142854</v>
      </c>
      <c r="L16" s="965">
        <f>IF(初期登録!$B$10*12+初期登録!$D$10&lt;DI元データ!$A$530,"",DI元データ!$D$530)</f>
        <v>71.428571428571431</v>
      </c>
      <c r="M16" s="965">
        <f>IF(初期登録!$B$10*12+初期登録!$D$10&lt;DI元データ!$A$531,"",DI元データ!$D$531)</f>
        <v>50</v>
      </c>
      <c r="N16" s="966">
        <f>IF(初期登録!$B$10*12+初期登録!$D$10&lt;DI元データ!$A$532,"",DI元データ!$D$532)</f>
        <v>50</v>
      </c>
    </row>
    <row r="17" spans="1:16" ht="20.100000000000001" customHeight="1">
      <c r="A17" s="1603" t="s">
        <v>696</v>
      </c>
      <c r="B17" s="1604"/>
      <c r="C17" s="964">
        <f>IF(初期登録!$B$10*12+初期登録!$D$10&lt;DI元データ!$A533,"",DI元データ!$D533)</f>
        <v>42.857142857142854</v>
      </c>
      <c r="D17" s="965">
        <f>IF(初期登録!$B$10*12+初期登録!$D$10&lt;DI元データ!$A$534,"",DI元データ!$D$534)</f>
        <v>57.142857142857146</v>
      </c>
      <c r="E17" s="965">
        <f>IF(初期登録!$B$10*12+初期登録!$D$10&lt;DI元データ!$A535,"",DI元データ!$D535)</f>
        <v>28.571428571428573</v>
      </c>
      <c r="F17" s="965">
        <f>IF(初期登録!$B$10*12+初期登録!$D$10&lt;DI元データ!$A$536,"",DI元データ!$D$536)</f>
        <v>57.142857142857146</v>
      </c>
      <c r="G17" s="965">
        <f>IF(初期登録!$B$10*12+初期登録!$D$10&lt;DI元データ!$A$537,"",DI元データ!$D$537)</f>
        <v>28.571428571428573</v>
      </c>
      <c r="H17" s="965">
        <f>IF(初期登録!$B$10*12+初期登録!$D$10&lt;DI元データ!$A$538,"",DI元データ!$D$538)</f>
        <v>42.857142857142854</v>
      </c>
      <c r="I17" s="965">
        <f>IF(初期登録!$B$10*12+初期登録!$D$10&lt;DI元データ!$A$539,"",DI元データ!$D$539)</f>
        <v>28.571428571428573</v>
      </c>
      <c r="J17" s="965">
        <f>IF(初期登録!$B$10*12+初期登録!$D$10&lt;DI元データ!$A$540,"",DI元データ!$D$540)</f>
        <v>57.142857142857146</v>
      </c>
      <c r="K17" s="965">
        <f>IF(初期登録!$B$10*12+初期登録!$D$10&lt;DI元データ!$A$541,"",DI元データ!$D$541)</f>
        <v>57.142857142857146</v>
      </c>
      <c r="L17" s="965">
        <f>IF(初期登録!$B$10*12+初期登録!$D$10&lt;DI元データ!$A$542,"",DI元データ!$D$542)</f>
        <v>21.428571428571427</v>
      </c>
      <c r="M17" s="965">
        <f>IF(初期登録!$B$10*12+初期登録!$D$10&lt;DI元データ!$A$543,"",DI元データ!$D$543)</f>
        <v>28.571428571428573</v>
      </c>
      <c r="N17" s="966">
        <f>IF(初期登録!$B$10*12+初期登録!$D$10&lt;DI元データ!$A$544,"",DI元データ!$D$544)</f>
        <v>64.285714285714292</v>
      </c>
    </row>
    <row r="18" spans="1:16" ht="20.100000000000001" customHeight="1">
      <c r="A18" s="1080" t="s">
        <v>699</v>
      </c>
      <c r="B18" s="1081"/>
      <c r="C18" s="964">
        <f>IF(初期登録!$B$10*12+初期登録!$D$10&lt;DI元データ!$A545,"",DI元データ!$D545)</f>
        <v>28.571428571428573</v>
      </c>
      <c r="D18" s="965">
        <f>IF(初期登録!$B$10*12+初期登録!$D$10&lt;DI元データ!$A546,"",DI元データ!$D546)</f>
        <v>0</v>
      </c>
      <c r="E18" s="965">
        <f>IF(初期登録!$B$10*12+初期登録!$D$10&lt;DI元データ!$A547,"",DI元データ!$D547)</f>
        <v>57.142857142857146</v>
      </c>
      <c r="F18" s="965">
        <f>IF(初期登録!$B$10*12+初期登録!$D$10&lt;DI元データ!$A548,"",DI元データ!$D548)</f>
        <v>42.857142857142854</v>
      </c>
      <c r="G18" s="965">
        <f>IF(初期登録!$B$10*12+初期登録!$D$10&lt;DI元データ!$A549,"",DI元データ!$D549)</f>
        <v>28.571428571428573</v>
      </c>
      <c r="H18" s="965">
        <f>IF(初期登録!$B$10*12+初期登録!$D$10&lt;DI元データ!$A550,"",DI元データ!$D550)</f>
        <v>42.857142857142854</v>
      </c>
      <c r="I18" s="965">
        <f>IF(初期登録!$B$10*12+初期登録!$D$10&lt;DI元データ!$A551,"",DI元データ!$D551)</f>
        <v>64.285714285714292</v>
      </c>
      <c r="J18" s="965">
        <f>IF(初期登録!$B$10*12+初期登録!$D$10&lt;DI元データ!$A552,"",DI元データ!$D552)</f>
        <v>42.857142857142854</v>
      </c>
      <c r="K18" s="965">
        <f>IF(初期登録!$B$10*12+初期登録!$D$10&lt;DI元データ!$A553,"",DI元データ!$D553)</f>
        <v>57.142857142857146</v>
      </c>
      <c r="L18" s="965">
        <f>IF(初期登録!$B$10*12+初期登録!$D$10&lt;DI元データ!$A554,"",DI元データ!$D554)</f>
        <v>71.428571428571431</v>
      </c>
      <c r="M18" s="965">
        <f>IF(初期登録!$B$10*12+初期登録!$D$10&lt;DI元データ!$A555,"",DI元データ!$D555)</f>
        <v>42.857142857142854</v>
      </c>
      <c r="N18" s="966">
        <f>IF(初期登録!$B$10*12+初期登録!$D$10&lt;DI元データ!$A556,"",DI元データ!$D556)</f>
        <v>57.142857142857146</v>
      </c>
    </row>
    <row r="19" spans="1:16" ht="20.100000000000001" customHeight="1">
      <c r="A19" s="1080" t="s">
        <v>819</v>
      </c>
      <c r="B19" s="1081"/>
      <c r="C19" s="964">
        <f>IF(初期登録!$B$10*12+初期登録!$D$10&lt;DI元データ!$A557,"",DI元データ!$D557)</f>
        <v>57.142857142857146</v>
      </c>
      <c r="D19" s="965">
        <f>IF(初期登録!$B$10*12+初期登録!$D$10&lt;DI元データ!$A558,"",DI元データ!$D558)</f>
        <v>71.428571428571431</v>
      </c>
      <c r="E19" s="965">
        <f>IF(初期登録!$B$10*12+初期登録!$D$10&lt;DI元データ!$A559,"",DI元データ!$D559)</f>
        <v>50</v>
      </c>
      <c r="F19" s="965">
        <f>IF(初期登録!$B$10*12+初期登録!$D$10&lt;DI元データ!$A560,"",DI元データ!$D560)</f>
        <v>100</v>
      </c>
      <c r="G19" s="965">
        <f>IF(初期登録!$B$10*12+初期登録!$D$10&lt;DI元データ!$A561,"",DI元データ!$D561)</f>
        <v>71.428571428571431</v>
      </c>
      <c r="H19" s="965">
        <f>IF(初期登録!$B$10*12+初期登録!$D$10&lt;DI元データ!$A562,"",DI元データ!$D562)</f>
        <v>57.142857142857146</v>
      </c>
      <c r="I19" s="965">
        <f>IF(初期登録!$B$10*12+初期登録!$D$10&lt;DI元データ!$A563,"",DI元データ!$D563)</f>
        <v>71.428571428571431</v>
      </c>
      <c r="J19" s="965">
        <f>IF(初期登録!$B$10*12+初期登録!$D$10&lt;DI元データ!$A564,"",DI元データ!$D564)</f>
        <v>42.857142857142854</v>
      </c>
      <c r="K19" s="965">
        <f>IF(初期登録!$B$10*12+初期登録!$D$10&lt;DI元データ!$A565,"",DI元データ!$D565)</f>
        <v>28.571428571428573</v>
      </c>
      <c r="L19" s="965">
        <f>IF(初期登録!$B$10*12+初期登録!$D$10&lt;DI元データ!$A566,"",DI元データ!$D566)</f>
        <v>57.142857142857146</v>
      </c>
      <c r="M19" s="965">
        <f>IF(初期登録!$B$10*12+初期登録!$D$10&lt;DI元データ!$A567,"",DI元データ!$D567)</f>
        <v>42.857142857142854</v>
      </c>
      <c r="N19" s="966">
        <f>IF(初期登録!$B$10*12+初期登録!$D$10&lt;DI元データ!$A568,"",DI元データ!$D568)</f>
        <v>42.857142857142854</v>
      </c>
    </row>
    <row r="20" spans="1:16" ht="20.100000000000001" customHeight="1">
      <c r="A20" s="1077" t="s">
        <v>822</v>
      </c>
      <c r="B20" s="1078"/>
      <c r="C20" s="1061">
        <f>IF(初期登録!$B$10*12+初期登録!$D$10&lt;DI元データ!$A569,"",DI元データ!$D569)</f>
        <v>64.285714285714292</v>
      </c>
      <c r="D20" s="967">
        <f>IF(初期登録!$B$10*12+初期登録!$D$10&lt;DI元データ!$A570,"",DI元データ!$D570)</f>
        <v>42.857142857142854</v>
      </c>
      <c r="E20" s="967">
        <f>IF(初期登録!$B$10*12+初期登録!$D$10&lt;DI元データ!$A571,"",DI元データ!$D571)</f>
        <v>71.428571428571431</v>
      </c>
      <c r="F20" s="967"/>
      <c r="G20" s="967"/>
      <c r="H20" s="967"/>
      <c r="I20" s="967"/>
      <c r="J20" s="967"/>
      <c r="K20" s="967"/>
      <c r="L20" s="967"/>
      <c r="M20" s="967"/>
      <c r="N20" s="1079"/>
    </row>
    <row r="21" spans="1:16" s="270" customFormat="1">
      <c r="C21" s="1086"/>
      <c r="D21" s="1086"/>
      <c r="E21" s="1086"/>
      <c r="F21" s="1086"/>
      <c r="G21" s="1086"/>
      <c r="H21" s="1086"/>
      <c r="I21" s="1086"/>
      <c r="J21" s="1086"/>
      <c r="K21" s="1086"/>
      <c r="L21" s="1086"/>
      <c r="M21" s="1086"/>
      <c r="N21" s="1086"/>
      <c r="P21"/>
    </row>
    <row r="22" spans="1:16" s="270" customFormat="1" ht="17.25">
      <c r="A22" s="1598" t="s">
        <v>548</v>
      </c>
      <c r="B22" s="1598"/>
      <c r="C22" s="1598"/>
      <c r="D22" s="1598"/>
      <c r="E22" s="269"/>
      <c r="F22" s="269"/>
      <c r="G22" s="269"/>
      <c r="H22" s="269"/>
      <c r="I22" s="269"/>
      <c r="J22" s="269"/>
      <c r="K22" s="269"/>
      <c r="L22" s="269"/>
      <c r="M22" s="269"/>
      <c r="N22" s="269"/>
      <c r="P22"/>
    </row>
    <row r="23" spans="1:16" s="270" customFormat="1" ht="20.100000000000001" customHeight="1">
      <c r="A23" s="618"/>
      <c r="B23" s="619" t="s">
        <v>189</v>
      </c>
      <c r="C23" s="1605" t="s">
        <v>256</v>
      </c>
      <c r="D23" s="1596" t="s">
        <v>257</v>
      </c>
      <c r="E23" s="1596" t="s">
        <v>258</v>
      </c>
      <c r="F23" s="1596" t="s">
        <v>280</v>
      </c>
      <c r="G23" s="1596" t="s">
        <v>293</v>
      </c>
      <c r="H23" s="1596" t="s">
        <v>294</v>
      </c>
      <c r="I23" s="1596" t="s">
        <v>295</v>
      </c>
      <c r="J23" s="1596" t="s">
        <v>296</v>
      </c>
      <c r="K23" s="1596" t="s">
        <v>297</v>
      </c>
      <c r="L23" s="1596" t="s">
        <v>298</v>
      </c>
      <c r="M23" s="1596" t="s">
        <v>137</v>
      </c>
      <c r="N23" s="1614" t="s">
        <v>138</v>
      </c>
      <c r="P23"/>
    </row>
    <row r="24" spans="1:16" ht="20.100000000000001" customHeight="1">
      <c r="A24" s="620" t="s">
        <v>190</v>
      </c>
      <c r="B24" s="621"/>
      <c r="C24" s="1606"/>
      <c r="D24" s="1597"/>
      <c r="E24" s="1597"/>
      <c r="F24" s="1597"/>
      <c r="G24" s="1597"/>
      <c r="H24" s="1597"/>
      <c r="I24" s="1597"/>
      <c r="J24" s="1597"/>
      <c r="K24" s="1597"/>
      <c r="L24" s="1597"/>
      <c r="M24" s="1597"/>
      <c r="N24" s="1615"/>
    </row>
    <row r="25" spans="1:16" ht="20.100000000000001" customHeight="1">
      <c r="A25" s="1251" t="s">
        <v>670</v>
      </c>
      <c r="B25" s="1252"/>
      <c r="C25" s="961">
        <f>IF(初期登録!$B$10*12+初期登録!$D$10&lt;DI元データ!$A$401,"",DI元データ!$E$401)</f>
        <v>87.5</v>
      </c>
      <c r="D25" s="962">
        <f>IF(初期登録!$B$10*12+初期登録!$D$10&lt;DI元データ!$A$402,"",DI元データ!$E$402)</f>
        <v>75</v>
      </c>
      <c r="E25" s="962">
        <f>IF(初期登録!$B$10*12+初期登録!$D$10&lt;DI元データ!$A$403,"",DI元データ!$E$403)</f>
        <v>75</v>
      </c>
      <c r="F25" s="962">
        <f>IF(初期登録!$B$10*12+初期登録!$D$10&lt;DI元データ!$A$404,"",DI元データ!$E$404)</f>
        <v>75</v>
      </c>
      <c r="G25" s="962">
        <f>IF(初期登録!$B$10*12+初期登録!$D$10&lt;DI元データ!$A$405,"",DI元データ!$E$405)</f>
        <v>75</v>
      </c>
      <c r="H25" s="962">
        <f>IF(初期登録!$B$10*12+初期登録!$D$10&lt;DI元データ!$A$406,"",DI元データ!$E$406)</f>
        <v>37.5</v>
      </c>
      <c r="I25" s="962">
        <f>IF(初期登録!$B$10*12+初期登録!$D$10&lt;DI元データ!$A$407,"",DI元データ!$E$407)</f>
        <v>62.5</v>
      </c>
      <c r="J25" s="962">
        <f>IF(初期登録!$B$10*12+初期登録!$D$10&lt;DI元データ!$A$408,"",DI元データ!$E$408)</f>
        <v>25</v>
      </c>
      <c r="K25" s="962">
        <f>IF(初期登録!$B$10*12+初期登録!$D$10&lt;DI元データ!$A$409,"",DI元データ!$E$409)</f>
        <v>37.5</v>
      </c>
      <c r="L25" s="962">
        <f>IF(初期登録!$B$10*12+初期登録!$D$10&lt;DI元データ!$A$410,"",DI元データ!$E$410)</f>
        <v>12.5</v>
      </c>
      <c r="M25" s="962">
        <f>IF(初期登録!$B$10*12+初期登録!$D$10&lt;DI元データ!$A$411,"",DI元データ!$E$411)</f>
        <v>12.5</v>
      </c>
      <c r="N25" s="963">
        <f>IF(初期登録!$B$10*12+初期登録!$D$10&lt;DI元データ!$A$412,"",DI元データ!$E$412)</f>
        <v>37.5</v>
      </c>
    </row>
    <row r="26" spans="1:16" ht="20.100000000000001" customHeight="1">
      <c r="A26" s="1251" t="s">
        <v>671</v>
      </c>
      <c r="B26" s="1252"/>
      <c r="C26" s="961">
        <f>IF(初期登録!$B$10*12+初期登録!$D$10&lt;DI元データ!$A$413,"",DI元データ!$E$413)</f>
        <v>50</v>
      </c>
      <c r="D26" s="962">
        <f>IF(初期登録!$B$10*12+初期登録!$D$10&lt;DI元データ!$A$414,"",DI元データ!$E$414)</f>
        <v>50</v>
      </c>
      <c r="E26" s="962">
        <f>IF(初期登録!$B$10*12+初期登録!$D$10&lt;DI元データ!$A$415,"",DI元データ!$E$415)</f>
        <v>62.5</v>
      </c>
      <c r="F26" s="962">
        <f>IF(初期登録!$B$10*12+初期登録!$D$10&lt;DI元データ!$A$416,"",DI元データ!$E$416)</f>
        <v>62.5</v>
      </c>
      <c r="G26" s="962">
        <f>IF(初期登録!$B$10*12+初期登録!$D$10&lt;DI元データ!$A$417,"",DI元データ!$E$417)</f>
        <v>50</v>
      </c>
      <c r="H26" s="962">
        <f>IF(初期登録!$B$10*12+初期登録!$D$10&lt;DI元データ!$A$418,"",DI元データ!$E$418)</f>
        <v>62.5</v>
      </c>
      <c r="I26" s="962">
        <f>IF(初期登録!$B$10*12+初期登録!$D$10&lt;DI元データ!$A$419,"",DI元データ!$E$419)</f>
        <v>75</v>
      </c>
      <c r="J26" s="962">
        <f>IF(初期登録!$B$10*12+初期登録!$D$10&lt;DI元データ!$A$420,"",DI元データ!$E$420)</f>
        <v>50</v>
      </c>
      <c r="K26" s="962">
        <f>IF(初期登録!$B$10*12+初期登録!$D$10&lt;DI元データ!$A$421,"",DI元データ!$E$421)</f>
        <v>100</v>
      </c>
      <c r="L26" s="962">
        <f>IF(初期登録!$B$10*12+初期登録!$D$10&lt;DI元データ!$A$422,"",DI元データ!$E$422)</f>
        <v>75</v>
      </c>
      <c r="M26" s="962">
        <f>IF(初期登録!$B$10*12+初期登録!$D$10&lt;DI元データ!$A$423,"",DI元データ!$E$423)</f>
        <v>62.5</v>
      </c>
      <c r="N26" s="963">
        <f>IF(初期登録!$B$10*12+初期登録!$D$10&lt;DI元データ!$A$424,"",DI元データ!$E$424)</f>
        <v>62.5</v>
      </c>
    </row>
    <row r="27" spans="1:16" ht="20.100000000000001" customHeight="1">
      <c r="A27" s="1251" t="s">
        <v>672</v>
      </c>
      <c r="B27" s="1252"/>
      <c r="C27" s="968">
        <f>IF(初期登録!$B$10*12+初期登録!$D$10&lt;DI元データ!$A$425,"",DI元データ!$E$425)</f>
        <v>62.5</v>
      </c>
      <c r="D27" s="965">
        <f>IF(初期登録!$B$10*12+初期登録!$D$10&lt;DI元データ!$A$426,"",DI元データ!$E$426)</f>
        <v>75</v>
      </c>
      <c r="E27" s="965">
        <f>IF(初期登録!$B$10*12+初期登録!$D$10&lt;DI元データ!$A$427,"",DI元データ!$E$427)</f>
        <v>50</v>
      </c>
      <c r="F27" s="965">
        <f>IF(初期登録!$B$10*12+初期登録!$D$10&lt;DI元データ!$A$428,"",DI元データ!$E$428)</f>
        <v>37.5</v>
      </c>
      <c r="G27" s="965">
        <f>IF(初期登録!$B$10*12+初期登録!$D$10&lt;DI元データ!$A$429,"",DI元データ!$E$429)</f>
        <v>43.75</v>
      </c>
      <c r="H27" s="965">
        <f>IF(初期登録!$B$10*12+初期登録!$D$10&lt;DI元データ!$A$430,"",DI元データ!$E$430)</f>
        <v>75</v>
      </c>
      <c r="I27" s="965">
        <f>IF(初期登録!$B$10*12+初期登録!$D$10&lt;DI元データ!$A$431,"",DI元データ!$E$431)</f>
        <v>37.5</v>
      </c>
      <c r="J27" s="965">
        <f>IF(初期登録!$B$10*12+初期登録!$D$10&lt;DI元データ!$A$432,"",DI元データ!$E$432)</f>
        <v>12.5</v>
      </c>
      <c r="K27" s="965">
        <f>IF(初期登録!$B$10*12+初期登録!$D$10&lt;DI元データ!$A$433,"",DI元データ!$E$433)</f>
        <v>87.5</v>
      </c>
      <c r="L27" s="965">
        <f>IF(初期登録!$B$10*12+初期登録!$D$10&lt;DI元データ!$A$434,"",DI元データ!$E$434)</f>
        <v>62.5</v>
      </c>
      <c r="M27" s="965">
        <f>IF(初期登録!$B$10*12+初期登録!$D$10&lt;DI元データ!$A$435,"",DI元データ!$E$435)</f>
        <v>50</v>
      </c>
      <c r="N27" s="966">
        <f>IF(初期登録!$B$10*12+初期登録!$D$10&lt;DI元データ!$A$436,"",DI元データ!$E$436)</f>
        <v>37.5</v>
      </c>
    </row>
    <row r="28" spans="1:16" ht="20.100000000000001" customHeight="1">
      <c r="A28" s="1251" t="s">
        <v>673</v>
      </c>
      <c r="B28" s="1252"/>
      <c r="C28" s="968">
        <f>IF(初期登録!$B$10*12+初期登録!$D$10&lt;DI元データ!$A$437,"",DI元データ!$E$437)</f>
        <v>100</v>
      </c>
      <c r="D28" s="965">
        <f>IF(初期登録!$B$10*12+初期登録!$D$10&lt;DI元データ!$A$438,"",DI元データ!$E$438)</f>
        <v>50</v>
      </c>
      <c r="E28" s="965">
        <f>IF(初期登録!$B$10*12+初期登録!$D$10&lt;DI元データ!$A$439,"",DI元データ!$E$439)</f>
        <v>62.5</v>
      </c>
      <c r="F28" s="965">
        <f>IF(初期登録!$B$10*12+初期登録!$D$10&lt;DI元データ!$A$440,"",DI元データ!$E$440)</f>
        <v>50</v>
      </c>
      <c r="G28" s="965">
        <f>IF(初期登録!$B$10*12+初期登録!$D$10&lt;DI元データ!$A$441,"",DI元データ!$E$441)</f>
        <v>75</v>
      </c>
      <c r="H28" s="965">
        <f>IF(初期登録!$B$10*12+初期登録!$D$10&lt;DI元データ!$A$442,"",DI元データ!$E$442)</f>
        <v>12.5</v>
      </c>
      <c r="I28" s="965">
        <f>IF(初期登録!$B$10*12+初期登録!$D$10&lt;DI元データ!$A$443,"",DI元データ!$E$443)</f>
        <v>50</v>
      </c>
      <c r="J28" s="965">
        <f>IF(初期登録!$B$10*12+初期登録!$D$10&lt;DI元データ!$A$444,"",DI元データ!$E$444)</f>
        <v>50</v>
      </c>
      <c r="K28" s="965">
        <f>IF(初期登録!$B$10*12+初期登録!$D$10&lt;DI元データ!$A$445,"",DI元データ!$E$445)</f>
        <v>25</v>
      </c>
      <c r="L28" s="965">
        <f>IF(初期登録!$B$10*12+初期登録!$D$10&lt;DI元データ!$A$446,"",DI元データ!$E$446)</f>
        <v>25</v>
      </c>
      <c r="M28" s="965">
        <f>IF(初期登録!$B$10*12+初期登録!$D$10&lt;DI元データ!$A$447,"",DI元データ!$E$447)</f>
        <v>37.5</v>
      </c>
      <c r="N28" s="966">
        <f>IF(初期登録!$B$10*12+初期登録!$D$10&lt;DI元データ!$A$448,"",DI元データ!$E$448)</f>
        <v>25</v>
      </c>
    </row>
    <row r="29" spans="1:16" ht="20.100000000000001" customHeight="1">
      <c r="A29" s="1251" t="s">
        <v>674</v>
      </c>
      <c r="B29" s="1252"/>
      <c r="C29" s="964">
        <f>IF(初期登録!$B$10*12+初期登録!$D$10&lt;DI元データ!$A$449,"",DI元データ!$E$449)</f>
        <v>25</v>
      </c>
      <c r="D29" s="965">
        <f>IF(初期登録!$B$10*12+初期登録!$D$10&lt;DI元データ!$A$450,"",DI元データ!$E$450)</f>
        <v>50</v>
      </c>
      <c r="E29" s="965">
        <f>IF(初期登録!$B$10*12+初期登録!$D$10&lt;DI元データ!$A$451,"",DI元データ!$E$451)</f>
        <v>50</v>
      </c>
      <c r="F29" s="965">
        <f>IF(初期登録!$B$10*12+初期登録!$D$10&lt;DI元データ!$A$452,"",DI元データ!$E$452)</f>
        <v>62.5</v>
      </c>
      <c r="G29" s="965">
        <f>IF(初期登録!$B$10*12+初期登録!$D$10&lt;DI元データ!$A$453,"",DI元データ!$E$453)</f>
        <v>31.25</v>
      </c>
      <c r="H29" s="965">
        <f>IF(初期登録!$B$10*12+初期登録!$D$10&lt;DI元データ!$A$454,"",DI元データ!$E$454)</f>
        <v>25</v>
      </c>
      <c r="I29" s="965">
        <f>IF(初期登録!$B$10*12+初期登録!$D$10&lt;DI元データ!$A$455,"",DI元データ!$E$455)</f>
        <v>37.5</v>
      </c>
      <c r="J29" s="965">
        <f>IF(初期登録!$B$10*12+初期登録!$D$10&lt;DI元データ!$A$456,"",DI元データ!$E$456)</f>
        <v>25</v>
      </c>
      <c r="K29" s="965">
        <f>IF(初期登録!$B$10*12+初期登録!$D$10&lt;DI元データ!$A$457,"",DI元データ!$E$457)</f>
        <v>87.5</v>
      </c>
      <c r="L29" s="965">
        <f>IF(初期登録!$B$10*12+初期登録!$D$10&lt;DI元データ!$A$458,"",DI元データ!$E$458)</f>
        <v>87.5</v>
      </c>
      <c r="M29" s="965">
        <f>IF(初期登録!$B$10*12+初期登録!$D$10&lt;DI元データ!$A$459,"",DI元データ!$E$459)</f>
        <v>87.5</v>
      </c>
      <c r="N29" s="966">
        <f>IF(初期登録!$B$10*12+初期登録!$D$10&lt;DI元データ!$A$460,"",DI元データ!$E$460)</f>
        <v>100</v>
      </c>
    </row>
    <row r="30" spans="1:16" ht="20.100000000000001" customHeight="1">
      <c r="A30" s="1251" t="s">
        <v>675</v>
      </c>
      <c r="B30" s="1252"/>
      <c r="C30" s="961">
        <f>IF(初期登録!$B$10*12+初期登録!$D$10&lt;DI元データ!$A$461,"",DI元データ!$E$461)</f>
        <v>100</v>
      </c>
      <c r="D30" s="962">
        <f>IF(初期登録!$B$10*12+初期登録!$D$10&lt;DI元データ!$A$462,"",DI元データ!$E$462)</f>
        <v>75</v>
      </c>
      <c r="E30" s="962">
        <f>IF(初期登録!$B$10*12+初期登録!$D$10&lt;DI元データ!$A$463,"",DI元データ!$E$463)</f>
        <v>87.5</v>
      </c>
      <c r="F30" s="962">
        <f>IF(初期登録!$B$10*12+初期登録!$D$10&lt;DI元データ!$A$464,"",DI元データ!$E$464)</f>
        <v>87.5</v>
      </c>
      <c r="G30" s="962">
        <f>IF(初期登録!$B$10*12+初期登録!$D$10&lt;DI元データ!$A$465,"",DI元データ!$E$465)</f>
        <v>75</v>
      </c>
      <c r="H30" s="962">
        <f>IF(初期登録!$B$10*12+初期登録!$D$10&lt;DI元データ!$A$466,"",DI元データ!$E$466)</f>
        <v>87.5</v>
      </c>
      <c r="I30" s="962">
        <f>IF(初期登録!$B$10*12+初期登録!$D$10&lt;DI元データ!$A$467,"",DI元データ!$E$467)</f>
        <v>87.5</v>
      </c>
      <c r="J30" s="962">
        <f>IF(初期登録!$B$10*12+初期登録!$D$10&lt;DI元データ!$A$468,"",DI元データ!$E$468)</f>
        <v>62.5</v>
      </c>
      <c r="K30" s="962">
        <f>IF(初期登録!$B$10*12+初期登録!$D$10&lt;DI元データ!$A$469,"",DI元データ!$E$469)</f>
        <v>31.25</v>
      </c>
      <c r="L30" s="962">
        <f>IF(初期登録!$B$10*12+初期登録!$D$10&lt;DI元データ!$A$470,"",DI元データ!$E$470)</f>
        <v>43.75</v>
      </c>
      <c r="M30" s="962">
        <f>IF(初期登録!$B$10*12+初期登録!$D$10&lt;DI元データ!$A$471,"",DI元データ!$E$471)</f>
        <v>75</v>
      </c>
      <c r="N30" s="963">
        <f>IF(初期登録!$B$10*12+初期登録!$D$10&lt;DI元データ!$A$472,"",DI元データ!$E$472)</f>
        <v>75</v>
      </c>
    </row>
    <row r="31" spans="1:16" ht="20.100000000000001" customHeight="1">
      <c r="A31" s="1251" t="s">
        <v>676</v>
      </c>
      <c r="B31" s="1252"/>
      <c r="C31" s="961">
        <f>IF(初期登録!$B$10*12+初期登録!$D$10&lt;DI元データ!$A$473,"",DI元データ!$E$473)</f>
        <v>75</v>
      </c>
      <c r="D31" s="962">
        <f>IF(初期登録!$B$10*12+初期登録!$D$10&lt;DI元データ!$A$474,"",DI元データ!$E$474)</f>
        <v>62.5</v>
      </c>
      <c r="E31" s="962">
        <f>IF(初期登録!$B$10*12+初期登録!$D$10&lt;DI元データ!$A$475,"",DI元データ!$E$475)</f>
        <v>75</v>
      </c>
      <c r="F31" s="962">
        <f>IF(初期登録!$B$10*12+初期登録!$D$10&lt;DI元データ!$A$476,"",DI元データ!$E$476)</f>
        <v>75</v>
      </c>
      <c r="G31" s="962">
        <f>IF(初期登録!$B$10*12+初期登録!$D$10&lt;DI元データ!$A$477,"",DI元データ!$E$477)</f>
        <v>62.5</v>
      </c>
      <c r="H31" s="962">
        <f>IF(初期登録!$B$10*12+初期登録!$D$10&lt;DI元データ!$A$478,"",DI元データ!$E$478)</f>
        <v>75</v>
      </c>
      <c r="I31" s="962">
        <f>IF(初期登録!$B$10*12+初期登録!$D$10&lt;DI元データ!$A$479,"",DI元データ!$E$479)</f>
        <v>87.5</v>
      </c>
      <c r="J31" s="962">
        <f>IF(初期登録!$B$10*12+初期登録!$D$10&lt;DI元データ!$A$480,"",DI元データ!$E$480)</f>
        <v>62.5</v>
      </c>
      <c r="K31" s="962">
        <f>IF(初期登録!$B$10*12+初期登録!$D$10&lt;DI元データ!$A$481,"",DI元データ!$E$481)</f>
        <v>50</v>
      </c>
      <c r="L31" s="962">
        <f>IF(初期登録!$B$10*12+初期登録!$D$10&lt;DI元データ!$A$482,"",DI元データ!$E$482)</f>
        <v>62.5</v>
      </c>
      <c r="M31" s="962">
        <f>IF(初期登録!$B$10*12+初期登録!$D$10&lt;DI元データ!$A$483,"",DI元データ!$E$483)</f>
        <v>6.25</v>
      </c>
      <c r="N31" s="963">
        <f>IF(初期登録!$B$10*12+初期登録!$D$10&lt;DI元データ!$A$484,"",DI元データ!$E$484)</f>
        <v>6.25</v>
      </c>
    </row>
    <row r="32" spans="1:16" ht="20.100000000000001" customHeight="1">
      <c r="A32" s="1251" t="s">
        <v>678</v>
      </c>
      <c r="B32" s="1252"/>
      <c r="C32" s="961">
        <f>IF(初期登録!$B$10*12+初期登録!$D$10&lt;DI元データ!$A$485,"",DI元データ!$E$485)</f>
        <v>12.5</v>
      </c>
      <c r="D32" s="962">
        <f>IF(初期登録!$B$10*12+初期登録!$D$10&lt;DI元データ!$A$486,"",DI元データ!$E$486)</f>
        <v>25</v>
      </c>
      <c r="E32" s="962">
        <f>IF(初期登録!$B$10*12+初期登録!$D$10&lt;DI元データ!$A$487,"",DI元データ!$E$487)</f>
        <v>37.5</v>
      </c>
      <c r="F32" s="962">
        <f>IF(初期登録!$B$10*12+初期登録!$D$10&lt;DI元データ!$A$488,"",DI元データ!$E$488)</f>
        <v>50</v>
      </c>
      <c r="G32" s="962">
        <f>IF(初期登録!$B$10*12+初期登録!$D$10&lt;DI元データ!$A$489,"",DI元データ!$E$489)</f>
        <v>37.5</v>
      </c>
      <c r="H32" s="962">
        <f>IF(初期登録!$B$10*12+初期登録!$D$10&lt;DI元データ!$A$490,"",DI元データ!$E$490)</f>
        <v>62.5</v>
      </c>
      <c r="I32" s="962">
        <f>IF(初期登録!$B$10*12+初期登録!$D$10&lt;DI元データ!$A$491,"",DI元データ!$E$491)</f>
        <v>12.5</v>
      </c>
      <c r="J32" s="962">
        <f>IF(初期登録!$B$10*12+初期登録!$D$10&lt;DI元データ!$A$492,"",DI元データ!$E$492)</f>
        <v>25</v>
      </c>
      <c r="K32" s="962">
        <f>IF(初期登録!$B$10*12+初期登録!$D$10&lt;DI元データ!$A$493,"",DI元データ!$E$493)</f>
        <v>62.5</v>
      </c>
      <c r="L32" s="962">
        <f>IF(初期登録!$B$10*12+初期登録!$D$10&lt;DI元データ!$A$494,"",DI元データ!$E$494)</f>
        <v>25</v>
      </c>
      <c r="M32" s="962">
        <f>IF(初期登録!$B$10*12+初期登録!$D$10&lt;DI元データ!$A$495,"",DI元データ!$E$495)</f>
        <v>12.5</v>
      </c>
      <c r="N32" s="963">
        <f>IF(初期登録!$B$10*12+初期登録!$D$10&lt;DI元データ!$A$496,"",DI元データ!$E$496)</f>
        <v>12.5</v>
      </c>
    </row>
    <row r="33" spans="1:16" ht="20.100000000000001" customHeight="1">
      <c r="A33" s="1253" t="s">
        <v>677</v>
      </c>
      <c r="B33" s="1254"/>
      <c r="C33" s="968">
        <f>IF(初期登録!$B$10*12+初期登録!$D$10&lt;DI元データ!$A$497,"",DI元データ!$E$497)</f>
        <v>12.5</v>
      </c>
      <c r="D33" s="965">
        <f>IF(初期登録!$B$10*12+初期登録!$D$10&lt;DI元データ!$A$498,"",DI元データ!$E$498)</f>
        <v>37.5</v>
      </c>
      <c r="E33" s="965">
        <f>IF(初期登録!$B$10*12+初期登録!$D$10&lt;DI元データ!$A$199,"",DI元データ!$E$499)</f>
        <v>37.5</v>
      </c>
      <c r="F33" s="965">
        <f>IF(初期登録!$B$10*12+初期登録!$D$10&lt;DI元データ!$A$500,"",DI元データ!$E$500)</f>
        <v>50</v>
      </c>
      <c r="G33" s="965">
        <f>IF(初期登録!$B$10*12+初期登録!$D$10&lt;DI元データ!$A$501,"",DI元データ!$E$501)</f>
        <v>0</v>
      </c>
      <c r="H33" s="965">
        <f>IF(初期登録!$B$10*12+初期登録!$D$10&lt;DI元データ!$A$502,"",DI元データ!$E$502)</f>
        <v>0</v>
      </c>
      <c r="I33" s="965">
        <f>IF(初期登録!$B$10*12+初期登録!$D$10&lt;DI元データ!$A$503,"",DI元データ!$E$503)</f>
        <v>12.5</v>
      </c>
      <c r="J33" s="965">
        <f>IF(初期登録!$B$10*12+初期登録!$D$10&lt;DI元データ!$A$504,"",DI元データ!$E$504)</f>
        <v>0</v>
      </c>
      <c r="K33" s="965">
        <f>IF(初期登録!$B$10*12+初期登録!$D$10&lt;DI元データ!$A$505,"",DI元データ!$E$505)</f>
        <v>0</v>
      </c>
      <c r="L33" s="965">
        <f>IF(初期登録!$B$10*12+初期登録!$D$10&lt;DI元データ!$A$506,"",DI元データ!$E$506)</f>
        <v>75</v>
      </c>
      <c r="M33" s="965">
        <f>IF(初期登録!$B$10*12+初期登録!$D$10&lt;DI元データ!$A$507,"",DI元データ!$E$507)</f>
        <v>100</v>
      </c>
      <c r="N33" s="966">
        <f>IF(初期登録!$B$10*12+初期登録!$D$10&lt;DI元データ!$A$508,"",DI元データ!$E$508)</f>
        <v>87.5</v>
      </c>
    </row>
    <row r="34" spans="1:16" ht="20.100000000000001" customHeight="1">
      <c r="A34" s="1251" t="s">
        <v>684</v>
      </c>
      <c r="B34" s="1252"/>
      <c r="C34" s="968">
        <f>IF(初期登録!$B$10*12+初期登録!$D$10&lt;DI元データ!$A$509,"",DI元データ!$E$509)</f>
        <v>87.5</v>
      </c>
      <c r="D34" s="965">
        <f>IF(初期登録!$B$10*12+初期登録!$D$10&lt;DI元データ!$A$510,"",DI元データ!$E$510)</f>
        <v>87.5</v>
      </c>
      <c r="E34" s="962">
        <f>IF(初期登録!$B$10*12+初期登録!$D$10&lt;DI元データ!$A$511,"",DI元データ!$E$511)</f>
        <v>75</v>
      </c>
      <c r="F34" s="965">
        <f>IF(初期登録!$B$10*12+初期登録!$D$10&lt;DI元データ!$A$512,"",DI元データ!$E$512)</f>
        <v>87.5</v>
      </c>
      <c r="G34" s="965">
        <f>IF(初期登録!$B$10*12+初期登録!$D$10&lt;DI元データ!$A$513,"",DI元データ!$E$513)</f>
        <v>100</v>
      </c>
      <c r="H34" s="965">
        <f>IF(初期登録!$B$10*12+初期登録!$D$10&lt;DI元データ!$A$514,"",DI元データ!$E$514)</f>
        <v>87.5</v>
      </c>
      <c r="I34" s="965">
        <f>IF(初期登録!$B$10*12+初期登録!$D$10&lt;DI元データ!$A$515,"",DI元データ!$E$515)</f>
        <v>87.5</v>
      </c>
      <c r="J34" s="965">
        <f>IF(初期登録!$B$10*12+初期登録!$D$10&lt;DI元データ!$A$516,"",DI元データ!$E$516)</f>
        <v>100</v>
      </c>
      <c r="K34" s="965">
        <f>IF(初期登録!$B$10*12+初期登録!$D$10&lt;DI元データ!$A$517,"",DI元データ!$E$517)</f>
        <v>75</v>
      </c>
      <c r="L34" s="965">
        <f>IF(初期登録!$B$10*12+初期登録!$D$10&lt;DI元データ!$A$518,"",DI元データ!$E$518)</f>
        <v>75</v>
      </c>
      <c r="M34" s="965">
        <f>IF(初期登録!$B$10*12+初期登録!$D$10&lt;DI元データ!$A$519,"",DI元データ!$E$519)</f>
        <v>75</v>
      </c>
      <c r="N34" s="966">
        <f>IF(初期登録!$B$10*12+初期登録!$D$10&lt;DI元データ!$A$520,"",DI元データ!$E$520)</f>
        <v>75</v>
      </c>
    </row>
    <row r="35" spans="1:16" ht="20.100000000000001" customHeight="1">
      <c r="A35" s="1080" t="s">
        <v>687</v>
      </c>
      <c r="B35" s="1081"/>
      <c r="C35" s="968">
        <f>IF(初期登録!$B$10*12+初期登録!$D$10&lt;DI元データ!$A$521,"",DI元データ!$E$521)</f>
        <v>62.5</v>
      </c>
      <c r="D35" s="965">
        <f>IF(初期登録!$B$10*12+初期登録!$D$10&lt;DI元データ!$A$522,"",DI元データ!$E$522)</f>
        <v>62.5</v>
      </c>
      <c r="E35" s="965">
        <f>IF(初期登録!$B$10*12+初期登録!$D$10&lt;DI元データ!$A$523,"",DI元データ!$E$523)</f>
        <v>87.5</v>
      </c>
      <c r="F35" s="965">
        <f>IF(初期登録!$B$10*12+初期登録!$D$10&lt;DI元データ!$A$524,"",DI元データ!$E$524)</f>
        <v>87.5</v>
      </c>
      <c r="G35" s="965">
        <f>IF(初期登録!$B$10*12+初期登録!$D$10&lt;DI元データ!$A$525,"",DI元データ!$E$525)</f>
        <v>87.5</v>
      </c>
      <c r="H35" s="965">
        <f>IF(初期登録!$B$10*12+初期登録!$D$10&lt;DI元データ!$A$526,"",DI元データ!$E$526)</f>
        <v>62.5</v>
      </c>
      <c r="I35" s="965">
        <f>IF(初期登録!$B$10*12+初期登録!$D$10&lt;DI元データ!$A$527,"",DI元データ!$E$527)</f>
        <v>62.5</v>
      </c>
      <c r="J35" s="965">
        <f>IF(初期登録!$B$10*12+初期登録!$D$10&lt;DI元データ!$A$528,"",DI元データ!$E$528)</f>
        <v>62.5</v>
      </c>
      <c r="K35" s="965">
        <f>IF(初期登録!$B$10*12+初期登録!$D$10&lt;DI元データ!$A$529,"",DI元データ!$E$529)</f>
        <v>62.5</v>
      </c>
      <c r="L35" s="965">
        <f>IF(初期登録!$B$10*12+初期登録!$D$10&lt;DI元データ!$A$530,"",DI元データ!$E$530)</f>
        <v>25</v>
      </c>
      <c r="M35" s="965">
        <f>IF(初期登録!$B$10*12+初期登録!$D$10&lt;DI元データ!$A$531,"",DI元データ!$E$531)</f>
        <v>50</v>
      </c>
      <c r="N35" s="966">
        <f>IF(初期登録!$B$10*12+初期登録!$D$10&lt;DI元データ!$A$532,"",DI元データ!$E$532)</f>
        <v>25</v>
      </c>
    </row>
    <row r="36" spans="1:16" ht="20.100000000000001" customHeight="1">
      <c r="A36" s="1080" t="s">
        <v>696</v>
      </c>
      <c r="B36" s="1081"/>
      <c r="C36" s="1053">
        <f>IF(初期登録!$B$10*12+初期登録!$D$10&lt;DI元データ!$A$533,"",DI元データ!$E$533)</f>
        <v>25</v>
      </c>
      <c r="D36" s="962">
        <f>IF(初期登録!$B$10*12+初期登録!$D$10&lt;DI元データ!$A$534,"",DI元データ!$E$534)</f>
        <v>25</v>
      </c>
      <c r="E36" s="962">
        <f>IF(初期登録!$B$10*12+初期登録!$D$10&lt;DI元データ!$A535,"",DI元データ!$E535)</f>
        <v>50</v>
      </c>
      <c r="F36" s="962">
        <f>IF(初期登録!$B$10*12+初期登録!$D$10&lt;DI元データ!$A$536,"",DI元データ!$E$536)</f>
        <v>37.5</v>
      </c>
      <c r="G36" s="962">
        <f>IF(初期登録!$B$10*12+初期登録!$D$10&lt;DI元データ!$A$537,"",DI元データ!$E$537)</f>
        <v>50</v>
      </c>
      <c r="H36" s="962">
        <f>IF(初期登録!$B$10*12+初期登録!$D$10&lt;DI元データ!$A$538,"",DI元データ!$E$538)</f>
        <v>25</v>
      </c>
      <c r="I36" s="962">
        <f>IF(初期登録!$B$10*12+初期登録!$D$10&lt;DI元データ!$A$539,"",DI元データ!$E$539)</f>
        <v>25</v>
      </c>
      <c r="J36" s="962">
        <f>IF(初期登録!$B$10*12+初期登録!$D$10&lt;DI元データ!$A$540,"",DI元データ!$E$540)</f>
        <v>25</v>
      </c>
      <c r="K36" s="962">
        <f>IF(初期登録!$B$10*12+初期登録!$D$10&lt;DI元データ!$A$541,"",DI元データ!$E$541)</f>
        <v>31.25</v>
      </c>
      <c r="L36" s="962">
        <f>IF(初期登録!$B$10*12+初期登録!$D$10&lt;DI元データ!$A$542,"",DI元データ!$E$542)</f>
        <v>37.5</v>
      </c>
      <c r="M36" s="962">
        <f>IF(初期登録!$B$10*12+初期登録!$D$10&lt;DI元データ!$A$543,"",DI元データ!$E$543)</f>
        <v>18.75</v>
      </c>
      <c r="N36" s="963">
        <f>IF(初期登録!$B$10*12+初期登録!$D$10&lt;DI元データ!$A$544,"",DI元データ!$E$544)</f>
        <v>37.5</v>
      </c>
    </row>
    <row r="37" spans="1:16" ht="20.100000000000001" customHeight="1">
      <c r="A37" s="1080" t="s">
        <v>699</v>
      </c>
      <c r="B37" s="1081"/>
      <c r="C37" s="964">
        <f>IF(初期登録!$B$10*12+初期登録!$D$10&lt;DI元データ!$A545,"",DI元データ!$E545)</f>
        <v>12.5</v>
      </c>
      <c r="D37" s="965">
        <f>IF(初期登録!$B$10*12+初期登録!$D$10&lt;DI元データ!$A546,"",DI元データ!$E546)</f>
        <v>62.5</v>
      </c>
      <c r="E37" s="965">
        <f>IF(初期登録!$B$10*12+初期登録!$D$10&lt;DI元データ!$A547,"",DI元データ!$E547)</f>
        <v>62.5</v>
      </c>
      <c r="F37" s="965">
        <f>IF(初期登録!$B$10*12+初期登録!$D$10&lt;DI元データ!$A548,"",DI元データ!$E548)</f>
        <v>62.5</v>
      </c>
      <c r="G37" s="965">
        <f>IF(初期登録!$B$10*12+初期登録!$D$10&lt;DI元データ!$A549,"",DI元データ!$E549)</f>
        <v>62.5</v>
      </c>
      <c r="H37" s="965">
        <f>IF(初期登録!$B$10*12+初期登録!$D$10&lt;DI元データ!$A550,"",DI元データ!$E550)</f>
        <v>75</v>
      </c>
      <c r="I37" s="965">
        <f>IF(初期登録!$B$10*12+初期登録!$D$10&lt;DI元データ!$A551,"",DI元データ!$E551)</f>
        <v>50</v>
      </c>
      <c r="J37" s="965">
        <f>IF(初期登録!$B$10*12+初期登録!$D$10&lt;DI元データ!$A552,"",DI元データ!$E552)</f>
        <v>31.25</v>
      </c>
      <c r="K37" s="965">
        <f>IF(初期登録!$B$10*12+初期登録!$D$10&lt;DI元データ!$A553,"",DI元データ!$E553)</f>
        <v>50</v>
      </c>
      <c r="L37" s="965">
        <f>IF(初期登録!$B$10*12+初期登録!$D$10&lt;DI元データ!$A554,"",DI元データ!$E554)</f>
        <v>87.5</v>
      </c>
      <c r="M37" s="965">
        <f>IF(初期登録!$B$10*12+初期登録!$D$10&lt;DI元データ!$A555,"",DI元データ!$E555)</f>
        <v>75</v>
      </c>
      <c r="N37" s="966">
        <f>IF(初期登録!$B$10*12+初期登録!$D$10&lt;DI元データ!$A556,"",DI元データ!$E556)</f>
        <v>87.5</v>
      </c>
      <c r="P37" s="1075"/>
    </row>
    <row r="38" spans="1:16" ht="20.100000000000001" customHeight="1">
      <c r="A38" s="1080" t="s">
        <v>819</v>
      </c>
      <c r="B38" s="1081"/>
      <c r="C38" s="964">
        <f>IF(初期登録!$B$10*12+初期登録!$D$10&lt;DI元データ!$A557,"",DI元データ!$E557)</f>
        <v>87.5</v>
      </c>
      <c r="D38" s="965">
        <f>IF(初期登録!$B$10*12+初期登録!$D$10&lt;DI元データ!$A558,"",DI元データ!$E558)</f>
        <v>62.5</v>
      </c>
      <c r="E38" s="965">
        <f>IF(初期登録!$B$10*12+初期登録!$D$10&lt;DI元データ!$A559,"",DI元データ!$E559)</f>
        <v>68.75</v>
      </c>
      <c r="F38" s="965">
        <f>IF(初期登録!$B$10*12+初期登録!$D$10&lt;DI元データ!$A560,"",DI元データ!$E560)</f>
        <v>18.75</v>
      </c>
      <c r="G38" s="965">
        <f>IF(初期登録!$B$10*12+初期登録!$D$10&lt;DI元データ!$A561,"",DI元データ!$E561)</f>
        <v>37.5</v>
      </c>
      <c r="H38" s="965">
        <f>IF(初期登録!$B$10*12+初期登録!$D$10&lt;DI元データ!$A562,"",DI元データ!$E562)</f>
        <v>12.5</v>
      </c>
      <c r="I38" s="965">
        <f>IF(初期登録!$B$10*12+初期登録!$D$10&lt;DI元データ!$A563,"",DI元データ!$E563)</f>
        <v>0</v>
      </c>
      <c r="J38" s="965">
        <f>IF(初期登録!$B$10*12+初期登録!$D$10&lt;DI元データ!$A564,"",DI元データ!$E564)</f>
        <v>12.5</v>
      </c>
      <c r="K38" s="965">
        <f>IF(初期登録!$B$10*12+初期登録!$D$10&lt;DI元データ!$A565,"",DI元データ!$E565)</f>
        <v>37.5</v>
      </c>
      <c r="L38" s="965">
        <f>IF(初期登録!$B$10*12+初期登録!$D$10&lt;DI元データ!$A566,"",DI元データ!$E566)</f>
        <v>50</v>
      </c>
      <c r="M38" s="965">
        <f>IF(初期登録!$B$10*12+初期登録!$D$10&lt;DI元データ!$A567,"",DI元データ!$E567)</f>
        <v>62.5</v>
      </c>
      <c r="N38" s="966">
        <f>IF(初期登録!$B$10*12+初期登録!$D$10&lt;DI元データ!$A568,"",DI元データ!$E568)</f>
        <v>62.5</v>
      </c>
      <c r="P38" s="1075"/>
    </row>
    <row r="39" spans="1:16" ht="20.100000000000001" customHeight="1">
      <c r="A39" s="1077" t="s">
        <v>822</v>
      </c>
      <c r="B39" s="1078"/>
      <c r="C39" s="1061">
        <f>IF(初期登録!$B$10*12+初期登録!$D$10&lt;DI元データ!$A569,"",DI元データ!$E569)</f>
        <v>75</v>
      </c>
      <c r="D39" s="967">
        <f>IF(初期登録!$B$10*12+初期登録!$D$10&lt;DI元データ!$A570,"",DI元データ!$E570)</f>
        <v>87.5</v>
      </c>
      <c r="E39" s="967">
        <f>IF(初期登録!$B$10*12+初期登録!$D$10&lt;DI元データ!$A571,"",DI元データ!$E571)</f>
        <v>87.5</v>
      </c>
      <c r="F39" s="967"/>
      <c r="G39" s="967"/>
      <c r="H39" s="967"/>
      <c r="I39" s="967"/>
      <c r="J39" s="967"/>
      <c r="K39" s="967"/>
      <c r="L39" s="967"/>
      <c r="M39" s="967"/>
      <c r="N39" s="1079"/>
      <c r="P39" s="1075"/>
    </row>
    <row r="40" spans="1:16" s="270" customFormat="1">
      <c r="C40" s="1086"/>
      <c r="D40" s="1086"/>
      <c r="E40" s="1086"/>
      <c r="K40" s="1086"/>
      <c r="L40" s="1086"/>
      <c r="M40" s="1086"/>
      <c r="N40" s="1086"/>
    </row>
    <row r="41" spans="1:16" s="270" customFormat="1" ht="17.25">
      <c r="A41" s="1598" t="s">
        <v>549</v>
      </c>
      <c r="B41" s="1598"/>
      <c r="C41" s="1598"/>
      <c r="D41" s="1598"/>
      <c r="E41" s="269"/>
      <c r="F41" s="269"/>
      <c r="G41" s="269"/>
      <c r="H41" s="269"/>
      <c r="I41" s="269"/>
      <c r="J41" s="269"/>
      <c r="K41" s="269"/>
      <c r="L41" s="269"/>
      <c r="M41" s="269"/>
      <c r="N41" s="269"/>
    </row>
    <row r="42" spans="1:16" s="270" customFormat="1" ht="20.100000000000001" customHeight="1">
      <c r="A42" s="618"/>
      <c r="B42" s="619" t="s">
        <v>189</v>
      </c>
      <c r="C42" s="1594" t="s">
        <v>256</v>
      </c>
      <c r="D42" s="1601" t="s">
        <v>257</v>
      </c>
      <c r="E42" s="1601" t="s">
        <v>258</v>
      </c>
      <c r="F42" s="1601" t="s">
        <v>280</v>
      </c>
      <c r="G42" s="1601" t="s">
        <v>293</v>
      </c>
      <c r="H42" s="1601" t="s">
        <v>294</v>
      </c>
      <c r="I42" s="1601" t="s">
        <v>295</v>
      </c>
      <c r="J42" s="1601" t="s">
        <v>296</v>
      </c>
      <c r="K42" s="1601" t="s">
        <v>297</v>
      </c>
      <c r="L42" s="1601" t="s">
        <v>298</v>
      </c>
      <c r="M42" s="1601" t="s">
        <v>137</v>
      </c>
      <c r="N42" s="1612" t="s">
        <v>138</v>
      </c>
    </row>
    <row r="43" spans="1:16" ht="20.100000000000001" customHeight="1">
      <c r="A43" s="620" t="s">
        <v>190</v>
      </c>
      <c r="B43" s="621"/>
      <c r="C43" s="1595"/>
      <c r="D43" s="1602"/>
      <c r="E43" s="1602"/>
      <c r="F43" s="1602"/>
      <c r="G43" s="1602"/>
      <c r="H43" s="1602"/>
      <c r="I43" s="1602"/>
      <c r="J43" s="1602"/>
      <c r="K43" s="1602"/>
      <c r="L43" s="1602"/>
      <c r="M43" s="1602"/>
      <c r="N43" s="1613"/>
    </row>
    <row r="44" spans="1:16" ht="20.100000000000001" customHeight="1">
      <c r="A44" s="1251" t="s">
        <v>670</v>
      </c>
      <c r="B44" s="1252"/>
      <c r="C44" s="961">
        <f>IF(初期登録!$B$10*12+初期登録!$D$10&lt;DI元データ!$A$401,"",DI元データ!$F$401)</f>
        <v>42.857142857142854</v>
      </c>
      <c r="D44" s="962">
        <f>IF(初期登録!$B$10*12+初期登録!$D$10&lt;DI元データ!$A$402,"",DI元データ!$F$402)</f>
        <v>42.857142857142854</v>
      </c>
      <c r="E44" s="962">
        <f>IF(初期登録!$B$10*12+初期登録!$D$10&lt;DI元データ!$A$403,"",DI元データ!$F$403)</f>
        <v>57.142857142857146</v>
      </c>
      <c r="F44" s="962">
        <f>IF(初期登録!$B$10*12+初期登録!$D$10&lt;DI元データ!$A$404,"",DI元データ!$F$404)</f>
        <v>64.285714285714292</v>
      </c>
      <c r="G44" s="962">
        <f>IF(初期登録!$B$10*12+初期登録!$D$10&lt;DI元データ!$A$405,"",DI元データ!$F$405)</f>
        <v>71.428571428571431</v>
      </c>
      <c r="H44" s="962">
        <f>IF(初期登録!$B$10*12+初期登録!$D$10&lt;DI元データ!$A$406,"",DI元データ!$F$406)</f>
        <v>71.428571428571431</v>
      </c>
      <c r="I44" s="962">
        <f>IF(初期登録!$B$10*12+初期登録!$D$10&lt;DI元データ!$A$407,"",DI元データ!$F$407)</f>
        <v>57.142857142857146</v>
      </c>
      <c r="J44" s="962">
        <f>IF(初期登録!$B$10*12+初期登録!$D$10&lt;DI元データ!$A$408,"",DI元データ!$F$408)</f>
        <v>57.142857142857146</v>
      </c>
      <c r="K44" s="962">
        <f>IF(初期登録!$B$10*12+初期登録!$D$10&lt;DI元データ!$A$409,"",DI元データ!$F$409)</f>
        <v>64.285714285714292</v>
      </c>
      <c r="L44" s="962">
        <f>IF(初期登録!$B$10*12+初期登録!$D$10&lt;DI元データ!$A$410,"",DI元データ!$F$410)</f>
        <v>42.857142857142854</v>
      </c>
      <c r="M44" s="962">
        <f>IF(初期登録!$B$10*12+初期登録!$D$10&lt;DI元データ!$A$411,"",DI元データ!$F$411)</f>
        <v>57.142857142857146</v>
      </c>
      <c r="N44" s="963">
        <f>IF(初期登録!$B$10*12+初期登録!$D$10&lt;DI元データ!$A$412,"",DI元データ!$F$412)</f>
        <v>57.142857142857146</v>
      </c>
    </row>
    <row r="45" spans="1:16" ht="20.100000000000001" customHeight="1">
      <c r="A45" s="1251" t="s">
        <v>671</v>
      </c>
      <c r="B45" s="1252"/>
      <c r="C45" s="961">
        <f>IF(初期登録!$B$10*12+初期登録!$D$10&lt;DI元データ!$A$413,"",DI元データ!$F$413)</f>
        <v>14.285714285714286</v>
      </c>
      <c r="D45" s="962">
        <f>IF(初期登録!$B$10*12+初期登録!$D$10&lt;DI元データ!$A$414,"",DI元データ!$F$414)</f>
        <v>42.857142857142854</v>
      </c>
      <c r="E45" s="962">
        <f>IF(初期登録!$B$10*12+初期登録!$D$10&lt;DI元データ!$A$415,"",DI元データ!$F$415)</f>
        <v>71.428571428571431</v>
      </c>
      <c r="F45" s="962">
        <f>IF(初期登録!$B$10*12+初期登録!$D$10&lt;DI元データ!$A$416,"",DI元データ!$F$416)</f>
        <v>57.142857142857146</v>
      </c>
      <c r="G45" s="962">
        <f>IF(初期登録!$B$10*12+初期登録!$D$10&lt;DI元データ!$A$417,"",DI元データ!$F$417)</f>
        <v>71.428571428571431</v>
      </c>
      <c r="H45" s="962">
        <f>IF(初期登録!$B$10*12+初期登録!$D$10&lt;DI元データ!$A$418,"",DI元データ!$F$418)</f>
        <v>100</v>
      </c>
      <c r="I45" s="962">
        <f>IF(初期登録!$B$10*12+初期登録!$D$10&lt;DI元データ!$A$419,"",DI元データ!$F$419)</f>
        <v>71.428571428571431</v>
      </c>
      <c r="J45" s="962">
        <f>IF(初期登録!$B$10*12+初期登録!$D$10&lt;DI元データ!$A$420,"",DI元データ!$F$420)</f>
        <v>57.142857142857146</v>
      </c>
      <c r="K45" s="962">
        <f>IF(初期登録!$B$10*12+初期登録!$D$10&lt;DI元データ!$A$421,"",DI元データ!$F$421)</f>
        <v>85.714285714285708</v>
      </c>
      <c r="L45" s="962">
        <f>IF(初期登録!$B$10*12+初期登録!$D$10&lt;DI元データ!$A$422,"",DI元データ!$F$422)</f>
        <v>71.428571428571431</v>
      </c>
      <c r="M45" s="962">
        <f>IF(初期登録!$B$10*12+初期登録!$D$10&lt;DI元データ!$A$423,"",DI元データ!$F$423)</f>
        <v>85.714285714285708</v>
      </c>
      <c r="N45" s="963">
        <f>IF(初期登録!$B$10*12+初期登録!$D$10&lt;DI元データ!$A$424,"",DI元データ!$F$424)</f>
        <v>85.714285714285708</v>
      </c>
    </row>
    <row r="46" spans="1:16" ht="20.100000000000001" customHeight="1">
      <c r="A46" s="1251" t="s">
        <v>672</v>
      </c>
      <c r="B46" s="1252"/>
      <c r="C46" s="968">
        <f>IF(初期登録!$B$10*12+初期登録!$D$10&lt;DI元データ!$A$425,"",DI元データ!$F$425)</f>
        <v>71.428571428571431</v>
      </c>
      <c r="D46" s="965">
        <f>IF(初期登録!$B$10*12+初期登録!$D$10&lt;DI元データ!$A$426,"",DI元データ!$F$426)</f>
        <v>78.571428571428569</v>
      </c>
      <c r="E46" s="965">
        <f>IF(初期登録!$B$10*12+初期登録!$D$10&lt;DI元データ!$A$427,"",DI元データ!$F$427)</f>
        <v>42.857142857142854</v>
      </c>
      <c r="F46" s="965">
        <f>IF(初期登録!$B$10*12+初期登録!$D$10&lt;DI元データ!$A$428,"",DI元データ!$F$428)</f>
        <v>57.142857142857146</v>
      </c>
      <c r="G46" s="965">
        <f>IF(初期登録!$B$10*12+初期登録!$D$10&lt;DI元データ!$A$429,"",DI元データ!$F$429)</f>
        <v>42.857142857142854</v>
      </c>
      <c r="H46" s="965">
        <f>IF(初期登録!$B$10*12+初期登録!$D$10&lt;DI元データ!$A$430,"",DI元データ!$F$430)</f>
        <v>42.857142857142854</v>
      </c>
      <c r="I46" s="965">
        <f>IF(初期登録!$B$10*12+初期登録!$D$10&lt;DI元データ!$A$431,"",DI元データ!$F$431)</f>
        <v>57.142857142857146</v>
      </c>
      <c r="J46" s="965">
        <f>IF(初期登録!$B$10*12+初期登録!$D$10&lt;DI元データ!$A$432,"",DI元データ!$F$432)</f>
        <v>71.428571428571431</v>
      </c>
      <c r="K46" s="965">
        <f>IF(初期登録!$B$10*12+初期登録!$D$10&lt;DI元データ!$A$433,"",DI元データ!$F$433)</f>
        <v>100</v>
      </c>
      <c r="L46" s="965">
        <f>IF(初期登録!$B$10*12+初期登録!$D$10&lt;DI元データ!$A$434,"",DI元データ!$F$434)</f>
        <v>42.857142857142854</v>
      </c>
      <c r="M46" s="965">
        <f>IF(初期登録!$B$10*12+初期登録!$D$10&lt;DI元データ!$A$435,"",DI元データ!$F$435)</f>
        <v>57.142857142857146</v>
      </c>
      <c r="N46" s="966">
        <f>IF(初期登録!$B$10*12+初期登録!$D$10&lt;DI元データ!$A$436,"",DI元データ!$F$436)</f>
        <v>28.571428571428573</v>
      </c>
    </row>
    <row r="47" spans="1:16" ht="20.100000000000001" customHeight="1">
      <c r="A47" s="1251" t="s">
        <v>673</v>
      </c>
      <c r="B47" s="1252"/>
      <c r="C47" s="968">
        <f>IF(初期登録!$B$10*12+初期登録!$D$10&lt;DI元データ!$A$437,"",DI元データ!$F$437)</f>
        <v>28.571428571428573</v>
      </c>
      <c r="D47" s="965">
        <f>IF(初期登録!$B$10*12+初期登録!$D$10&lt;DI元データ!$A$438,"",DI元データ!$F$438)</f>
        <v>28.571428571428573</v>
      </c>
      <c r="E47" s="965">
        <f>IF(初期登録!$B$10*12+初期登録!$D$10&lt;DI元データ!$A$439,"",DI元データ!$F$439)</f>
        <v>28.571428571428573</v>
      </c>
      <c r="F47" s="965">
        <f>IF(初期登録!$B$10*12+初期登録!$D$10&lt;DI元データ!$A$440,"",DI元データ!$F$440)</f>
        <v>57.142857142857146</v>
      </c>
      <c r="G47" s="965">
        <f>IF(初期登録!$B$10*12+初期登録!$D$10&lt;DI元データ!$A$441,"",DI元データ!$F$441)</f>
        <v>57.142857142857146</v>
      </c>
      <c r="H47" s="965">
        <f>IF(初期登録!$B$10*12+初期登録!$D$10&lt;DI元データ!$A$442,"",DI元データ!$F$442)</f>
        <v>71.428571428571431</v>
      </c>
      <c r="I47" s="965">
        <f>IF(初期登録!$B$10*12+初期登録!$D$10&lt;DI元データ!$A$443,"",DI元データ!$F$443)</f>
        <v>42.857142857142854</v>
      </c>
      <c r="J47" s="965">
        <f>IF(初期登録!$B$10*12+初期登録!$D$10&lt;DI元データ!$A$444,"",DI元データ!$F$444)</f>
        <v>42.857142857142854</v>
      </c>
      <c r="K47" s="965">
        <f>IF(初期登録!$B$10*12+初期登録!$D$10&lt;DI元データ!$A$445,"",DI元データ!$F$445)</f>
        <v>0</v>
      </c>
      <c r="L47" s="965">
        <f>IF(初期登録!$B$10*12+初期登録!$D$10&lt;DI元データ!$A$446,"",DI元データ!$F$446)</f>
        <v>42.857142857142854</v>
      </c>
      <c r="M47" s="965">
        <f>IF(初期登録!$B$10*12+初期登録!$D$10&lt;DI元データ!$A$447,"",DI元データ!$F$447)</f>
        <v>28.571428571428573</v>
      </c>
      <c r="N47" s="966">
        <f>IF(初期登録!$B$10*12+初期登録!$D$10&lt;DI元データ!$A$448,"",DI元データ!$F$448)</f>
        <v>71.428571428571431</v>
      </c>
    </row>
    <row r="48" spans="1:16" ht="20.100000000000001" customHeight="1">
      <c r="A48" s="1251" t="s">
        <v>674</v>
      </c>
      <c r="B48" s="1252"/>
      <c r="C48" s="964">
        <f>IF(初期登録!$B$10*12+初期登録!$D$10&lt;DI元データ!$A$449,"",DI元データ!$F$449)</f>
        <v>71.428571428571431</v>
      </c>
      <c r="D48" s="965">
        <f>IF(初期登録!$B$10*12+初期登録!$D$10&lt;DI元データ!$A$450,"",DI元データ!$F$450)</f>
        <v>85.714285714285708</v>
      </c>
      <c r="E48" s="965">
        <f>IF(初期登録!$B$10*12+初期登録!$D$10&lt;DI元データ!$A$451,"",DI元データ!$F$451)</f>
        <v>42.857142857142854</v>
      </c>
      <c r="F48" s="965">
        <f>IF(初期登録!$B$10*12+初期登録!$D$10&lt;DI元データ!$A$452,"",DI元データ!$F$452)</f>
        <v>71.428571428571431</v>
      </c>
      <c r="G48" s="965">
        <f>IF(初期登録!$B$10*12+初期登録!$D$10&lt;DI元データ!$A$453,"",DI元データ!$F$453)</f>
        <v>42.857142857142854</v>
      </c>
      <c r="H48" s="965">
        <f>IF(初期登録!$B$10*12+初期登録!$D$10&lt;DI元データ!$A$454,"",DI元データ!$F$454)</f>
        <v>28.571428571428573</v>
      </c>
      <c r="I48" s="965">
        <f>IF(初期登録!$B$10*12+初期登録!$D$10&lt;DI元データ!$A$455,"",DI元データ!$F$455)</f>
        <v>28.571428571428573</v>
      </c>
      <c r="J48" s="965">
        <f>IF(初期登録!$B$10*12+初期登録!$D$10&lt;DI元データ!$A$456,"",DI元データ!$F$456)</f>
        <v>28.571428571428573</v>
      </c>
      <c r="K48" s="965">
        <f>IF(初期登録!$B$10*12+初期登録!$D$10&lt;DI元データ!$A$457,"",DI元データ!$F$457)</f>
        <v>28.571428571428573</v>
      </c>
      <c r="L48" s="965">
        <f>IF(初期登録!$B$10*12+初期登録!$D$10&lt;DI元データ!$A$458,"",DI元データ!$F$458)</f>
        <v>42.857142857142854</v>
      </c>
      <c r="M48" s="965">
        <f>IF(初期登録!$B$10*12+初期登録!$D$10&lt;DI元データ!$A$459,"",DI元データ!$F$459)</f>
        <v>85.714285714285708</v>
      </c>
      <c r="N48" s="966">
        <f>IF(初期登録!$B$10*12+初期登録!$D$10&lt;DI元データ!$A$460,"",DI元データ!$F$460)</f>
        <v>42.857142857142854</v>
      </c>
    </row>
    <row r="49" spans="1:44" ht="20.100000000000001" customHeight="1">
      <c r="A49" s="1251" t="s">
        <v>675</v>
      </c>
      <c r="B49" s="1252"/>
      <c r="C49" s="961">
        <f>IF(初期登録!$B$10*12+初期登録!$D$10&lt;DI元データ!$A$461,"",DI元データ!$F$461)</f>
        <v>71.428571428571431</v>
      </c>
      <c r="D49" s="962">
        <f>IF(初期登録!$B$10*12+初期登録!$D$10&lt;DI元データ!$A$462,"",DI元データ!$F$462)</f>
        <v>71.428571428571431</v>
      </c>
      <c r="E49" s="962">
        <f>IF(初期登録!$B$10*12+初期登録!$D$10&lt;DI元データ!$A$463,"",DI元データ!$F$463)</f>
        <v>42.857142857142854</v>
      </c>
      <c r="F49" s="962">
        <f>IF(初期登録!$B$10*12+初期登録!$D$10&lt;DI元データ!$A$464,"",DI元データ!$F$464)</f>
        <v>57.142857142857146</v>
      </c>
      <c r="G49" s="962">
        <f>IF(初期登録!$B$10*12+初期登録!$D$10&lt;DI元データ!$A$465,"",DI元データ!$F$465)</f>
        <v>50</v>
      </c>
      <c r="H49" s="962">
        <f>IF(初期登録!$B$10*12+初期登録!$D$10&lt;DI元データ!$A$466,"",DI元データ!$F$466)</f>
        <v>57.142857142857146</v>
      </c>
      <c r="I49" s="962">
        <f>IF(初期登録!$B$10*12+初期登録!$D$10&lt;DI元データ!$A$467,"",DI元データ!$F$467)</f>
        <v>85.714285714285708</v>
      </c>
      <c r="J49" s="962">
        <f>IF(初期登録!$B$10*12+初期登録!$D$10&lt;DI元データ!$A$468,"",DI元データ!$F$468)</f>
        <v>57.142857142857146</v>
      </c>
      <c r="K49" s="962">
        <f>IF(初期登録!$B$10*12+初期登録!$D$10&lt;DI元データ!$A$469,"",DI元データ!$F$469)</f>
        <v>57.142857142857146</v>
      </c>
      <c r="L49" s="962">
        <f>IF(初期登録!$B$10*12+初期登録!$D$10&lt;DI元データ!$A$470,"",DI元データ!$F$470)</f>
        <v>42.857142857142854</v>
      </c>
      <c r="M49" s="962">
        <f>IF(初期登録!$B$10*12+初期登録!$D$10&lt;DI元データ!$A$471,"",DI元データ!$F$471)</f>
        <v>57.142857142857146</v>
      </c>
      <c r="N49" s="963">
        <f>IF(初期登録!$B$10*12+初期登録!$D$10&lt;DI元データ!$A$472,"",DI元データ!$F$472)</f>
        <v>50</v>
      </c>
    </row>
    <row r="50" spans="1:44" ht="20.100000000000001" customHeight="1">
      <c r="A50" s="1251" t="s">
        <v>676</v>
      </c>
      <c r="B50" s="1252"/>
      <c r="C50" s="961">
        <f>IF(初期登録!$B$10*12+初期登録!$D$10&lt;DI元データ!$A$473,"",DI元データ!$F$473)</f>
        <v>50</v>
      </c>
      <c r="D50" s="962">
        <f>IF(初期登録!$B$10*12+初期登録!$D$10&lt;DI元データ!$A$474,"",DI元データ!$F$474)</f>
        <v>57.142857142857146</v>
      </c>
      <c r="E50" s="962">
        <f>IF(初期登録!$B$10*12+初期登録!$D$10&lt;DI元データ!$A$475,"",DI元データ!$F$475)</f>
        <v>57.142857142857146</v>
      </c>
      <c r="F50" s="962">
        <f>IF(初期登録!$B$10*12+初期登録!$D$10&lt;DI元データ!$A$476,"",DI元データ!$F$476)</f>
        <v>42.857142857142854</v>
      </c>
      <c r="G50" s="962">
        <f>IF(初期登録!$B$10*12+初期登録!$D$10&lt;DI元データ!$A$477,"",DI元データ!$F$477)</f>
        <v>42.857142857142854</v>
      </c>
      <c r="H50" s="962">
        <f>IF(初期登録!$B$10*12+初期登録!$D$10&lt;DI元データ!$A$478,"",DI元データ!$F$478)</f>
        <v>28.571428571428573</v>
      </c>
      <c r="I50" s="962">
        <f>IF(初期登録!$B$10*12+初期登録!$D$10&lt;DI元データ!$A$479,"",DI元データ!$F$479)</f>
        <v>71.428571428571431</v>
      </c>
      <c r="J50" s="962">
        <f>IF(初期登録!$B$10*12+初期登録!$D$10&lt;DI元データ!$A$480,"",DI元データ!$F$480)</f>
        <v>57.142857142857146</v>
      </c>
      <c r="K50" s="962">
        <f>IF(初期登録!$B$10*12+初期登録!$D$10&lt;DI元データ!$A$481,"",DI元データ!$F$481)</f>
        <v>71.428571428571431</v>
      </c>
      <c r="L50" s="962">
        <f>IF(初期登録!$B$10*12+初期登録!$D$10&lt;DI元データ!$A$482,"",DI元データ!$F$482)</f>
        <v>28.571428571428573</v>
      </c>
      <c r="M50" s="962">
        <f>IF(初期登録!$B$10*12+初期登録!$D$10&lt;DI元データ!$A$483,"",DI元データ!$F$483)</f>
        <v>14.285714285714286</v>
      </c>
      <c r="N50" s="963">
        <f>IF(初期登録!$B$10*12+初期登録!$D$10&lt;DI元データ!$A$484,"",DI元データ!$F$484)</f>
        <v>14.285714285714286</v>
      </c>
    </row>
    <row r="51" spans="1:44" ht="20.100000000000001" customHeight="1">
      <c r="A51" s="1251" t="s">
        <v>678</v>
      </c>
      <c r="B51" s="1252"/>
      <c r="C51" s="961">
        <f>IF(初期登録!$B$10*12+初期登録!$D$10&lt;DI元データ!$A$485,"",DI元データ!$F$485)</f>
        <v>14.285714285714286</v>
      </c>
      <c r="D51" s="962">
        <f>IF(初期登録!$B$10*12+初期登録!$D$10&lt;DI元データ!$A$486,"",DI元データ!$F$486)</f>
        <v>42.857142857142854</v>
      </c>
      <c r="E51" s="962">
        <f>IF(初期登録!$B$10*12+初期登録!$D$10&lt;DI元データ!$A$487,"",DI元データ!$F$487)</f>
        <v>42.857142857142854</v>
      </c>
      <c r="F51" s="962">
        <f>IF(初期登録!$B$10*12+初期登録!$D$10&lt;DI元データ!$A$488,"",DI元データ!$F$488)</f>
        <v>42.857142857142854</v>
      </c>
      <c r="G51" s="962">
        <f>IF(初期登録!$B$10*12+初期登録!$D$10&lt;DI元データ!$A$489,"",DI元データ!$F$489)</f>
        <v>64.285714285714292</v>
      </c>
      <c r="H51" s="962">
        <f>IF(初期登録!$B$10*12+初期登録!$D$10&lt;DI元データ!$A$490,"",DI元データ!$F$490)</f>
        <v>85.714285714285708</v>
      </c>
      <c r="I51" s="962">
        <f>IF(初期登録!$B$10*12+初期登録!$D$10&lt;DI元データ!$A$491,"",DI元データ!$F$491)</f>
        <v>57.142857142857146</v>
      </c>
      <c r="J51" s="962">
        <f>IF(初期登録!$B$10*12+初期登録!$D$10&lt;DI元データ!$A$492,"",DI元データ!$F$492)</f>
        <v>71.428571428571431</v>
      </c>
      <c r="K51" s="962">
        <f>IF(初期登録!$B$10*12+初期登録!$D$10&lt;DI元データ!$A$493,"",DI元データ!$F$493)</f>
        <v>85.714285714285708</v>
      </c>
      <c r="L51" s="962">
        <f>IF(初期登録!$B$10*12+初期登録!$D$10&lt;DI元データ!$A$494,"",DI元データ!$F$494)</f>
        <v>35.714285714285715</v>
      </c>
      <c r="M51" s="962">
        <f>IF(初期登録!$B$10*12+初期登録!$D$10&lt;DI元データ!$A$495,"",DI元データ!$F$495)</f>
        <v>42.857142857142854</v>
      </c>
      <c r="N51" s="963">
        <f>IF(初期登録!$B$10*12+初期登録!$D$10&lt;DI元データ!$A$496,"",DI元データ!$F$496)</f>
        <v>71.428571428571431</v>
      </c>
    </row>
    <row r="52" spans="1:44" ht="19.5" customHeight="1">
      <c r="A52" s="1253" t="s">
        <v>677</v>
      </c>
      <c r="B52" s="1254"/>
      <c r="C52" s="968">
        <f>IF(初期登録!$B$10*12+初期登録!$D$10&lt;DI元データ!$A$497,"",DI元データ!$F$497)</f>
        <v>28.571428571428573</v>
      </c>
      <c r="D52" s="965">
        <f>IF(初期登録!$B$10*12+初期登録!$D$10&lt;DI元データ!$A$498,"",DI元データ!$F$498)</f>
        <v>28.571428571428573</v>
      </c>
      <c r="E52" s="965">
        <f>IF(初期登録!$B$10*12+初期登録!$D$10&lt;DI元データ!$A$499,"",DI元データ!$F$499)</f>
        <v>57.142857142857146</v>
      </c>
      <c r="F52" s="965">
        <f>IF(初期登録!$B$10*12+初期登録!$D$10&lt;DI元データ!$A$500,"",DI元データ!$F$500)</f>
        <v>28.571428571428573</v>
      </c>
      <c r="G52" s="965">
        <f>IF(初期登録!$B$10*12+初期登録!$D$10&lt;DI元データ!$A$501,"",DI元データ!$F$501)</f>
        <v>28.571428571428573</v>
      </c>
      <c r="H52" s="965">
        <f>IF(初期登録!$B$10*12+初期登録!$D$10&lt;DI元データ!$A$502,"",DI元データ!$F$502)</f>
        <v>42.857142857142854</v>
      </c>
      <c r="I52" s="965">
        <f>IF(初期登録!$B$10*12+初期登録!$D$10&lt;DI元データ!$A$503,"",DI元データ!$F$503)</f>
        <v>42.857142857142854</v>
      </c>
      <c r="J52" s="965">
        <f>IF(初期登録!$B$10*12+初期登録!$D$10&lt;DI元データ!$A$504,"",DI元データ!$F$504)</f>
        <v>42.857142857142854</v>
      </c>
      <c r="K52" s="965">
        <f>IF(初期登録!$B$10*12+初期登録!$D$10&lt;DI元データ!$A$505,"",DI元データ!$F$505)</f>
        <v>42.857142857142854</v>
      </c>
      <c r="L52" s="965">
        <f>IF(初期登録!$B$10*12+初期登録!$D$10&lt;DI元データ!$A$506,"",DI元データ!$F$506)</f>
        <v>57.142857142857146</v>
      </c>
      <c r="M52" s="965">
        <f>IF(初期登録!$B$10*12+初期登録!$D$10&lt;DI元データ!$A$507,"",DI元データ!$F$507)</f>
        <v>57.142857142857146</v>
      </c>
      <c r="N52" s="966">
        <f>IF(初期登録!$B$10*12+初期登録!$D$10&lt;DI元データ!$A$508,"",DI元データ!$F$508)</f>
        <v>14.285714285714286</v>
      </c>
    </row>
    <row r="53" spans="1:44" ht="19.5" customHeight="1">
      <c r="A53" s="1251" t="s">
        <v>684</v>
      </c>
      <c r="B53" s="1252"/>
      <c r="C53" s="968">
        <f>IF(初期登録!$B$10*12+初期登録!$D$10&lt;DI元データ!$A$509,"",DI元データ!$F$509)</f>
        <v>42.857142857142854</v>
      </c>
      <c r="D53" s="965">
        <f>IF(初期登録!$B$10*12+初期登録!$D$10&lt;DI元データ!$A$510,"",DI元データ!$F$510)</f>
        <v>42.857142857142854</v>
      </c>
      <c r="E53" s="962">
        <f>IF(初期登録!$B$10*12+初期登録!$D$10&lt;DI元データ!$A$511,"",DI元データ!$F$511)</f>
        <v>57.142857142857146</v>
      </c>
      <c r="F53" s="965">
        <f>IF(初期登録!$B$10*12+初期登録!$D$10&lt;DI元データ!$A$512,"",DI元データ!$F$512)</f>
        <v>85.714285714285708</v>
      </c>
      <c r="G53" s="965">
        <f>IF(初期登録!$B$10*12+初期登録!$D$10&lt;DI元データ!$A$513,"",DI元データ!$F$513)</f>
        <v>85.714285714285708</v>
      </c>
      <c r="H53" s="965">
        <f>IF(初期登録!$B$10*12+初期登録!$D$10&lt;DI元データ!$A$514,"",DI元データ!$F$514)</f>
        <v>71.428571428571431</v>
      </c>
      <c r="I53" s="965">
        <f>IF(初期登録!$B$10*12+初期登録!$D$10&lt;DI元データ!$A$515,"",DI元データ!$F$515)</f>
        <v>71.428571428571431</v>
      </c>
      <c r="J53" s="965">
        <f>IF(初期登録!$B$10*12+初期登録!$D$10&lt;DI元データ!$A$516,"",DI元データ!$F$516)</f>
        <v>28.571428571428573</v>
      </c>
      <c r="K53" s="965">
        <f>IF(初期登録!$B$10*12+初期登録!$D$10&lt;DI元データ!$A$517,"",DI元データ!$F$517)</f>
        <v>28.571428571428573</v>
      </c>
      <c r="L53" s="965">
        <f>IF(初期登録!$B$10*12+初期登録!$D$10&lt;DI元データ!$A$518,"",DI元データ!$F$518)</f>
        <v>57.142857142857146</v>
      </c>
      <c r="M53" s="965">
        <f>IF(初期登録!$B$10*12+初期登録!$D$10&lt;DI元データ!$A$519,"",DI元データ!$F$519)</f>
        <v>57.142857142857146</v>
      </c>
      <c r="N53" s="966">
        <f>IF(初期登録!$B$10*12+初期登録!$D$10&lt;DI元データ!$A$520,"",DI元データ!$F$520)</f>
        <v>57.142857142857146</v>
      </c>
    </row>
    <row r="54" spans="1:44" ht="19.5" customHeight="1">
      <c r="A54" s="1080" t="s">
        <v>687</v>
      </c>
      <c r="B54" s="1081"/>
      <c r="C54" s="968">
        <f>IF(初期登録!$B$10*12+初期登録!$D$10&lt;DI元データ!$A$521,"",DI元データ!$F$521)</f>
        <v>57.142857142857146</v>
      </c>
      <c r="D54" s="965">
        <f>IF(初期登録!$B$10*12+初期登録!$D$10&lt;DI元データ!$A$522,"",DI元データ!$F$522)</f>
        <v>57.142857142857146</v>
      </c>
      <c r="E54" s="965">
        <f>IF(初期登録!$B$10*12+初期登録!$D$10&lt;DI元データ!$A$523,"",DI元データ!$F$523)</f>
        <v>57.142857142857146</v>
      </c>
      <c r="F54" s="965">
        <f>IF(初期登録!$B$10*12+初期登録!$D$10&lt;DI元データ!$A$524,"",DI元データ!$F$524)</f>
        <v>71.428571428571431</v>
      </c>
      <c r="G54" s="965">
        <f>IF(初期登録!$B$10*12+初期登録!$D$10&lt;DI元データ!$A$525,"",DI元データ!$F$525)</f>
        <v>85.714285714285708</v>
      </c>
      <c r="H54" s="965">
        <f>IF(初期登録!$B$10*12+初期登録!$D$10&lt;DI元データ!$A$526,"",DI元データ!$F$526)</f>
        <v>57.142857142857146</v>
      </c>
      <c r="I54" s="965">
        <f>IF(初期登録!$B$10*12+初期登録!$D$10&lt;DI元データ!$A$527,"",DI元データ!$F$527)</f>
        <v>85.714285714285708</v>
      </c>
      <c r="J54" s="965">
        <f>IF(初期登録!$B$10*12+初期登録!$D$10&lt;DI元データ!$A$528,"",DI元データ!$F$528)</f>
        <v>85.714285714285708</v>
      </c>
      <c r="K54" s="965">
        <f>IF(初期登録!$B$10*12+初期登録!$D$10&lt;DI元データ!$A$529,"",DI元データ!$F$529)</f>
        <v>85.714285714285708</v>
      </c>
      <c r="L54" s="965">
        <f>IF(初期登録!$B$10*12+初期登録!$D$10&lt;DI元データ!$A$530,"",DI元データ!$F$530)</f>
        <v>50</v>
      </c>
      <c r="M54" s="965">
        <f>IF(初期登録!$B$10*12+初期登録!$D$10&lt;DI元データ!$A$531,"",DI元データ!$F$531)</f>
        <v>71.428571428571431</v>
      </c>
      <c r="N54" s="966">
        <f>IF(初期登録!$B$10*12+初期登録!$D$10&lt;DI元データ!$A$532,"",DI元データ!$F$532)</f>
        <v>42.857142857142854</v>
      </c>
    </row>
    <row r="55" spans="1:44" ht="19.5" customHeight="1">
      <c r="A55" s="1080" t="s">
        <v>696</v>
      </c>
      <c r="B55" s="1081"/>
      <c r="C55" s="1053">
        <f>IF(初期登録!$B$10*12+初期登録!$D$10&lt;DI元データ!$A$533,"",DI元データ!$F$533)</f>
        <v>85.714285714285708</v>
      </c>
      <c r="D55" s="962">
        <f>IF(初期登録!$B$10*12+初期登録!$D$10&lt;DI元データ!$A$534,"",DI元データ!$F$534)</f>
        <v>57.142857142857146</v>
      </c>
      <c r="E55" s="962">
        <f>IF(初期登録!$B$10*12+初期登録!$D$10&lt;DI元データ!$A535,"",DI元データ!$F535)</f>
        <v>57.142857142857146</v>
      </c>
      <c r="F55" s="962">
        <f>IF(初期登録!$B$10*12+初期登録!$D$10&lt;DI元データ!$A$536,"",DI元データ!$F$536)</f>
        <v>57.142857142857146</v>
      </c>
      <c r="G55" s="962">
        <f>IF(初期登録!$B$10*12+初期登録!$D$10&lt;DI元データ!$A$537,"",DI元データ!$F$537)</f>
        <v>14.285714285714286</v>
      </c>
      <c r="H55" s="962">
        <f>IF(初期登録!$B$10*12+初期登録!$D$10&lt;DI元データ!$A$538,"",DI元データ!$F$538)</f>
        <v>14.285714285714286</v>
      </c>
      <c r="I55" s="962">
        <f>IF(初期登録!$B$10*12+初期登録!$D$10&lt;DI元データ!$A$539,"",DI元データ!$F$539)</f>
        <v>35.714285714285715</v>
      </c>
      <c r="J55" s="962">
        <f>IF(初期登録!$B$10*12+初期登録!$D$10&lt;DI元データ!$A$540,"",DI元データ!$F$540)</f>
        <v>71.428571428571431</v>
      </c>
      <c r="K55" s="962">
        <f>IF(初期登録!$B$10*12+初期登録!$D$10&lt;DI元データ!$A$541,"",DI元データ!$F$541)</f>
        <v>78.571428571428569</v>
      </c>
      <c r="L55" s="962">
        <f>IF(初期登録!$B$10*12+初期登録!$D$10&lt;DI元データ!$A$542,"",DI元データ!$F$542)</f>
        <v>92.857142857142861</v>
      </c>
      <c r="M55" s="962">
        <f>IF(初期登録!$B$10*12+初期登録!$D$10&lt;DI元データ!$A$543,"",DI元データ!$F$543)</f>
        <v>71.428571428571431</v>
      </c>
      <c r="N55" s="963">
        <f>IF(初期登録!$B$10*12+初期登録!$D$10&lt;DI元データ!$A$544,"",DI元データ!$F$544)</f>
        <v>85.714285714285708</v>
      </c>
    </row>
    <row r="56" spans="1:44" ht="19.5" customHeight="1">
      <c r="A56" s="1080" t="s">
        <v>699</v>
      </c>
      <c r="B56" s="1081"/>
      <c r="C56" s="964">
        <f>IF(初期登録!$B$10*12+初期登録!$D$10&lt;DI元データ!$A545,"",DI元データ!$F545)</f>
        <v>28.571428571428573</v>
      </c>
      <c r="D56" s="965">
        <f>IF(初期登録!$B$10*12+初期登録!$D$10&lt;DI元データ!$A546,"",DI元データ!$F546)</f>
        <v>42.857142857142854</v>
      </c>
      <c r="E56" s="965">
        <f>IF(初期登録!$B$10*12+初期登録!$D$10&lt;DI元データ!$A547,"",DI元データ!$F547)</f>
        <v>28.571428571428573</v>
      </c>
      <c r="F56" s="965">
        <f>IF(初期登録!$B$10*12+初期登録!$D$10&lt;DI元データ!$A548,"",DI元データ!$F548)</f>
        <v>28.571428571428573</v>
      </c>
      <c r="G56" s="965">
        <f>IF(初期登録!$B$10*12+初期登録!$D$10&lt;DI元データ!$A549,"",DI元データ!$F549)</f>
        <v>28.571428571428573</v>
      </c>
      <c r="H56" s="965">
        <f>IF(初期登録!$B$10*12+初期登録!$D$10&lt;DI元データ!$A550,"",DI元データ!$F550)</f>
        <v>85.714285714285708</v>
      </c>
      <c r="I56" s="965">
        <f>IF(初期登録!$B$10*12+初期登録!$D$10&lt;DI元データ!$A551,"",DI元データ!$F551)</f>
        <v>28.571428571428573</v>
      </c>
      <c r="J56" s="965">
        <f>IF(初期登録!$B$10*12+初期登録!$D$10&lt;DI元データ!$A552,"",DI元データ!$F552)</f>
        <v>57.142857142857146</v>
      </c>
      <c r="K56" s="965">
        <f>IF(初期登録!$B$10*12+初期登録!$D$10&lt;DI元データ!$A553,"",DI元データ!$F553)</f>
        <v>57.142857142857146</v>
      </c>
      <c r="L56" s="965">
        <f>IF(初期登録!$B$10*12+初期登録!$D$10&lt;DI元データ!$A554,"",DI元データ!$F554)</f>
        <v>57.142857142857146</v>
      </c>
      <c r="M56" s="965">
        <f>IF(初期登録!$B$10*12+初期登録!$D$10&lt;DI元データ!$A555,"",DI元データ!$F555)</f>
        <v>71.428571428571431</v>
      </c>
      <c r="N56" s="966">
        <f>IF(初期登録!$B$10*12+初期登録!$D$10&lt;DI元データ!$A556,"",DI元データ!$F556)</f>
        <v>85.714285714285708</v>
      </c>
    </row>
    <row r="57" spans="1:44" ht="19.5" customHeight="1">
      <c r="A57" s="1080" t="s">
        <v>819</v>
      </c>
      <c r="B57" s="1081"/>
      <c r="C57" s="964">
        <f>IF(初期登録!$B$10*12+初期登録!$D$10&lt;DI元データ!$A557,"",DI元データ!$F557)</f>
        <v>42.857142857142854</v>
      </c>
      <c r="D57" s="965">
        <f>IF(初期登録!$B$10*12+初期登録!$D$10&lt;DI元データ!$A558,"",DI元データ!$F558)</f>
        <v>85.714285714285708</v>
      </c>
      <c r="E57" s="965">
        <f>IF(初期登録!$B$10*12+初期登録!$D$10&lt;DI元データ!$A559,"",DI元データ!$F559)</f>
        <v>42.857142857142854</v>
      </c>
      <c r="F57" s="965">
        <f>IF(初期登録!$B$10*12+初期登録!$D$10&lt;DI元データ!$A560,"",DI元データ!$F560)</f>
        <v>28.571428571428573</v>
      </c>
      <c r="G57" s="965">
        <f>IF(初期登録!$B$10*12+初期登録!$D$10&lt;DI元データ!$A561,"",DI元データ!$F561)</f>
        <v>21.428571428571427</v>
      </c>
      <c r="H57" s="965">
        <f>IF(初期登録!$B$10*12+初期登録!$D$10&lt;DI元データ!$A562,"",DI元データ!$F562)</f>
        <v>7.1428571428571432</v>
      </c>
      <c r="I57" s="965">
        <f>IF(初期登録!$B$10*12+初期登録!$D$10&lt;DI元データ!$A563,"",DI元データ!$F563)</f>
        <v>42.857142857142854</v>
      </c>
      <c r="J57" s="965">
        <f>IF(初期登録!$B$10*12+初期登録!$D$10&lt;DI元データ!$A564,"",DI元データ!$F564)</f>
        <v>14.285714285714286</v>
      </c>
      <c r="K57" s="965">
        <f>IF(初期登録!$B$10*12+初期登録!$D$10&lt;DI元データ!$A565,"",DI元データ!$F565)</f>
        <v>42.857142857142854</v>
      </c>
      <c r="L57" s="965">
        <f>IF(初期登録!$B$10*12+初期登録!$D$10&lt;DI元データ!$A566,"",DI元データ!$F566)</f>
        <v>57.142857142857146</v>
      </c>
      <c r="M57" s="965">
        <f>IF(初期登録!$B$10*12+初期登録!$D$10&lt;DI元データ!$A567,"",DI元データ!$F567)</f>
        <v>57.142857142857146</v>
      </c>
      <c r="N57" s="966">
        <f>IF(初期登録!$B$10*12+初期登録!$D$10&lt;DI元データ!$A568,"",DI元データ!$F568)</f>
        <v>57.142857142857146</v>
      </c>
    </row>
    <row r="58" spans="1:44" ht="19.5" customHeight="1">
      <c r="A58" s="1077" t="s">
        <v>822</v>
      </c>
      <c r="B58" s="1078"/>
      <c r="C58" s="1061">
        <f>IF(初期登録!$B$10*12+初期登録!$D$10&lt;DI元データ!$A569,"",DI元データ!$F569)</f>
        <v>35.714285714285715</v>
      </c>
      <c r="D58" s="967">
        <f>IF(初期登録!$B$10*12+初期登録!$D$10&lt;DI元データ!$A570,"",DI元データ!$F570)</f>
        <v>28.571428571428573</v>
      </c>
      <c r="E58" s="967">
        <f>IF(初期登録!$B$10*12+初期登録!$D$10&lt;DI元データ!$A571,"",DI元データ!$F571)</f>
        <v>14.285714285714286</v>
      </c>
      <c r="F58" s="967"/>
      <c r="G58" s="967"/>
      <c r="H58" s="967"/>
      <c r="I58" s="967"/>
      <c r="J58" s="967"/>
      <c r="K58" s="967"/>
      <c r="L58" s="967"/>
      <c r="M58" s="967"/>
      <c r="N58" s="1079"/>
    </row>
    <row r="59" spans="1:44" ht="5.25" customHeight="1">
      <c r="B59" s="622"/>
      <c r="C59" s="1086"/>
      <c r="D59" s="1086"/>
      <c r="E59" s="1086"/>
      <c r="F59" s="219"/>
      <c r="G59" s="219"/>
      <c r="H59" s="219"/>
      <c r="I59" s="219"/>
      <c r="J59" s="219"/>
      <c r="K59" s="1086"/>
      <c r="L59" s="1086"/>
      <c r="M59" s="1086"/>
      <c r="N59" s="1086"/>
    </row>
    <row r="60" spans="1:44" s="1244" customFormat="1">
      <c r="A60" s="1240"/>
      <c r="B60" s="1241" t="s">
        <v>378</v>
      </c>
      <c r="C60" s="1242" t="s">
        <v>550</v>
      </c>
      <c r="D60" s="1242"/>
      <c r="E60" s="1243"/>
      <c r="F60" s="1243"/>
      <c r="G60" s="1243"/>
      <c r="H60" s="1243"/>
      <c r="I60" s="1243"/>
      <c r="J60" s="1243"/>
      <c r="K60" s="1243"/>
      <c r="L60" s="1243"/>
      <c r="M60" s="1243"/>
      <c r="N60" s="1243"/>
      <c r="O60" s="790"/>
      <c r="P60" s="790"/>
      <c r="Q60" s="790"/>
      <c r="R60" s="790"/>
      <c r="S60" s="790"/>
      <c r="T60" s="790"/>
      <c r="U60" s="790"/>
      <c r="V60" s="790"/>
      <c r="W60" s="790"/>
      <c r="X60" s="790"/>
      <c r="Y60" s="790"/>
      <c r="Z60" s="790"/>
      <c r="AA60" s="790"/>
      <c r="AB60" s="790"/>
      <c r="AC60" s="790"/>
      <c r="AD60" s="790"/>
      <c r="AE60" s="790"/>
      <c r="AF60" s="790"/>
      <c r="AG60" s="790"/>
      <c r="AH60" s="790"/>
      <c r="AI60" s="790"/>
      <c r="AJ60" s="790"/>
      <c r="AK60" s="790"/>
      <c r="AL60" s="790"/>
      <c r="AM60" s="790"/>
      <c r="AN60" s="790"/>
      <c r="AO60" s="790"/>
      <c r="AP60" s="790"/>
      <c r="AQ60" s="790"/>
      <c r="AR60" s="790"/>
    </row>
  </sheetData>
  <customSheetViews>
    <customSheetView guid="{7EBA91D6-F088-446F-A1CC-E1462A1CA2C3}" scale="60" showPageBreaks="1" showGridLines="0" printArea="1" hiddenRows="1" view="pageBreakPreview" showRuler="0">
      <selection activeCell="I40" sqref="I40"/>
      <pageMargins left="1.05" right="0.4" top="0.69" bottom="0.57999999999999996" header="0.31" footer="0.39"/>
      <pageSetup paperSize="9" scale="80" orientation="portrait" r:id="rId1"/>
      <headerFooter alignWithMargins="0">
        <oddFooter>&amp;C-12-</oddFooter>
      </headerFooter>
    </customSheetView>
    <customSheetView guid="{883B7A2B-3CB3-449D-A461-655262B722BC}" scale="60" showPageBreaks="1" showGridLines="0" printArea="1" hiddenRows="1" view="pageBreakPreview" showRuler="0">
      <selection activeCell="I40" sqref="I40"/>
      <pageMargins left="1.05" right="0.4" top="0.69" bottom="0.57999999999999996" header="0.31" footer="0.39"/>
      <pageSetup paperSize="9" scale="80" orientation="portrait" r:id="rId2"/>
      <headerFooter alignWithMargins="0">
        <oddFooter>&amp;C-12-</oddFooter>
      </headerFooter>
    </customSheetView>
  </customSheetViews>
  <mergeCells count="51">
    <mergeCell ref="N42:N43"/>
    <mergeCell ref="L42:L43"/>
    <mergeCell ref="M42:M43"/>
    <mergeCell ref="I42:I43"/>
    <mergeCell ref="I23:I24"/>
    <mergeCell ref="J42:J43"/>
    <mergeCell ref="M23:M24"/>
    <mergeCell ref="N23:N24"/>
    <mergeCell ref="K23:K24"/>
    <mergeCell ref="J23:J24"/>
    <mergeCell ref="L23:L24"/>
    <mergeCell ref="N4:N5"/>
    <mergeCell ref="J4:J5"/>
    <mergeCell ref="K4:K5"/>
    <mergeCell ref="L4:L5"/>
    <mergeCell ref="M4:M5"/>
    <mergeCell ref="F4:F5"/>
    <mergeCell ref="E42:E43"/>
    <mergeCell ref="F42:F43"/>
    <mergeCell ref="K42:K43"/>
    <mergeCell ref="G4:G5"/>
    <mergeCell ref="H4:H5"/>
    <mergeCell ref="I4:I5"/>
    <mergeCell ref="H42:H43"/>
    <mergeCell ref="H23:H24"/>
    <mergeCell ref="A8:B8"/>
    <mergeCell ref="F23:F24"/>
    <mergeCell ref="A16:B16"/>
    <mergeCell ref="D23:D24"/>
    <mergeCell ref="A3:D3"/>
    <mergeCell ref="A22:D22"/>
    <mergeCell ref="C4:C5"/>
    <mergeCell ref="D4:D5"/>
    <mergeCell ref="A9:B9"/>
    <mergeCell ref="A10:B10"/>
    <mergeCell ref="A14:B14"/>
    <mergeCell ref="A11:B11"/>
    <mergeCell ref="A12:B12"/>
    <mergeCell ref="A6:B6"/>
    <mergeCell ref="A7:B7"/>
    <mergeCell ref="E4:E5"/>
    <mergeCell ref="C42:C43"/>
    <mergeCell ref="G23:G24"/>
    <mergeCell ref="A41:D41"/>
    <mergeCell ref="A13:B13"/>
    <mergeCell ref="G42:G43"/>
    <mergeCell ref="A15:B15"/>
    <mergeCell ref="A17:B17"/>
    <mergeCell ref="E23:E24"/>
    <mergeCell ref="D42:D43"/>
    <mergeCell ref="C23:C24"/>
  </mergeCells>
  <phoneticPr fontId="3"/>
  <pageMargins left="0.78740157480314965" right="0.39370078740157483" top="0.59055118110236227" bottom="0.59055118110236227" header="0.39370078740157483" footer="0.39370078740157483"/>
  <pageSetup paperSize="9" scale="70" orientation="portrait" horizontalDpi="300" verticalDpi="300" r:id="rId3"/>
  <headerFooter alignWithMargins="0">
    <oddFooter>&amp;C&amp;10-12-</oddFooter>
  </headerFooter>
  <rowBreaks count="1" manualBreakCount="1">
    <brk id="33" max="14" man="1"/>
  </rowBreaks>
  <colBreaks count="1" manualBreakCount="1">
    <brk id="13" max="6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B1:G40"/>
  <sheetViews>
    <sheetView view="pageBreakPreview" zoomScaleNormal="100" zoomScaleSheetLayoutView="100" workbookViewId="0">
      <selection activeCell="B18" sqref="A15:I25"/>
    </sheetView>
  </sheetViews>
  <sheetFormatPr defaultColWidth="8" defaultRowHeight="13.5"/>
  <cols>
    <col min="1" max="1" width="8" style="211" customWidth="1"/>
    <col min="2" max="2" width="6.5" style="211" customWidth="1"/>
    <col min="3" max="14" width="8.125" style="211" customWidth="1"/>
    <col min="15" max="15" width="8" style="211" customWidth="1"/>
    <col min="16" max="16384" width="8" style="211"/>
  </cols>
  <sheetData>
    <row r="1" spans="2:7" ht="26.25" customHeight="1"/>
    <row r="2" spans="2:7" ht="15" customHeight="1"/>
    <row r="3" spans="2:7" ht="15" customHeight="1"/>
    <row r="4" spans="2:7" ht="15" customHeight="1"/>
    <row r="5" spans="2:7" ht="15" customHeight="1"/>
    <row r="6" spans="2:7" ht="15" customHeight="1"/>
    <row r="7" spans="2:7" ht="15" customHeight="1"/>
    <row r="8" spans="2:7" ht="15" customHeight="1">
      <c r="G8" s="211" t="s">
        <v>102</v>
      </c>
    </row>
    <row r="9" spans="2:7" ht="15" customHeight="1">
      <c r="B9" s="1335"/>
    </row>
    <row r="10" spans="2:7" ht="15" customHeight="1"/>
    <row r="11" spans="2:7" ht="15" customHeight="1"/>
    <row r="12" spans="2:7" ht="15" customHeight="1"/>
    <row r="13" spans="2:7" ht="15" customHeight="1"/>
    <row r="14" spans="2:7" ht="15" customHeight="1"/>
    <row r="15" spans="2:7" ht="15" customHeight="1"/>
    <row r="16" spans="2:7" ht="15" customHeight="1"/>
    <row r="17" spans="3:3" ht="15" customHeight="1"/>
    <row r="18" spans="3:3" ht="15" customHeight="1">
      <c r="C18" s="272"/>
    </row>
    <row r="19" spans="3:3" ht="15" customHeight="1"/>
    <row r="20" spans="3:3" ht="15" customHeight="1"/>
    <row r="21" spans="3:3" ht="15" customHeight="1"/>
    <row r="22" spans="3:3" ht="15" customHeight="1"/>
    <row r="23" spans="3:3" ht="15" customHeight="1"/>
    <row r="24" spans="3:3" ht="15" customHeight="1"/>
    <row r="25" spans="3:3" ht="15" customHeight="1"/>
    <row r="26" spans="3:3" ht="15" customHeight="1"/>
    <row r="27" spans="3:3" ht="15" customHeight="1"/>
    <row r="28" spans="3:3" ht="15" customHeight="1"/>
    <row r="29" spans="3:3" ht="15" customHeight="1"/>
    <row r="30" spans="3:3" ht="15" customHeight="1"/>
    <row r="31" spans="3:3" ht="15" customHeight="1"/>
    <row r="32" spans="3:3" ht="15" customHeight="1"/>
    <row r="33" ht="15" customHeight="1"/>
    <row r="34" ht="15" customHeight="1"/>
    <row r="35" ht="15" customHeight="1"/>
    <row r="36" ht="15" customHeight="1"/>
    <row r="37" ht="15" customHeight="1"/>
    <row r="38" ht="15" customHeight="1"/>
    <row r="39" ht="15" customHeight="1"/>
    <row r="40" ht="15" customHeight="1"/>
  </sheetData>
  <customSheetViews>
    <customSheetView guid="{7EBA91D6-F088-446F-A1CC-E1462A1CA2C3}" scale="75" showPageBreaks="1" showGridLines="0" view="pageBreakPreview" showRuler="0" topLeftCell="A6">
      <selection activeCell="P32" sqref="P32"/>
      <pageMargins left="0.51181102362204722" right="0.23622047244094491" top="0.59055118110236227" bottom="0.35433070866141736" header="0.51181102362204722" footer="0.19685039370078741"/>
      <printOptions horizontalCentered="1"/>
      <pageSetup paperSize="9" orientation="landscape" r:id="rId1"/>
      <headerFooter alignWithMargins="0"/>
    </customSheetView>
    <customSheetView guid="{883B7A2B-3CB3-449D-A461-655262B722BC}" scale="75" showPageBreaks="1" showGridLines="0" view="pageBreakPreview" showRuler="0" topLeftCell="A6">
      <selection activeCell="P32" sqref="P32"/>
      <pageMargins left="0.51181102362204722" right="0.23622047244094491" top="0.59055118110236227" bottom="0.35433070866141736" header="0.51181102362204722" footer="0.19685039370078741"/>
      <printOptions horizontalCentered="1"/>
      <pageSetup paperSize="9" orientation="landscape" r:id="rId2"/>
      <headerFooter alignWithMargins="0"/>
    </customSheetView>
  </customSheetViews>
  <phoneticPr fontId="3"/>
  <printOptions horizontalCentered="1"/>
  <pageMargins left="0.23622047244094491" right="0.59055118110236227" top="0.39370078740157483" bottom="0.19685039370078741" header="0.39370078740157483" footer="0.19685039370078741"/>
  <pageSetup paperSize="9" scale="99" orientation="landscape" horizontalDpi="300" verticalDpi="300" r:id="rId3"/>
  <headerFooter alignWithMargins="0"/>
  <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52"/>
  <sheetViews>
    <sheetView view="pageBreakPreview" topLeftCell="A8" zoomScaleNormal="100" zoomScaleSheetLayoutView="100" workbookViewId="0">
      <selection activeCell="J36" sqref="J36"/>
    </sheetView>
  </sheetViews>
  <sheetFormatPr defaultColWidth="9" defaultRowHeight="13.5"/>
  <cols>
    <col min="1" max="9" width="9" style="1142"/>
    <col min="10" max="10" width="20.25" style="1142" customWidth="1"/>
    <col min="11" max="16384" width="9" style="1142"/>
  </cols>
  <sheetData>
    <row r="1" spans="1:11">
      <c r="A1" s="278"/>
      <c r="B1" s="278"/>
      <c r="C1" s="278"/>
      <c r="D1" s="278"/>
      <c r="E1" s="278"/>
      <c r="F1" s="278"/>
      <c r="G1" s="278"/>
      <c r="H1" s="278"/>
      <c r="I1" s="278"/>
      <c r="J1" s="278"/>
      <c r="K1" s="278"/>
    </row>
    <row r="2" spans="1:11" ht="17.25">
      <c r="A2" s="985" t="s">
        <v>251</v>
      </c>
      <c r="B2" s="986"/>
      <c r="C2" s="986"/>
      <c r="D2" s="986"/>
      <c r="E2" s="296"/>
      <c r="F2" s="296"/>
      <c r="G2" s="296"/>
      <c r="H2" s="296"/>
      <c r="I2" s="296"/>
      <c r="J2" s="296"/>
      <c r="K2" s="263"/>
    </row>
    <row r="3" spans="1:11">
      <c r="A3" s="296"/>
      <c r="B3" s="296"/>
      <c r="C3" s="296"/>
      <c r="D3" s="296"/>
      <c r="E3" s="296"/>
      <c r="F3" s="296"/>
      <c r="G3" s="296"/>
      <c r="H3" s="296"/>
      <c r="I3" s="296"/>
      <c r="J3" s="296"/>
      <c r="K3" s="263"/>
    </row>
    <row r="4" spans="1:11" ht="15" customHeight="1">
      <c r="A4" s="987" t="s">
        <v>247</v>
      </c>
      <c r="B4" s="267"/>
      <c r="C4" s="267"/>
      <c r="D4" s="267"/>
      <c r="E4" s="267"/>
      <c r="F4" s="267"/>
      <c r="G4" s="267"/>
      <c r="H4" s="267"/>
      <c r="I4" s="267"/>
      <c r="J4" s="267"/>
      <c r="K4" s="278"/>
    </row>
    <row r="5" spans="1:11">
      <c r="A5" s="267" t="s">
        <v>457</v>
      </c>
      <c r="B5" s="1143"/>
      <c r="C5" s="1143"/>
      <c r="D5" s="1143"/>
      <c r="E5" s="1143"/>
      <c r="F5" s="1143"/>
      <c r="G5" s="1143"/>
      <c r="H5" s="1143"/>
      <c r="I5" s="1143"/>
      <c r="J5" s="1143"/>
      <c r="K5" s="278"/>
    </row>
    <row r="6" spans="1:11">
      <c r="A6" s="1143" t="s">
        <v>456</v>
      </c>
      <c r="B6" s="1143"/>
      <c r="C6" s="1143"/>
      <c r="D6" s="1143"/>
      <c r="E6" s="1143"/>
      <c r="F6" s="1143"/>
      <c r="G6" s="1143"/>
      <c r="H6" s="1143"/>
      <c r="I6" s="1143"/>
      <c r="J6" s="1143"/>
      <c r="K6" s="278"/>
    </row>
    <row r="7" spans="1:11">
      <c r="A7" s="1143" t="s">
        <v>61</v>
      </c>
      <c r="B7" s="1143"/>
      <c r="C7" s="1143"/>
      <c r="D7" s="1143"/>
      <c r="E7" s="1143"/>
      <c r="F7" s="1143"/>
      <c r="G7" s="1143"/>
      <c r="H7" s="1143"/>
      <c r="I7" s="1143"/>
      <c r="J7" s="1143"/>
      <c r="K7" s="278"/>
    </row>
    <row r="8" spans="1:11">
      <c r="A8" s="1143" t="s">
        <v>401</v>
      </c>
      <c r="B8" s="1143"/>
      <c r="C8" s="1143"/>
      <c r="D8" s="1143"/>
      <c r="E8" s="1143"/>
      <c r="F8" s="1143"/>
      <c r="G8" s="1143"/>
      <c r="H8" s="1143"/>
      <c r="I8" s="1143"/>
      <c r="J8" s="1143"/>
      <c r="K8" s="278"/>
    </row>
    <row r="9" spans="1:11">
      <c r="A9" s="1143" t="s">
        <v>402</v>
      </c>
      <c r="B9" s="1336"/>
      <c r="C9" s="1143"/>
      <c r="D9" s="1143"/>
      <c r="E9" s="1143"/>
      <c r="F9" s="1143"/>
      <c r="G9" s="1143"/>
      <c r="H9" s="1143"/>
      <c r="I9" s="1143"/>
      <c r="J9" s="1143"/>
      <c r="K9" s="278"/>
    </row>
    <row r="10" spans="1:11">
      <c r="A10" s="276"/>
      <c r="B10" s="276"/>
      <c r="C10" s="276"/>
      <c r="D10" s="276"/>
      <c r="E10" s="276"/>
      <c r="F10" s="276"/>
      <c r="G10" s="276"/>
      <c r="H10" s="276"/>
      <c r="I10" s="276"/>
      <c r="J10" s="276"/>
      <c r="K10" s="278"/>
    </row>
    <row r="11" spans="1:11">
      <c r="A11" s="987" t="s">
        <v>59</v>
      </c>
      <c r="B11" s="267"/>
      <c r="C11" s="267"/>
      <c r="D11" s="267"/>
      <c r="E11" s="267"/>
      <c r="F11" s="267"/>
      <c r="G11" s="267"/>
      <c r="H11" s="267"/>
      <c r="I11" s="267"/>
      <c r="J11" s="267"/>
      <c r="K11" s="278"/>
    </row>
    <row r="12" spans="1:11">
      <c r="A12" s="1616" t="s">
        <v>20</v>
      </c>
      <c r="B12" s="1616"/>
      <c r="C12" s="276"/>
      <c r="D12" s="276"/>
      <c r="E12" s="276"/>
      <c r="F12" s="276"/>
      <c r="G12" s="276"/>
      <c r="H12" s="276"/>
      <c r="I12" s="276"/>
      <c r="J12" s="276"/>
      <c r="K12" s="274"/>
    </row>
    <row r="13" spans="1:11">
      <c r="A13" s="1143" t="s">
        <v>24</v>
      </c>
      <c r="B13" s="276"/>
      <c r="C13" s="276"/>
      <c r="D13" s="276"/>
      <c r="E13" s="276"/>
      <c r="F13" s="276"/>
      <c r="G13" s="276"/>
      <c r="H13" s="276"/>
      <c r="I13" s="276"/>
      <c r="J13" s="1144"/>
      <c r="K13" s="278"/>
    </row>
    <row r="14" spans="1:11">
      <c r="A14" s="1143" t="s">
        <v>25</v>
      </c>
      <c r="B14" s="276"/>
      <c r="C14" s="276"/>
      <c r="D14" s="276"/>
      <c r="E14" s="276"/>
      <c r="F14" s="276"/>
      <c r="G14" s="276"/>
      <c r="H14" s="276"/>
      <c r="I14" s="276"/>
      <c r="J14" s="1144"/>
      <c r="K14" s="278"/>
    </row>
    <row r="15" spans="1:11">
      <c r="A15" s="1143"/>
      <c r="B15" s="276"/>
      <c r="C15" s="276"/>
      <c r="D15" s="276"/>
      <c r="E15" s="276"/>
      <c r="F15" s="276"/>
      <c r="G15" s="276"/>
      <c r="H15" s="276"/>
      <c r="I15" s="276"/>
      <c r="J15" s="1144"/>
      <c r="K15" s="278"/>
    </row>
    <row r="16" spans="1:11">
      <c r="A16" s="267" t="s">
        <v>21</v>
      </c>
      <c r="B16" s="267"/>
      <c r="C16" s="267"/>
      <c r="D16" s="267"/>
      <c r="E16" s="267"/>
      <c r="F16" s="267"/>
      <c r="G16" s="267"/>
      <c r="H16" s="267"/>
      <c r="I16" s="267"/>
      <c r="J16" s="267"/>
      <c r="K16" s="275"/>
    </row>
    <row r="17" spans="1:11">
      <c r="A17" s="267" t="s">
        <v>26</v>
      </c>
      <c r="B17" s="276"/>
      <c r="C17" s="276"/>
      <c r="D17" s="276"/>
      <c r="E17" s="276"/>
      <c r="F17" s="276"/>
      <c r="G17" s="276"/>
      <c r="H17" s="276"/>
      <c r="I17" s="276"/>
      <c r="J17" s="276"/>
      <c r="K17" s="273"/>
    </row>
    <row r="18" spans="1:11">
      <c r="A18" s="1138" t="s">
        <v>763</v>
      </c>
      <c r="B18" s="276"/>
      <c r="C18" s="276"/>
      <c r="D18" s="276"/>
      <c r="E18" s="276"/>
      <c r="F18" s="276"/>
      <c r="G18" s="276"/>
      <c r="H18" s="276"/>
      <c r="I18" s="276"/>
      <c r="J18" s="276"/>
      <c r="K18" s="273"/>
    </row>
    <row r="19" spans="1:11">
      <c r="A19" s="1138" t="s">
        <v>747</v>
      </c>
      <c r="B19" s="276"/>
      <c r="C19" s="276"/>
      <c r="D19" s="276"/>
      <c r="E19" s="276"/>
      <c r="F19" s="276"/>
      <c r="G19" s="276"/>
      <c r="H19" s="276"/>
      <c r="I19" s="276"/>
      <c r="J19" s="276"/>
      <c r="K19" s="273"/>
    </row>
    <row r="20" spans="1:11">
      <c r="A20" s="267"/>
      <c r="B20" s="276"/>
      <c r="C20" s="276"/>
      <c r="D20" s="276"/>
      <c r="E20" s="276"/>
      <c r="F20" s="276"/>
      <c r="G20" s="276"/>
      <c r="H20" s="276"/>
      <c r="I20" s="276"/>
      <c r="J20" s="276"/>
      <c r="K20" s="273"/>
    </row>
    <row r="21" spans="1:11">
      <c r="A21" s="267" t="s">
        <v>22</v>
      </c>
      <c r="B21" s="276"/>
      <c r="C21" s="276"/>
      <c r="D21" s="276"/>
      <c r="E21" s="276"/>
      <c r="F21" s="276"/>
      <c r="G21" s="276"/>
      <c r="H21" s="276"/>
      <c r="I21" s="276"/>
      <c r="J21" s="276"/>
      <c r="K21" s="276"/>
    </row>
    <row r="22" spans="1:11">
      <c r="A22" s="267" t="s">
        <v>30</v>
      </c>
      <c r="B22" s="276"/>
      <c r="C22" s="276"/>
      <c r="D22" s="276"/>
      <c r="E22" s="276"/>
      <c r="F22" s="276"/>
      <c r="G22" s="276"/>
      <c r="H22" s="276"/>
      <c r="I22" s="276"/>
      <c r="J22" s="276"/>
      <c r="K22" s="273"/>
    </row>
    <row r="23" spans="1:11">
      <c r="A23" s="267" t="s">
        <v>31</v>
      </c>
      <c r="B23" s="276"/>
      <c r="C23" s="276"/>
      <c r="D23" s="276"/>
      <c r="E23" s="276"/>
      <c r="F23" s="276"/>
      <c r="G23" s="276"/>
      <c r="H23" s="276"/>
      <c r="I23" s="276"/>
      <c r="J23" s="276"/>
      <c r="K23" s="273"/>
    </row>
    <row r="24" spans="1:11">
      <c r="A24" s="267" t="s">
        <v>32</v>
      </c>
      <c r="B24" s="276"/>
      <c r="C24" s="276"/>
      <c r="D24" s="276"/>
      <c r="E24" s="276"/>
      <c r="F24" s="276"/>
      <c r="G24" s="276"/>
      <c r="H24" s="276"/>
      <c r="I24" s="276"/>
      <c r="J24" s="276"/>
      <c r="K24" s="273"/>
    </row>
    <row r="25" spans="1:11">
      <c r="A25" s="267" t="s">
        <v>33</v>
      </c>
      <c r="B25" s="276"/>
      <c r="C25" s="276"/>
      <c r="D25" s="276"/>
      <c r="E25" s="276"/>
      <c r="F25" s="276"/>
      <c r="G25" s="276"/>
      <c r="H25" s="276"/>
      <c r="I25" s="276"/>
      <c r="J25" s="276"/>
      <c r="K25" s="273"/>
    </row>
    <row r="26" spans="1:11">
      <c r="A26" s="267" t="s">
        <v>27</v>
      </c>
      <c r="B26" s="276"/>
      <c r="C26" s="276"/>
      <c r="D26" s="276"/>
      <c r="E26" s="276"/>
      <c r="F26" s="276"/>
      <c r="G26" s="276"/>
      <c r="H26" s="276"/>
      <c r="I26" s="276"/>
      <c r="J26" s="276"/>
      <c r="K26" s="273"/>
    </row>
    <row r="27" spans="1:11">
      <c r="A27" s="267" t="s">
        <v>28</v>
      </c>
      <c r="B27" s="276"/>
      <c r="C27" s="276"/>
      <c r="D27" s="276"/>
      <c r="E27" s="276"/>
      <c r="F27" s="276"/>
      <c r="G27" s="276"/>
      <c r="H27" s="276"/>
      <c r="I27" s="276"/>
      <c r="J27" s="276"/>
      <c r="K27" s="273"/>
    </row>
    <row r="28" spans="1:11">
      <c r="A28" s="267" t="s">
        <v>29</v>
      </c>
      <c r="B28" s="276"/>
      <c r="C28" s="276"/>
      <c r="D28" s="276"/>
      <c r="E28" s="276"/>
      <c r="F28" s="276"/>
      <c r="G28" s="276"/>
      <c r="H28" s="276"/>
      <c r="I28" s="276"/>
      <c r="J28" s="276"/>
      <c r="K28" s="273"/>
    </row>
    <row r="29" spans="1:11">
      <c r="A29" s="267" t="s">
        <v>644</v>
      </c>
      <c r="B29" s="276"/>
      <c r="C29" s="276"/>
      <c r="D29" s="276"/>
      <c r="E29" s="276"/>
      <c r="F29" s="276"/>
      <c r="G29" s="276"/>
      <c r="H29" s="276"/>
      <c r="I29" s="276"/>
      <c r="J29" s="276"/>
      <c r="K29" s="273"/>
    </row>
    <row r="30" spans="1:11">
      <c r="A30" s="267"/>
      <c r="B30" s="276"/>
      <c r="C30" s="276"/>
      <c r="D30" s="276"/>
      <c r="E30" s="276"/>
      <c r="F30" s="276"/>
      <c r="G30" s="276"/>
      <c r="H30" s="276"/>
      <c r="I30" s="276"/>
      <c r="J30" s="276"/>
      <c r="K30" s="273"/>
    </row>
    <row r="31" spans="1:11">
      <c r="A31" s="987" t="s">
        <v>60</v>
      </c>
      <c r="B31" s="296"/>
      <c r="C31" s="296"/>
      <c r="D31" s="296"/>
      <c r="E31" s="296"/>
      <c r="F31" s="296"/>
      <c r="G31" s="296"/>
      <c r="H31" s="296"/>
      <c r="I31" s="296"/>
      <c r="J31" s="296"/>
      <c r="K31" s="263"/>
    </row>
    <row r="32" spans="1:11">
      <c r="A32" s="267" t="s">
        <v>20</v>
      </c>
      <c r="B32" s="267"/>
      <c r="C32" s="267"/>
      <c r="D32" s="267"/>
      <c r="E32" s="267"/>
      <c r="F32" s="267"/>
      <c r="G32" s="267"/>
      <c r="H32" s="267"/>
      <c r="I32" s="267"/>
      <c r="J32" s="267"/>
      <c r="K32" s="278"/>
    </row>
    <row r="33" spans="1:11">
      <c r="A33" s="267" t="s">
        <v>455</v>
      </c>
      <c r="B33" s="267"/>
      <c r="C33" s="267"/>
      <c r="D33" s="267"/>
      <c r="E33" s="267"/>
      <c r="F33" s="267"/>
      <c r="G33" s="267"/>
      <c r="H33" s="267"/>
      <c r="I33" s="267"/>
      <c r="J33" s="267"/>
      <c r="K33" s="276"/>
    </row>
    <row r="34" spans="1:11">
      <c r="A34" s="267" t="s">
        <v>454</v>
      </c>
      <c r="B34" s="267"/>
      <c r="C34" s="267"/>
      <c r="D34" s="267"/>
      <c r="E34" s="267"/>
      <c r="F34" s="267"/>
      <c r="G34" s="267"/>
      <c r="H34" s="267"/>
      <c r="I34" s="267"/>
      <c r="J34" s="267"/>
      <c r="K34" s="276"/>
    </row>
    <row r="35" spans="1:11">
      <c r="A35" s="267"/>
      <c r="B35" s="267"/>
      <c r="C35" s="267"/>
      <c r="D35" s="267"/>
      <c r="E35" s="267"/>
      <c r="F35" s="267"/>
      <c r="G35" s="267"/>
      <c r="H35" s="267"/>
      <c r="I35" s="267"/>
      <c r="J35" s="267"/>
      <c r="K35" s="276"/>
    </row>
    <row r="36" spans="1:11">
      <c r="A36" s="267" t="s">
        <v>23</v>
      </c>
      <c r="B36" s="267"/>
      <c r="C36" s="267"/>
      <c r="D36" s="267"/>
      <c r="E36" s="267"/>
      <c r="F36" s="267"/>
      <c r="G36" s="267"/>
      <c r="H36" s="267"/>
      <c r="I36" s="267"/>
      <c r="J36" s="267"/>
      <c r="K36" s="275"/>
    </row>
    <row r="37" spans="1:11">
      <c r="A37" s="267" t="s">
        <v>34</v>
      </c>
      <c r="B37" s="267"/>
      <c r="C37" s="267"/>
      <c r="D37" s="267"/>
      <c r="E37" s="267"/>
      <c r="F37" s="267"/>
      <c r="G37" s="267"/>
      <c r="H37" s="267"/>
      <c r="I37" s="267"/>
      <c r="J37" s="267"/>
      <c r="K37" s="273"/>
    </row>
    <row r="38" spans="1:11">
      <c r="A38" s="267" t="s">
        <v>35</v>
      </c>
      <c r="B38" s="267"/>
      <c r="C38" s="267"/>
      <c r="D38" s="267"/>
      <c r="E38" s="267"/>
      <c r="F38" s="267"/>
      <c r="G38" s="267"/>
      <c r="H38" s="267"/>
      <c r="I38" s="267"/>
      <c r="J38" s="267"/>
      <c r="K38" s="273"/>
    </row>
    <row r="39" spans="1:11">
      <c r="A39" s="267" t="s">
        <v>36</v>
      </c>
      <c r="B39" s="267"/>
      <c r="C39" s="267"/>
      <c r="D39" s="267"/>
      <c r="E39" s="267"/>
      <c r="F39" s="267"/>
      <c r="G39" s="267"/>
      <c r="H39" s="267"/>
      <c r="I39" s="267"/>
      <c r="J39" s="267"/>
      <c r="K39" s="273"/>
    </row>
    <row r="40" spans="1:11">
      <c r="A40" s="267" t="s">
        <v>37</v>
      </c>
      <c r="B40" s="267"/>
      <c r="C40" s="267"/>
      <c r="D40" s="267"/>
      <c r="E40" s="267"/>
      <c r="F40" s="267"/>
      <c r="G40" s="267"/>
      <c r="H40" s="267"/>
      <c r="I40" s="267"/>
      <c r="J40" s="267"/>
      <c r="K40" s="273"/>
    </row>
    <row r="41" spans="1:11">
      <c r="A41" s="267" t="s">
        <v>38</v>
      </c>
      <c r="B41" s="267"/>
      <c r="C41" s="267"/>
      <c r="D41" s="267"/>
      <c r="E41" s="267"/>
      <c r="F41" s="267"/>
      <c r="G41" s="267"/>
      <c r="H41" s="267"/>
      <c r="I41" s="267"/>
      <c r="J41" s="267"/>
      <c r="K41" s="273"/>
    </row>
    <row r="42" spans="1:11">
      <c r="A42" s="267"/>
      <c r="B42" s="267"/>
      <c r="C42" s="267"/>
      <c r="D42" s="267"/>
      <c r="E42" s="267"/>
      <c r="F42" s="267"/>
      <c r="G42" s="267"/>
      <c r="H42" s="267"/>
      <c r="I42" s="267"/>
      <c r="J42" s="267"/>
      <c r="K42" s="273"/>
    </row>
    <row r="43" spans="1:11">
      <c r="A43" s="267"/>
      <c r="B43" s="267"/>
      <c r="C43" s="267"/>
      <c r="D43" s="267"/>
      <c r="E43" s="267"/>
      <c r="F43" s="267"/>
      <c r="G43" s="267"/>
      <c r="H43" s="267"/>
      <c r="I43" s="267"/>
      <c r="J43" s="267"/>
      <c r="K43" s="273"/>
    </row>
    <row r="44" spans="1:11">
      <c r="A44" s="276"/>
      <c r="B44" s="276"/>
      <c r="C44" s="276"/>
      <c r="D44" s="276"/>
      <c r="E44" s="276"/>
      <c r="F44" s="276"/>
      <c r="G44" s="276"/>
      <c r="H44" s="276"/>
      <c r="I44" s="276"/>
      <c r="J44" s="276"/>
      <c r="K44" s="276"/>
    </row>
    <row r="45" spans="1:11">
      <c r="A45" s="267" t="s">
        <v>39</v>
      </c>
      <c r="B45" s="267"/>
      <c r="C45" s="267"/>
      <c r="D45" s="267"/>
      <c r="E45" s="267"/>
      <c r="F45" s="267"/>
      <c r="G45" s="267"/>
      <c r="H45" s="267"/>
      <c r="I45" s="267"/>
      <c r="J45" s="267"/>
      <c r="K45" s="276"/>
    </row>
    <row r="46" spans="1:11">
      <c r="A46" s="267"/>
      <c r="B46" s="267"/>
      <c r="C46" s="267"/>
      <c r="D46" s="267"/>
      <c r="E46" s="267"/>
      <c r="F46" s="267"/>
      <c r="G46" s="267"/>
      <c r="H46" s="267"/>
      <c r="I46" s="267"/>
      <c r="J46" s="267"/>
      <c r="K46" s="276"/>
    </row>
    <row r="47" spans="1:11">
      <c r="A47" s="267" t="s">
        <v>22</v>
      </c>
      <c r="B47" s="267"/>
      <c r="C47" s="296"/>
      <c r="D47" s="296"/>
      <c r="E47" s="296"/>
      <c r="F47" s="296"/>
      <c r="G47" s="296"/>
      <c r="H47" s="296"/>
      <c r="I47" s="296"/>
      <c r="J47" s="296"/>
      <c r="K47" s="263"/>
    </row>
    <row r="48" spans="1:11">
      <c r="A48" s="267" t="s">
        <v>650</v>
      </c>
      <c r="B48" s="267"/>
      <c r="C48" s="267"/>
      <c r="D48" s="267"/>
      <c r="E48" s="267"/>
      <c r="F48" s="267"/>
      <c r="G48" s="267"/>
      <c r="H48" s="267"/>
      <c r="I48" s="267"/>
      <c r="J48" s="267"/>
      <c r="K48" s="276"/>
    </row>
    <row r="49" spans="1:11">
      <c r="A49" s="267" t="s">
        <v>40</v>
      </c>
      <c r="B49" s="267"/>
      <c r="C49" s="267"/>
      <c r="D49" s="267"/>
      <c r="E49" s="267"/>
      <c r="F49" s="267"/>
      <c r="G49" s="267"/>
      <c r="H49" s="267"/>
      <c r="I49" s="267"/>
      <c r="J49" s="267"/>
      <c r="K49" s="276"/>
    </row>
    <row r="50" spans="1:11">
      <c r="A50" s="267" t="s">
        <v>41</v>
      </c>
      <c r="B50" s="267"/>
      <c r="C50" s="267"/>
      <c r="D50" s="267"/>
      <c r="E50" s="267"/>
      <c r="F50" s="267"/>
      <c r="G50" s="267"/>
      <c r="H50" s="267"/>
      <c r="I50" s="267"/>
      <c r="J50" s="267"/>
      <c r="K50" s="276"/>
    </row>
    <row r="51" spans="1:11">
      <c r="A51" s="267" t="s">
        <v>42</v>
      </c>
      <c r="B51" s="267"/>
      <c r="C51" s="267"/>
      <c r="D51" s="267"/>
      <c r="E51" s="267"/>
      <c r="F51" s="267"/>
      <c r="G51" s="267"/>
      <c r="H51" s="267"/>
      <c r="I51" s="267"/>
      <c r="J51" s="267"/>
      <c r="K51" s="278"/>
    </row>
    <row r="52" spans="1:11">
      <c r="A52" s="278"/>
      <c r="B52" s="276"/>
      <c r="C52" s="276"/>
      <c r="D52" s="276"/>
      <c r="E52" s="276"/>
      <c r="F52" s="276"/>
      <c r="G52" s="276"/>
      <c r="H52" s="276"/>
      <c r="I52" s="276"/>
      <c r="J52" s="278"/>
      <c r="K52" s="278"/>
    </row>
  </sheetData>
  <mergeCells count="1">
    <mergeCell ref="A12:B12"/>
  </mergeCells>
  <phoneticPr fontId="168"/>
  <pageMargins left="0.70866141732283472" right="0.70866141732283472" top="0.53" bottom="0.48" header="0.31496062992125984" footer="0.31496062992125984"/>
  <pageSetup paperSize="9" scale="87" orientation="portrait" horizontalDpi="300" verticalDpi="300" r:id="rId1"/>
  <headerFooter alignWithMargins="0">
    <oddFooter>&amp;C&amp;8
-14-</oddFooter>
  </headerFooter>
  <drawing r:id="rId2"/>
  <legacyDrawing r:id="rId3"/>
  <oleObjects>
    <mc:AlternateContent xmlns:mc="http://schemas.openxmlformats.org/markup-compatibility/2006">
      <mc:Choice Requires="x14">
        <oleObject progId="Equation.3" shapeId="41462785" r:id="rId4">
          <objectPr defaultSize="0" autoPict="0" r:id="rId5">
            <anchor moveWithCells="1" sizeWithCells="1">
              <from>
                <xdr:col>1</xdr:col>
                <xdr:colOff>38100</xdr:colOff>
                <xdr:row>41</xdr:row>
                <xdr:rowOff>57150</xdr:rowOff>
              </from>
              <to>
                <xdr:col>7</xdr:col>
                <xdr:colOff>28575</xdr:colOff>
                <xdr:row>43</xdr:row>
                <xdr:rowOff>47625</xdr:rowOff>
              </to>
            </anchor>
          </objectPr>
        </oleObject>
      </mc:Choice>
      <mc:Fallback>
        <oleObject progId="Equation.3" shapeId="41462785" r:id="rId4"/>
      </mc:Fallback>
    </mc:AlternateContent>
  </oleObjec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dimension ref="A1:Z50"/>
  <sheetViews>
    <sheetView view="pageBreakPreview" topLeftCell="A3" zoomScaleNormal="100" zoomScaleSheetLayoutView="100" workbookViewId="0">
      <selection activeCell="J13" sqref="J13"/>
    </sheetView>
  </sheetViews>
  <sheetFormatPr defaultColWidth="8" defaultRowHeight="14.25" customHeight="1"/>
  <cols>
    <col min="1" max="10" width="8.875" style="211" customWidth="1"/>
    <col min="11" max="16384" width="8" style="211"/>
  </cols>
  <sheetData>
    <row r="1" spans="2:26" ht="15.75" customHeight="1"/>
    <row r="2" spans="2:26" ht="15.75" customHeight="1">
      <c r="E2" s="1623" t="s">
        <v>103</v>
      </c>
      <c r="F2" s="1623"/>
    </row>
    <row r="3" spans="2:26" ht="15.75" customHeight="1">
      <c r="E3" s="1623" t="s">
        <v>412</v>
      </c>
      <c r="F3" s="1623"/>
    </row>
    <row r="4" spans="2:26" ht="15.75" customHeight="1"/>
    <row r="5" spans="2:26" ht="15.75" customHeight="1"/>
    <row r="6" spans="2:26" ht="15.75" customHeight="1">
      <c r="C6" s="211" t="s">
        <v>104</v>
      </c>
      <c r="H6" s="264" t="s">
        <v>104</v>
      </c>
    </row>
    <row r="7" spans="2:26" ht="15.75" customHeight="1">
      <c r="H7" s="264"/>
    </row>
    <row r="8" spans="2:26" ht="15.75" customHeight="1">
      <c r="C8" s="264" t="s">
        <v>412</v>
      </c>
      <c r="H8" s="279" t="s">
        <v>591</v>
      </c>
    </row>
    <row r="9" spans="2:26" ht="15.75" customHeight="1">
      <c r="B9" s="1335"/>
    </row>
    <row r="10" spans="2:26" ht="15.75" customHeight="1">
      <c r="D10" s="279" t="s">
        <v>105</v>
      </c>
      <c r="E10" s="279" t="s">
        <v>649</v>
      </c>
      <c r="F10" s="264" t="s">
        <v>106</v>
      </c>
      <c r="G10" s="280" t="s">
        <v>107</v>
      </c>
    </row>
    <row r="11" spans="2:26" ht="15.75" customHeight="1"/>
    <row r="12" spans="2:26" ht="15.75" customHeight="1"/>
    <row r="13" spans="2:26" ht="15.75" customHeight="1"/>
    <row r="14" spans="2:26" ht="15.75" customHeight="1">
      <c r="M14" s="278"/>
      <c r="N14" s="278"/>
      <c r="O14" s="278"/>
      <c r="P14" s="278"/>
      <c r="Q14" s="278"/>
      <c r="R14" s="278"/>
      <c r="S14" s="278"/>
      <c r="T14" s="278"/>
      <c r="U14" s="278"/>
      <c r="V14" s="278"/>
      <c r="W14" s="213"/>
      <c r="X14" s="213"/>
      <c r="Y14" s="213"/>
      <c r="Z14" s="213"/>
    </row>
    <row r="15" spans="2:26" ht="15.75" customHeight="1">
      <c r="M15" s="267"/>
      <c r="N15" s="267"/>
      <c r="O15" s="267"/>
      <c r="P15" s="267"/>
      <c r="Q15" s="267"/>
      <c r="R15" s="267"/>
      <c r="S15" s="267"/>
      <c r="T15" s="267"/>
      <c r="U15" s="267"/>
      <c r="V15" s="267"/>
    </row>
    <row r="16" spans="2:26" ht="15.75" customHeight="1">
      <c r="M16" s="267"/>
      <c r="N16" s="267"/>
      <c r="O16" s="267"/>
      <c r="P16" s="267"/>
      <c r="Q16" s="267"/>
      <c r="R16" s="267"/>
      <c r="S16" s="267"/>
      <c r="T16" s="267"/>
      <c r="U16" s="267"/>
      <c r="V16" s="267"/>
    </row>
    <row r="17" spans="1:22" ht="15.75" customHeight="1">
      <c r="M17" s="267"/>
      <c r="N17" s="267"/>
      <c r="O17" s="267"/>
      <c r="P17" s="267"/>
      <c r="Q17" s="267"/>
      <c r="R17" s="267"/>
      <c r="S17" s="267"/>
      <c r="T17" s="267"/>
      <c r="U17" s="267"/>
      <c r="V17" s="267"/>
    </row>
    <row r="18" spans="1:22" ht="15.75" customHeight="1"/>
    <row r="19" spans="1:22" ht="15.75" customHeight="1"/>
    <row r="20" spans="1:22" ht="15.75" customHeight="1"/>
    <row r="21" spans="1:22" ht="15.75" customHeight="1"/>
    <row r="22" spans="1:22" ht="15.75" customHeight="1">
      <c r="C22" s="1625" t="s">
        <v>299</v>
      </c>
      <c r="D22" s="1625"/>
      <c r="E22" s="1625"/>
      <c r="F22" s="1624" t="s">
        <v>93</v>
      </c>
      <c r="G22" s="1624"/>
      <c r="H22" s="1624"/>
    </row>
    <row r="23" spans="1:22" ht="15.75" customHeight="1">
      <c r="C23" s="1625" t="s">
        <v>400</v>
      </c>
      <c r="D23" s="1625"/>
      <c r="E23" s="1625"/>
      <c r="F23" s="1624" t="s">
        <v>399</v>
      </c>
      <c r="G23" s="1624"/>
      <c r="H23" s="1624"/>
    </row>
    <row r="24" spans="1:22" ht="15.75" customHeight="1">
      <c r="C24" s="279"/>
      <c r="D24" s="279"/>
      <c r="E24" s="279"/>
      <c r="F24" s="281"/>
      <c r="G24" s="281"/>
      <c r="H24" s="281"/>
    </row>
    <row r="25" spans="1:22" s="213" customFormat="1" ht="15.75" customHeight="1">
      <c r="A25" s="748" t="s">
        <v>566</v>
      </c>
      <c r="B25" s="277"/>
      <c r="C25" s="277"/>
      <c r="D25" s="277"/>
      <c r="E25" s="277"/>
      <c r="F25" s="277"/>
      <c r="G25" s="277"/>
      <c r="H25" s="277"/>
      <c r="I25" s="277"/>
    </row>
    <row r="26" spans="1:22" s="213" customFormat="1" ht="15.75" customHeight="1">
      <c r="A26" s="1617" t="s">
        <v>693</v>
      </c>
      <c r="B26" s="1617"/>
      <c r="C26" s="1617"/>
      <c r="D26" s="1617"/>
      <c r="E26" s="1617"/>
      <c r="F26" s="1617"/>
      <c r="G26" s="1617"/>
      <c r="H26" s="1617"/>
      <c r="I26" s="1617"/>
      <c r="J26" s="1617"/>
    </row>
    <row r="27" spans="1:22" ht="15.75" customHeight="1">
      <c r="A27" s="1617"/>
      <c r="B27" s="1617"/>
      <c r="C27" s="1617"/>
      <c r="D27" s="1617"/>
      <c r="E27" s="1617"/>
      <c r="F27" s="1617"/>
      <c r="G27" s="1617"/>
      <c r="H27" s="1617"/>
      <c r="I27" s="1617"/>
      <c r="J27" s="1617"/>
    </row>
    <row r="28" spans="1:22" ht="15.75" customHeight="1">
      <c r="A28" s="1617"/>
      <c r="B28" s="1617"/>
      <c r="C28" s="1617"/>
      <c r="D28" s="1617"/>
      <c r="E28" s="1617"/>
      <c r="F28" s="1617"/>
      <c r="G28" s="1617"/>
      <c r="H28" s="1617"/>
      <c r="I28" s="1617"/>
      <c r="J28" s="1617"/>
    </row>
    <row r="29" spans="1:22" ht="15.75" customHeight="1">
      <c r="A29" s="1617"/>
      <c r="B29" s="1617"/>
      <c r="C29" s="1617"/>
      <c r="D29" s="1617"/>
      <c r="E29" s="1617"/>
      <c r="F29" s="1617"/>
      <c r="G29" s="1617"/>
      <c r="H29" s="1617"/>
      <c r="I29" s="1617"/>
      <c r="J29" s="1617"/>
    </row>
    <row r="30" spans="1:22" ht="15.75" customHeight="1">
      <c r="A30" s="1617"/>
      <c r="B30" s="1617"/>
      <c r="C30" s="1617"/>
      <c r="D30" s="1617"/>
      <c r="E30" s="1617"/>
      <c r="F30" s="1617"/>
      <c r="G30" s="1617"/>
      <c r="H30" s="1617"/>
      <c r="I30" s="1617"/>
      <c r="J30" s="1617"/>
    </row>
    <row r="31" spans="1:22" ht="15.75" customHeight="1">
      <c r="A31" s="629"/>
      <c r="B31" s="276"/>
      <c r="C31" s="276"/>
      <c r="D31" s="276"/>
      <c r="E31" s="276"/>
      <c r="F31" s="276"/>
      <c r="G31" s="276"/>
      <c r="H31" s="276"/>
      <c r="I31" s="276"/>
      <c r="J31" s="223"/>
    </row>
    <row r="32" spans="1:22" s="213" customFormat="1" ht="15.75" customHeight="1" thickBot="1">
      <c r="B32" s="1622" t="s">
        <v>404</v>
      </c>
      <c r="C32" s="1622"/>
      <c r="D32" s="1622"/>
      <c r="E32" s="1622"/>
      <c r="F32" s="1622"/>
      <c r="G32" s="1622"/>
      <c r="H32" s="1622"/>
    </row>
    <row r="33" spans="2:8" s="219" customFormat="1" ht="15.75" customHeight="1">
      <c r="B33" s="282" t="s">
        <v>108</v>
      </c>
      <c r="C33" s="1618" t="s">
        <v>109</v>
      </c>
      <c r="D33" s="1619"/>
      <c r="E33" s="1620"/>
      <c r="F33" s="1618" t="s">
        <v>110</v>
      </c>
      <c r="G33" s="1619"/>
      <c r="H33" s="1621"/>
    </row>
    <row r="34" spans="2:8" s="219" customFormat="1" ht="15.75" customHeight="1">
      <c r="B34" s="283" t="s">
        <v>300</v>
      </c>
      <c r="C34" s="284" t="s">
        <v>111</v>
      </c>
      <c r="D34" s="285" t="s">
        <v>112</v>
      </c>
      <c r="E34" s="284" t="s">
        <v>111</v>
      </c>
      <c r="F34" s="285" t="s">
        <v>111</v>
      </c>
      <c r="G34" s="285" t="s">
        <v>112</v>
      </c>
      <c r="H34" s="286" t="s">
        <v>111</v>
      </c>
    </row>
    <row r="35" spans="2:8" ht="15.75" customHeight="1">
      <c r="B35" s="571" t="s">
        <v>91</v>
      </c>
      <c r="C35" s="605"/>
      <c r="D35" s="606" t="s">
        <v>423</v>
      </c>
      <c r="E35" s="606" t="s">
        <v>414</v>
      </c>
      <c r="F35" s="606"/>
      <c r="G35" s="606"/>
      <c r="H35" s="607"/>
    </row>
    <row r="36" spans="2:8" ht="15.75" customHeight="1">
      <c r="B36" s="572" t="s">
        <v>90</v>
      </c>
      <c r="C36" s="608" t="s">
        <v>414</v>
      </c>
      <c r="D36" s="609" t="s">
        <v>424</v>
      </c>
      <c r="E36" s="609" t="s">
        <v>435</v>
      </c>
      <c r="F36" s="609"/>
      <c r="G36" s="609"/>
      <c r="H36" s="610"/>
    </row>
    <row r="37" spans="2:8" ht="15.75" customHeight="1">
      <c r="B37" s="572" t="s">
        <v>89</v>
      </c>
      <c r="C37" s="608" t="s">
        <v>415</v>
      </c>
      <c r="D37" s="609" t="s">
        <v>425</v>
      </c>
      <c r="E37" s="609" t="s">
        <v>413</v>
      </c>
      <c r="F37" s="609"/>
      <c r="G37" s="609"/>
      <c r="H37" s="610"/>
    </row>
    <row r="38" spans="2:8" ht="15.75" customHeight="1">
      <c r="B38" s="572" t="s">
        <v>88</v>
      </c>
      <c r="C38" s="608" t="s">
        <v>413</v>
      </c>
      <c r="D38" s="609" t="s">
        <v>426</v>
      </c>
      <c r="E38" s="609" t="s">
        <v>436</v>
      </c>
      <c r="F38" s="609"/>
      <c r="G38" s="609" t="s">
        <v>445</v>
      </c>
      <c r="H38" s="610" t="s">
        <v>438</v>
      </c>
    </row>
    <row r="39" spans="2:8" ht="15.75" customHeight="1">
      <c r="B39" s="572" t="s">
        <v>87</v>
      </c>
      <c r="C39" s="608" t="s">
        <v>586</v>
      </c>
      <c r="D39" s="609" t="s">
        <v>427</v>
      </c>
      <c r="E39" s="609" t="s">
        <v>437</v>
      </c>
      <c r="F39" s="609" t="s">
        <v>438</v>
      </c>
      <c r="G39" s="609" t="s">
        <v>446</v>
      </c>
      <c r="H39" s="610" t="s">
        <v>439</v>
      </c>
    </row>
    <row r="40" spans="2:8" ht="15.75" customHeight="1">
      <c r="B40" s="572" t="s">
        <v>86</v>
      </c>
      <c r="C40" s="608" t="s">
        <v>585</v>
      </c>
      <c r="D40" s="609" t="s">
        <v>428</v>
      </c>
      <c r="E40" s="609" t="s">
        <v>416</v>
      </c>
      <c r="F40" s="609" t="s">
        <v>439</v>
      </c>
      <c r="G40" s="609" t="s">
        <v>447</v>
      </c>
      <c r="H40" s="610" t="s">
        <v>440</v>
      </c>
    </row>
    <row r="41" spans="2:8" ht="15.75" customHeight="1">
      <c r="B41" s="572" t="s">
        <v>85</v>
      </c>
      <c r="C41" s="608" t="s">
        <v>416</v>
      </c>
      <c r="D41" s="609" t="s">
        <v>429</v>
      </c>
      <c r="E41" s="609" t="s">
        <v>417</v>
      </c>
      <c r="F41" s="609" t="s">
        <v>440</v>
      </c>
      <c r="G41" s="609" t="s">
        <v>448</v>
      </c>
      <c r="H41" s="610" t="s">
        <v>441</v>
      </c>
    </row>
    <row r="42" spans="2:8" ht="15.75" customHeight="1">
      <c r="B42" s="572" t="s">
        <v>84</v>
      </c>
      <c r="C42" s="608" t="s">
        <v>417</v>
      </c>
      <c r="D42" s="609" t="s">
        <v>430</v>
      </c>
      <c r="E42" s="609" t="s">
        <v>418</v>
      </c>
      <c r="F42" s="609" t="s">
        <v>441</v>
      </c>
      <c r="G42" s="609" t="s">
        <v>449</v>
      </c>
      <c r="H42" s="610" t="s">
        <v>418</v>
      </c>
    </row>
    <row r="43" spans="2:8" ht="15.75" customHeight="1">
      <c r="B43" s="572" t="s">
        <v>83</v>
      </c>
      <c r="C43" s="608" t="s">
        <v>418</v>
      </c>
      <c r="D43" s="609" t="s">
        <v>431</v>
      </c>
      <c r="E43" s="609" t="s">
        <v>419</v>
      </c>
      <c r="F43" s="609" t="s">
        <v>418</v>
      </c>
      <c r="G43" s="609" t="s">
        <v>450</v>
      </c>
      <c r="H43" s="610" t="s">
        <v>442</v>
      </c>
    </row>
    <row r="44" spans="2:8" ht="15.75" customHeight="1">
      <c r="B44" s="572" t="s">
        <v>113</v>
      </c>
      <c r="C44" s="608" t="s">
        <v>419</v>
      </c>
      <c r="D44" s="609" t="s">
        <v>432</v>
      </c>
      <c r="E44" s="609" t="s">
        <v>420</v>
      </c>
      <c r="F44" s="609" t="s">
        <v>442</v>
      </c>
      <c r="G44" s="609" t="s">
        <v>451</v>
      </c>
      <c r="H44" s="610" t="s">
        <v>443</v>
      </c>
    </row>
    <row r="45" spans="2:8" ht="15.75" customHeight="1">
      <c r="B45" s="572" t="s">
        <v>114</v>
      </c>
      <c r="C45" s="608" t="s">
        <v>420</v>
      </c>
      <c r="D45" s="609" t="s">
        <v>433</v>
      </c>
      <c r="E45" s="609" t="s">
        <v>421</v>
      </c>
      <c r="F45" s="609" t="s">
        <v>443</v>
      </c>
      <c r="G45" s="609" t="s">
        <v>452</v>
      </c>
      <c r="H45" s="610" t="s">
        <v>421</v>
      </c>
    </row>
    <row r="46" spans="2:8" ht="15.75" customHeight="1">
      <c r="B46" s="572" t="s">
        <v>115</v>
      </c>
      <c r="C46" s="608" t="s">
        <v>421</v>
      </c>
      <c r="D46" s="609" t="s">
        <v>434</v>
      </c>
      <c r="E46" s="609" t="s">
        <v>422</v>
      </c>
      <c r="F46" s="609" t="s">
        <v>421</v>
      </c>
      <c r="G46" s="609" t="s">
        <v>453</v>
      </c>
      <c r="H46" s="610" t="s">
        <v>444</v>
      </c>
    </row>
    <row r="47" spans="2:8" ht="15.75" customHeight="1">
      <c r="B47" s="572" t="s">
        <v>116</v>
      </c>
      <c r="C47" s="608" t="s">
        <v>604</v>
      </c>
      <c r="D47" s="609" t="s">
        <v>605</v>
      </c>
      <c r="E47" s="609" t="s">
        <v>606</v>
      </c>
      <c r="F47" s="609" t="s">
        <v>607</v>
      </c>
      <c r="G47" s="609" t="s">
        <v>608</v>
      </c>
      <c r="H47" s="610" t="s">
        <v>606</v>
      </c>
    </row>
    <row r="48" spans="2:8" ht="15.75" customHeight="1">
      <c r="B48" s="572" t="s">
        <v>403</v>
      </c>
      <c r="C48" s="608" t="s">
        <v>606</v>
      </c>
      <c r="D48" s="609" t="s">
        <v>611</v>
      </c>
      <c r="E48" s="609" t="s">
        <v>609</v>
      </c>
      <c r="F48" s="609" t="s">
        <v>606</v>
      </c>
      <c r="G48" s="609" t="s">
        <v>610</v>
      </c>
      <c r="H48" s="610" t="s">
        <v>609</v>
      </c>
    </row>
    <row r="49" spans="2:8" ht="15.75" customHeight="1">
      <c r="B49" s="1003" t="s">
        <v>603</v>
      </c>
      <c r="C49" s="1004" t="s">
        <v>609</v>
      </c>
      <c r="D49" s="1010" t="s">
        <v>614</v>
      </c>
      <c r="E49" s="1005" t="s">
        <v>613</v>
      </c>
      <c r="F49" s="1005" t="s">
        <v>609</v>
      </c>
      <c r="G49" s="1006" t="s">
        <v>614</v>
      </c>
      <c r="H49" s="1007" t="s">
        <v>613</v>
      </c>
    </row>
    <row r="50" spans="2:8" ht="15.75" customHeight="1" thickBot="1">
      <c r="B50" s="573" t="s">
        <v>680</v>
      </c>
      <c r="C50" s="951" t="s">
        <v>613</v>
      </c>
      <c r="D50" s="1011" t="s">
        <v>690</v>
      </c>
      <c r="E50" s="611" t="s">
        <v>691</v>
      </c>
      <c r="F50" s="611" t="s">
        <v>613</v>
      </c>
      <c r="G50" s="1178" t="s">
        <v>768</v>
      </c>
      <c r="H50" s="1177" t="s">
        <v>691</v>
      </c>
    </row>
  </sheetData>
  <customSheetViews>
    <customSheetView guid="{7EBA91D6-F088-446F-A1CC-E1462A1CA2C3}" scale="60" showPageBreaks="1" showGridLines="0" printArea="1" view="pageBreakPreview" showRuler="0">
      <selection activeCell="I40" sqref="I40"/>
      <pageMargins left="0.78740157480314965" right="0.39370078740157483" top="0.98425196850393704" bottom="0.78740157480314965" header="0.51181102362204722" footer="0.51181102362204722"/>
      <pageSetup paperSize="9" orientation="portrait" r:id="rId1"/>
      <headerFooter alignWithMargins="0">
        <oddFooter>&amp;C&amp;10-15-</oddFooter>
      </headerFooter>
    </customSheetView>
    <customSheetView guid="{883B7A2B-3CB3-449D-A461-655262B722BC}" scale="60" showPageBreaks="1" showGridLines="0" printArea="1" view="pageBreakPreview" showRuler="0">
      <selection activeCell="I40" sqref="I40"/>
      <pageMargins left="0.78740157480314965" right="0.39370078740157483" top="0.98425196850393704" bottom="0.78740157480314965" header="0.51181102362204722" footer="0.51181102362204722"/>
      <pageSetup paperSize="9" orientation="portrait" r:id="rId2"/>
      <headerFooter alignWithMargins="0">
        <oddFooter>&amp;C&amp;10-15-</oddFooter>
      </headerFooter>
    </customSheetView>
  </customSheetViews>
  <mergeCells count="10">
    <mergeCell ref="A26:J30"/>
    <mergeCell ref="C33:E33"/>
    <mergeCell ref="F33:H33"/>
    <mergeCell ref="B32:H32"/>
    <mergeCell ref="E2:F2"/>
    <mergeCell ref="E3:F3"/>
    <mergeCell ref="F23:H23"/>
    <mergeCell ref="F22:H22"/>
    <mergeCell ref="C23:E23"/>
    <mergeCell ref="C22:E22"/>
  </mergeCells>
  <phoneticPr fontId="3"/>
  <pageMargins left="0.78740157480314965" right="0.39370078740157483" top="0.39370078740157483" bottom="0.39370078740157483" header="0.39370078740157483" footer="0.39370078740157483"/>
  <pageSetup paperSize="9" scale="99" orientation="portrait" horizontalDpi="300" verticalDpi="300" r:id="rId3"/>
  <headerFooter alignWithMargins="0">
    <oddFooter>&amp;C&amp;7-15-</oddFooter>
  </headerFooter>
  <ignoredErrors>
    <ignoredError sqref="C37:H48 E36" numberStoredAsText="1"/>
  </ignoredErrors>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T42"/>
  <sheetViews>
    <sheetView view="pageBreakPreview" topLeftCell="A5" zoomScaleNormal="100" zoomScaleSheetLayoutView="100" workbookViewId="0">
      <selection activeCell="I6" sqref="I6"/>
    </sheetView>
  </sheetViews>
  <sheetFormatPr defaultColWidth="8.875" defaultRowHeight="13.5"/>
  <cols>
    <col min="1" max="1" width="4.625" style="1141" customWidth="1"/>
    <col min="2" max="2" width="6.25" style="1141" customWidth="1"/>
    <col min="3" max="3" width="9.625" style="1141" customWidth="1"/>
    <col min="4" max="7" width="12.625" style="1141" customWidth="1"/>
    <col min="8" max="8" width="15.5" style="1141" customWidth="1"/>
    <col min="9" max="9" width="4.625" style="1141" customWidth="1"/>
    <col min="10" max="10" width="3.625" style="1141" customWidth="1"/>
    <col min="11" max="11" width="8.875" style="1141"/>
    <col min="12" max="19" width="11.75" style="1141" customWidth="1"/>
    <col min="20" max="16384" width="8.875" style="1141"/>
  </cols>
  <sheetData>
    <row r="1" spans="1:8" s="1139" customFormat="1" ht="18" customHeight="1">
      <c r="A1" s="1651" t="s">
        <v>57</v>
      </c>
      <c r="B1" s="1651"/>
      <c r="C1" s="1651"/>
      <c r="D1" s="1651"/>
      <c r="E1" s="1651"/>
      <c r="F1" s="1651"/>
      <c r="G1" s="1651"/>
    </row>
    <row r="2" spans="1:8" s="1139" customFormat="1" ht="18" customHeight="1"/>
    <row r="3" spans="1:8" s="1139" customFormat="1" ht="18" customHeight="1">
      <c r="A3" s="1641" t="s">
        <v>769</v>
      </c>
      <c r="B3" s="1641"/>
      <c r="C3" s="1641"/>
      <c r="D3" s="1641"/>
      <c r="E3" s="1641"/>
      <c r="F3" s="1641"/>
      <c r="G3" s="1641"/>
      <c r="H3" s="1641"/>
    </row>
    <row r="4" spans="1:8" s="1139" customFormat="1" ht="18" customHeight="1">
      <c r="A4" s="1641"/>
      <c r="B4" s="1641"/>
      <c r="C4" s="1641"/>
      <c r="D4" s="1641"/>
      <c r="E4" s="1641"/>
      <c r="F4" s="1641"/>
      <c r="G4" s="1641"/>
      <c r="H4" s="1641"/>
    </row>
    <row r="5" spans="1:8" s="1139" customFormat="1" ht="18" customHeight="1">
      <c r="A5" s="1641"/>
      <c r="B5" s="1641"/>
      <c r="C5" s="1641"/>
      <c r="D5" s="1641"/>
      <c r="E5" s="1641"/>
      <c r="F5" s="1641"/>
      <c r="G5" s="1641"/>
      <c r="H5" s="1641"/>
    </row>
    <row r="6" spans="1:8" s="1139" customFormat="1" ht="18" customHeight="1">
      <c r="A6" s="1641"/>
      <c r="B6" s="1641"/>
      <c r="C6" s="1641"/>
      <c r="D6" s="1641"/>
      <c r="E6" s="1641"/>
      <c r="F6" s="1641"/>
      <c r="G6" s="1641"/>
      <c r="H6" s="1641"/>
    </row>
    <row r="7" spans="1:8" s="1139" customFormat="1"/>
    <row r="8" spans="1:8" s="1139" customFormat="1" ht="18.95" customHeight="1" thickBot="1">
      <c r="A8" s="1139" t="s">
        <v>201</v>
      </c>
    </row>
    <row r="9" spans="1:8" s="1139" customFormat="1" ht="20.100000000000001" customHeight="1" thickBot="1">
      <c r="A9" s="1652" t="s">
        <v>202</v>
      </c>
      <c r="B9" s="1653"/>
      <c r="C9" s="1653"/>
      <c r="D9" s="1653" t="s">
        <v>203</v>
      </c>
      <c r="E9" s="1653"/>
      <c r="F9" s="1653" t="s">
        <v>204</v>
      </c>
      <c r="G9" s="1653"/>
      <c r="H9" s="1654"/>
    </row>
    <row r="10" spans="1:8" s="1139" customFormat="1" ht="60" customHeight="1">
      <c r="A10" s="1646" t="s">
        <v>205</v>
      </c>
      <c r="B10" s="1647"/>
      <c r="C10" s="1647"/>
      <c r="D10" s="1648" t="s">
        <v>318</v>
      </c>
      <c r="E10" s="1648"/>
      <c r="F10" s="1649" t="s">
        <v>770</v>
      </c>
      <c r="G10" s="1649"/>
      <c r="H10" s="1650"/>
    </row>
    <row r="11" spans="1:8" s="1139" customFormat="1" ht="60" customHeight="1">
      <c r="A11" s="1642" t="s">
        <v>314</v>
      </c>
      <c r="B11" s="1633"/>
      <c r="C11" s="1633"/>
      <c r="D11" s="1633" t="s">
        <v>617</v>
      </c>
      <c r="E11" s="1633"/>
      <c r="F11" s="1634" t="s">
        <v>771</v>
      </c>
      <c r="G11" s="1634"/>
      <c r="H11" s="1635"/>
    </row>
    <row r="12" spans="1:8" s="1139" customFormat="1" ht="60" customHeight="1">
      <c r="A12" s="1643" t="s">
        <v>772</v>
      </c>
      <c r="B12" s="1644"/>
      <c r="C12" s="1176" t="s">
        <v>615</v>
      </c>
      <c r="D12" s="1633" t="s">
        <v>773</v>
      </c>
      <c r="E12" s="1633"/>
      <c r="F12" s="1634" t="s">
        <v>774</v>
      </c>
      <c r="G12" s="1634"/>
      <c r="H12" s="1635"/>
    </row>
    <row r="13" spans="1:8" s="1139" customFormat="1" ht="60" customHeight="1">
      <c r="A13" s="1645"/>
      <c r="B13" s="1644"/>
      <c r="C13" s="1176" t="s">
        <v>616</v>
      </c>
      <c r="D13" s="1633" t="s">
        <v>775</v>
      </c>
      <c r="E13" s="1633"/>
      <c r="F13" s="1634" t="s">
        <v>776</v>
      </c>
      <c r="G13" s="1634"/>
      <c r="H13" s="1635"/>
    </row>
    <row r="14" spans="1:8" s="1139" customFormat="1" ht="60" customHeight="1">
      <c r="A14" s="1631" t="s">
        <v>315</v>
      </c>
      <c r="B14" s="1632"/>
      <c r="C14" s="1632"/>
      <c r="D14" s="1633" t="s">
        <v>316</v>
      </c>
      <c r="E14" s="1633"/>
      <c r="F14" s="1634" t="s">
        <v>777</v>
      </c>
      <c r="G14" s="1634"/>
      <c r="H14" s="1635"/>
    </row>
    <row r="15" spans="1:8" s="1139" customFormat="1" ht="60" customHeight="1" thickBot="1">
      <c r="A15" s="1636" t="s">
        <v>317</v>
      </c>
      <c r="B15" s="1637"/>
      <c r="C15" s="1637"/>
      <c r="D15" s="1637" t="s">
        <v>618</v>
      </c>
      <c r="E15" s="1637"/>
      <c r="F15" s="1638" t="s">
        <v>778</v>
      </c>
      <c r="G15" s="1638"/>
      <c r="H15" s="1639"/>
    </row>
    <row r="16" spans="1:8" s="1139" customFormat="1" ht="22.5" customHeight="1" thickBot="1">
      <c r="A16" s="1140" t="s">
        <v>619</v>
      </c>
      <c r="B16" s="1140"/>
      <c r="C16" s="1140"/>
      <c r="D16" s="1140"/>
      <c r="E16" s="1140"/>
      <c r="F16" s="1140"/>
      <c r="G16" s="1140"/>
      <c r="H16" s="1140"/>
    </row>
    <row r="17" spans="1:20" s="1139" customFormat="1" ht="6.75" customHeight="1">
      <c r="B17" s="1187"/>
      <c r="C17" s="1187"/>
      <c r="D17" s="1187"/>
      <c r="E17" s="1187"/>
      <c r="F17" s="1187"/>
      <c r="G17" s="1187"/>
      <c r="H17" s="1187"/>
    </row>
    <row r="18" spans="1:20" s="1139" customFormat="1" ht="18" customHeight="1">
      <c r="A18" s="1188" t="s">
        <v>790</v>
      </c>
      <c r="B18" s="1640" t="s">
        <v>807</v>
      </c>
      <c r="C18" s="1640"/>
      <c r="D18" s="1640"/>
      <c r="E18" s="1640"/>
      <c r="F18" s="1640"/>
      <c r="G18" s="1640"/>
      <c r="H18" s="1640"/>
      <c r="I18" s="1640"/>
      <c r="K18"/>
      <c r="L18"/>
      <c r="M18"/>
      <c r="N18"/>
      <c r="O18"/>
      <c r="P18"/>
      <c r="Q18"/>
      <c r="R18"/>
      <c r="S18"/>
      <c r="T18"/>
    </row>
    <row r="19" spans="1:20" s="1139" customFormat="1" ht="18" customHeight="1">
      <c r="B19" s="1640"/>
      <c r="C19" s="1640"/>
      <c r="D19" s="1640"/>
      <c r="E19" s="1640"/>
      <c r="F19" s="1640"/>
      <c r="G19" s="1640"/>
      <c r="H19" s="1640"/>
      <c r="I19" s="1640"/>
      <c r="K19"/>
      <c r="L19"/>
      <c r="M19"/>
      <c r="N19"/>
      <c r="O19"/>
      <c r="P19"/>
      <c r="Q19"/>
      <c r="R19"/>
      <c r="S19"/>
      <c r="T19"/>
    </row>
    <row r="20" spans="1:20" s="1139" customFormat="1" ht="18" customHeight="1">
      <c r="B20" s="1640"/>
      <c r="C20" s="1640"/>
      <c r="D20" s="1640"/>
      <c r="E20" s="1640"/>
      <c r="F20" s="1640"/>
      <c r="G20" s="1640"/>
      <c r="H20" s="1640"/>
      <c r="I20" s="1640"/>
      <c r="K20"/>
      <c r="L20"/>
      <c r="M20"/>
      <c r="N20"/>
      <c r="O20"/>
      <c r="P20"/>
      <c r="Q20"/>
      <c r="R20"/>
      <c r="S20"/>
      <c r="T20"/>
    </row>
    <row r="21" spans="1:20" s="1139" customFormat="1" ht="18" customHeight="1">
      <c r="B21" s="1640"/>
      <c r="C21" s="1640"/>
      <c r="D21" s="1640"/>
      <c r="E21" s="1640"/>
      <c r="F21" s="1640"/>
      <c r="G21" s="1640"/>
      <c r="H21" s="1640"/>
      <c r="I21" s="1640"/>
      <c r="K21"/>
      <c r="L21"/>
      <c r="M21"/>
      <c r="N21"/>
      <c r="O21"/>
      <c r="P21"/>
      <c r="Q21"/>
      <c r="R21"/>
      <c r="S21"/>
      <c r="T21"/>
    </row>
    <row r="22" spans="1:20" s="1139" customFormat="1" ht="18" customHeight="1">
      <c r="B22" s="1640"/>
      <c r="C22" s="1640"/>
      <c r="D22" s="1640"/>
      <c r="E22" s="1640"/>
      <c r="F22" s="1640"/>
      <c r="G22" s="1640"/>
      <c r="H22" s="1640"/>
      <c r="I22" s="1640"/>
      <c r="K22"/>
      <c r="L22"/>
      <c r="M22"/>
      <c r="N22"/>
      <c r="O22"/>
      <c r="P22"/>
      <c r="Q22"/>
      <c r="R22"/>
      <c r="S22"/>
      <c r="T22"/>
    </row>
    <row r="23" spans="1:20" s="1139" customFormat="1" ht="18" customHeight="1">
      <c r="B23" s="1640"/>
      <c r="C23" s="1640"/>
      <c r="D23" s="1640"/>
      <c r="E23" s="1640"/>
      <c r="F23" s="1640"/>
      <c r="G23" s="1640"/>
      <c r="H23" s="1640"/>
      <c r="I23" s="1640"/>
      <c r="K23"/>
      <c r="L23"/>
      <c r="M23"/>
      <c r="N23"/>
      <c r="O23"/>
      <c r="P23"/>
      <c r="Q23"/>
      <c r="R23"/>
      <c r="S23"/>
      <c r="T23"/>
    </row>
    <row r="24" spans="1:20" s="1139" customFormat="1" ht="18" customHeight="1">
      <c r="B24" s="1640"/>
      <c r="C24" s="1640"/>
      <c r="D24" s="1640"/>
      <c r="E24" s="1640"/>
      <c r="F24" s="1640"/>
      <c r="G24" s="1640"/>
      <c r="H24" s="1640"/>
      <c r="I24" s="1640"/>
      <c r="K24"/>
      <c r="L24"/>
      <c r="M24"/>
      <c r="N24"/>
      <c r="O24"/>
      <c r="P24"/>
      <c r="Q24"/>
      <c r="R24"/>
      <c r="S24"/>
      <c r="T24"/>
    </row>
    <row r="25" spans="1:20" s="1139" customFormat="1" ht="18" customHeight="1">
      <c r="A25" s="1189" t="s">
        <v>791</v>
      </c>
      <c r="B25" s="1640" t="s">
        <v>795</v>
      </c>
      <c r="C25" s="1640"/>
      <c r="D25" s="1640"/>
      <c r="E25" s="1640"/>
      <c r="F25" s="1640"/>
      <c r="G25" s="1640"/>
      <c r="H25" s="1640"/>
      <c r="I25" s="1640"/>
      <c r="K25"/>
      <c r="L25"/>
      <c r="M25"/>
      <c r="N25"/>
      <c r="O25"/>
      <c r="P25"/>
      <c r="Q25"/>
      <c r="R25"/>
      <c r="S25"/>
      <c r="T25"/>
    </row>
    <row r="26" spans="1:20" s="1139" customFormat="1" ht="18" customHeight="1">
      <c r="B26" s="1640"/>
      <c r="C26" s="1640"/>
      <c r="D26" s="1640"/>
      <c r="E26" s="1640"/>
      <c r="F26" s="1640"/>
      <c r="G26" s="1640"/>
      <c r="H26" s="1640"/>
      <c r="I26" s="1640"/>
      <c r="K26"/>
      <c r="L26"/>
      <c r="M26"/>
      <c r="N26"/>
      <c r="O26"/>
      <c r="P26"/>
      <c r="Q26"/>
      <c r="R26"/>
      <c r="S26"/>
      <c r="T26"/>
    </row>
    <row r="27" spans="1:20" s="1139" customFormat="1" ht="7.5" customHeight="1">
      <c r="B27" s="1640"/>
      <c r="C27" s="1640"/>
      <c r="D27" s="1640"/>
      <c r="E27" s="1640"/>
      <c r="F27" s="1640"/>
      <c r="G27" s="1640"/>
      <c r="H27" s="1640"/>
      <c r="I27" s="1640"/>
      <c r="K27"/>
      <c r="L27"/>
      <c r="M27"/>
      <c r="N27"/>
      <c r="O27"/>
      <c r="P27"/>
      <c r="Q27"/>
      <c r="R27"/>
      <c r="S27"/>
      <c r="T27"/>
    </row>
    <row r="28" spans="1:20" s="1139" customFormat="1" ht="18" customHeight="1">
      <c r="A28" s="1139" t="s">
        <v>787</v>
      </c>
      <c r="B28" s="1139" t="s">
        <v>792</v>
      </c>
      <c r="C28" s="1186"/>
      <c r="D28" s="1186"/>
      <c r="E28" s="1186"/>
      <c r="F28" s="1186"/>
      <c r="G28" s="1186"/>
      <c r="H28" s="1186"/>
      <c r="I28" s="1186"/>
      <c r="K28"/>
      <c r="L28"/>
      <c r="M28"/>
      <c r="N28"/>
      <c r="O28"/>
      <c r="P28"/>
      <c r="Q28"/>
      <c r="R28"/>
      <c r="S28"/>
      <c r="T28"/>
    </row>
    <row r="29" spans="1:20" s="1139" customFormat="1" ht="18" customHeight="1">
      <c r="A29" s="1139" t="s">
        <v>788</v>
      </c>
      <c r="B29" s="1139" t="s">
        <v>793</v>
      </c>
      <c r="C29" s="1186"/>
      <c r="D29" s="1186"/>
      <c r="E29" s="1186"/>
      <c r="F29" s="1186"/>
      <c r="G29" s="1186"/>
      <c r="H29" s="1186"/>
      <c r="I29" s="1186"/>
      <c r="K29"/>
      <c r="L29"/>
      <c r="M29"/>
      <c r="N29"/>
      <c r="O29"/>
      <c r="P29"/>
      <c r="Q29"/>
      <c r="R29"/>
      <c r="S29"/>
      <c r="T29"/>
    </row>
    <row r="30" spans="1:20" s="1139" customFormat="1" ht="18" customHeight="1">
      <c r="A30" s="1139" t="s">
        <v>789</v>
      </c>
      <c r="B30" s="1641" t="s">
        <v>794</v>
      </c>
      <c r="C30" s="1641"/>
      <c r="D30" s="1641"/>
      <c r="E30" s="1641"/>
      <c r="F30" s="1641"/>
      <c r="G30" s="1641"/>
      <c r="H30" s="1641"/>
      <c r="I30" s="1641"/>
      <c r="J30" s="1641"/>
      <c r="K30"/>
      <c r="L30"/>
      <c r="M30"/>
      <c r="N30"/>
      <c r="O30"/>
      <c r="P30"/>
      <c r="Q30"/>
      <c r="R30"/>
      <c r="S30"/>
      <c r="T30"/>
    </row>
    <row r="31" spans="1:20" s="1139" customFormat="1" ht="18" customHeight="1">
      <c r="B31" s="1641"/>
      <c r="C31" s="1641"/>
      <c r="D31" s="1641"/>
      <c r="E31" s="1641"/>
      <c r="F31" s="1641"/>
      <c r="G31" s="1641"/>
      <c r="H31" s="1641"/>
      <c r="I31" s="1641"/>
      <c r="J31" s="1641"/>
      <c r="K31"/>
      <c r="L31"/>
      <c r="M31"/>
      <c r="N31"/>
      <c r="O31"/>
      <c r="P31"/>
      <c r="Q31"/>
      <c r="R31"/>
      <c r="S31"/>
      <c r="T31"/>
    </row>
    <row r="32" spans="1:20" s="1139" customFormat="1">
      <c r="C32" s="1186"/>
      <c r="D32" s="1186"/>
      <c r="E32" s="1186"/>
      <c r="F32" s="1186"/>
      <c r="G32" s="1186"/>
      <c r="H32" s="1186"/>
      <c r="I32" s="1186"/>
      <c r="K32"/>
      <c r="L32"/>
      <c r="M32"/>
      <c r="N32"/>
      <c r="O32"/>
      <c r="P32"/>
      <c r="Q32"/>
      <c r="R32"/>
      <c r="S32"/>
      <c r="T32"/>
    </row>
    <row r="33" spans="3:20" s="1139" customFormat="1">
      <c r="D33" s="1626" t="s">
        <v>666</v>
      </c>
      <c r="E33" s="1626"/>
      <c r="F33" s="1626"/>
      <c r="K33"/>
      <c r="L33"/>
      <c r="M33"/>
      <c r="N33"/>
      <c r="O33"/>
      <c r="P33"/>
      <c r="Q33"/>
      <c r="R33"/>
      <c r="S33"/>
      <c r="T33"/>
    </row>
    <row r="34" spans="3:20" s="1139" customFormat="1" ht="18" customHeight="1">
      <c r="D34" s="1627" t="s">
        <v>142</v>
      </c>
      <c r="E34" s="1628"/>
      <c r="F34" s="1175">
        <v>3.49</v>
      </c>
      <c r="K34"/>
      <c r="L34"/>
      <c r="M34"/>
      <c r="N34"/>
      <c r="O34"/>
      <c r="P34"/>
      <c r="Q34"/>
      <c r="R34"/>
      <c r="S34"/>
      <c r="T34"/>
    </row>
    <row r="35" spans="3:20" s="1139" customFormat="1" ht="18" customHeight="1">
      <c r="D35" s="1627" t="s">
        <v>143</v>
      </c>
      <c r="E35" s="1628"/>
      <c r="F35" s="1175">
        <v>2.56</v>
      </c>
      <c r="K35"/>
      <c r="L35"/>
      <c r="M35"/>
      <c r="N35"/>
      <c r="O35"/>
      <c r="P35"/>
      <c r="Q35"/>
      <c r="R35"/>
      <c r="S35"/>
      <c r="T35"/>
    </row>
    <row r="36" spans="3:20" s="1139" customFormat="1" ht="18" customHeight="1">
      <c r="D36" s="1629" t="s">
        <v>802</v>
      </c>
      <c r="E36" s="1630"/>
      <c r="F36" s="1630"/>
      <c r="K36"/>
      <c r="L36"/>
      <c r="M36"/>
      <c r="N36"/>
      <c r="O36"/>
      <c r="P36"/>
      <c r="Q36"/>
      <c r="R36"/>
      <c r="S36"/>
      <c r="T36"/>
    </row>
    <row r="37" spans="3:20" s="1139" customFormat="1">
      <c r="C37" s="1174"/>
      <c r="K37"/>
      <c r="L37"/>
      <c r="M37"/>
      <c r="N37"/>
      <c r="O37"/>
      <c r="P37"/>
      <c r="Q37"/>
      <c r="R37"/>
      <c r="S37"/>
      <c r="T37"/>
    </row>
    <row r="38" spans="3:20">
      <c r="K38"/>
      <c r="L38"/>
      <c r="M38"/>
      <c r="N38"/>
      <c r="O38"/>
      <c r="P38"/>
      <c r="Q38"/>
      <c r="R38"/>
      <c r="S38"/>
      <c r="T38"/>
    </row>
    <row r="39" spans="3:20">
      <c r="K39"/>
      <c r="L39"/>
      <c r="M39"/>
      <c r="N39"/>
      <c r="O39"/>
      <c r="P39"/>
      <c r="Q39"/>
      <c r="R39"/>
      <c r="S39"/>
      <c r="T39"/>
    </row>
    <row r="40" spans="3:20">
      <c r="K40"/>
      <c r="L40"/>
      <c r="M40"/>
      <c r="N40"/>
      <c r="O40"/>
      <c r="P40"/>
      <c r="Q40"/>
      <c r="R40"/>
      <c r="S40"/>
      <c r="T40"/>
    </row>
    <row r="41" spans="3:20">
      <c r="K41"/>
      <c r="L41"/>
      <c r="M41"/>
      <c r="N41"/>
      <c r="O41"/>
      <c r="P41"/>
      <c r="Q41"/>
      <c r="R41"/>
      <c r="S41"/>
      <c r="T41"/>
    </row>
    <row r="42" spans="3:20">
      <c r="H42" s="1141" t="s">
        <v>595</v>
      </c>
    </row>
  </sheetData>
  <mergeCells count="29">
    <mergeCell ref="A10:C10"/>
    <mergeCell ref="D10:E10"/>
    <mergeCell ref="F10:H10"/>
    <mergeCell ref="A1:G1"/>
    <mergeCell ref="A3:H6"/>
    <mergeCell ref="A9:C9"/>
    <mergeCell ref="D9:E9"/>
    <mergeCell ref="F9:H9"/>
    <mergeCell ref="A11:C11"/>
    <mergeCell ref="D11:E11"/>
    <mergeCell ref="F11:H11"/>
    <mergeCell ref="A12:B13"/>
    <mergeCell ref="D12:E12"/>
    <mergeCell ref="F12:H12"/>
    <mergeCell ref="D13:E13"/>
    <mergeCell ref="F13:H13"/>
    <mergeCell ref="D33:F33"/>
    <mergeCell ref="D34:E34"/>
    <mergeCell ref="D35:E35"/>
    <mergeCell ref="D36:F36"/>
    <mergeCell ref="A14:C14"/>
    <mergeCell ref="D14:E14"/>
    <mergeCell ref="F14:H14"/>
    <mergeCell ref="A15:C15"/>
    <mergeCell ref="D15:E15"/>
    <mergeCell ref="F15:H15"/>
    <mergeCell ref="B18:I24"/>
    <mergeCell ref="B25:I27"/>
    <mergeCell ref="B30:J31"/>
  </mergeCells>
  <phoneticPr fontId="168"/>
  <pageMargins left="0.78740157480314965" right="0.39370078740157483" top="0.59055118110236227" bottom="0.59055118110236227" header="0.39370078740157483" footer="0.39370078740157483"/>
  <pageSetup paperSize="9" scale="93" orientation="portrait" horizontalDpi="300" verticalDpi="300" r:id="rId1"/>
  <headerFooter alignWithMargins="0">
    <oddFooter>&amp;C&amp;7-16-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AA36"/>
  <sheetViews>
    <sheetView tabSelected="1" view="pageBreakPreview" zoomScaleNormal="100" zoomScaleSheetLayoutView="100" workbookViewId="0">
      <selection activeCell="P23" sqref="P23"/>
    </sheetView>
  </sheetViews>
  <sheetFormatPr defaultColWidth="8" defaultRowHeight="13.5"/>
  <cols>
    <col min="1" max="1" width="2.625" style="5" customWidth="1"/>
    <col min="2" max="3" width="3.625" style="5" customWidth="1"/>
    <col min="4" max="4" width="5.375" style="5" customWidth="1"/>
    <col min="5" max="5" width="4.875" style="5" customWidth="1"/>
    <col min="6" max="6" width="8.625" style="5" customWidth="1"/>
    <col min="7" max="7" width="5.375" style="5" customWidth="1"/>
    <col min="8" max="8" width="4.875" style="5" customWidth="1"/>
    <col min="9" max="9" width="8.625" style="5" customWidth="1"/>
    <col min="10" max="10" width="5.375" style="5" customWidth="1"/>
    <col min="11" max="11" width="4.875" style="5" customWidth="1"/>
    <col min="12" max="12" width="8.625" style="5" customWidth="1"/>
    <col min="13" max="13" width="5.125" style="5" customWidth="1"/>
    <col min="14" max="15" width="8" style="5"/>
    <col min="16" max="16" width="9" style="5" bestFit="1" customWidth="1"/>
    <col min="17" max="17" width="48" style="5" bestFit="1" customWidth="1"/>
    <col min="18" max="18" width="9" style="5" bestFit="1" customWidth="1"/>
    <col min="19" max="19" width="1.5" style="5" customWidth="1"/>
    <col min="20" max="20" width="12.25" style="5" bestFit="1" customWidth="1"/>
    <col min="21" max="16384" width="8" style="5"/>
  </cols>
  <sheetData>
    <row r="1" spans="1:27" ht="24.95" customHeight="1">
      <c r="A1" s="1384" t="s">
        <v>195</v>
      </c>
      <c r="B1" s="1384"/>
      <c r="C1" s="1384"/>
      <c r="D1" s="1384"/>
      <c r="E1" s="1384"/>
      <c r="F1" s="1384"/>
      <c r="G1" s="1384"/>
      <c r="H1" s="1384"/>
      <c r="I1" s="1384"/>
      <c r="J1" s="1384"/>
      <c r="K1" s="1384"/>
      <c r="L1" s="1384"/>
      <c r="M1" s="1384"/>
    </row>
    <row r="2" spans="1:27" ht="24.95" customHeight="1">
      <c r="A2" s="1385"/>
      <c r="B2" s="1385"/>
      <c r="C2" s="1385"/>
      <c r="D2" s="1385"/>
      <c r="E2" s="1385"/>
      <c r="F2" s="1385"/>
      <c r="G2" s="1385"/>
      <c r="H2" s="1385"/>
      <c r="I2" s="1385"/>
      <c r="J2" s="1385"/>
      <c r="K2" s="1385"/>
      <c r="L2" s="1385"/>
      <c r="M2" s="1385"/>
    </row>
    <row r="3" spans="1:27" ht="24.95" customHeight="1" thickBot="1">
      <c r="A3" s="1386" t="str">
        <f>"令和"&amp;IF(初期登録!B10&lt;10,DBCS(初期登録!B10),ASC(初期登録!B10))&amp;"年"&amp;IF(初期登録!D10&lt;10,DBCS(初期登録!D10),ASC(初期登録!D10))&amp;"月分"</f>
        <v>令和８年３月分</v>
      </c>
      <c r="B3" s="1386"/>
      <c r="C3" s="1386"/>
      <c r="D3" s="1386"/>
      <c r="E3" s="1386"/>
      <c r="F3" s="1386"/>
      <c r="G3" s="1386"/>
      <c r="H3" s="1386"/>
      <c r="I3" s="1386"/>
      <c r="J3" s="1386"/>
      <c r="K3" s="1386"/>
      <c r="L3" s="1386"/>
      <c r="M3" s="1386"/>
      <c r="P3" s="1099"/>
      <c r="Q3" s="1099"/>
    </row>
    <row r="4" spans="1:27" ht="15" customHeight="1">
      <c r="A4" s="200"/>
      <c r="B4" s="200"/>
      <c r="C4" s="200"/>
      <c r="D4" s="200"/>
      <c r="E4" s="200"/>
      <c r="F4" s="200"/>
      <c r="G4" s="200"/>
      <c r="H4" s="200"/>
      <c r="I4" s="200"/>
      <c r="J4" s="200"/>
      <c r="K4" s="200"/>
      <c r="L4" s="200"/>
      <c r="M4" s="200"/>
      <c r="P4" s="1099"/>
      <c r="Q4" s="1099"/>
    </row>
    <row r="5" spans="1:27" ht="15" customHeight="1">
      <c r="B5" s="200"/>
      <c r="C5" s="200"/>
      <c r="D5" s="200"/>
      <c r="E5" s="200"/>
      <c r="F5" s="200"/>
      <c r="G5" s="200"/>
      <c r="H5" s="200"/>
      <c r="I5" s="200"/>
      <c r="J5" s="200"/>
      <c r="K5" s="200"/>
      <c r="L5" s="200"/>
      <c r="P5" s="1099"/>
      <c r="Q5" s="1099"/>
    </row>
    <row r="6" spans="1:27" ht="15" customHeight="1">
      <c r="P6" s="1099"/>
      <c r="Q6" s="1099"/>
    </row>
    <row r="7" spans="1:27" ht="20.100000000000001" customHeight="1">
      <c r="A7" s="378" t="s">
        <v>322</v>
      </c>
      <c r="B7" s="378" t="str">
        <f>"令和"&amp;IF(初期登録!B10&lt;10,DBCS(初期登録!B10),ASC(初期登録!B10))&amp;"年"&amp;IF(初期登録!D10&lt;10,DBCS(初期登録!D10),ASC(初期登録!D10))&amp;"月のＣＩ(令和２年＝100)は、"</f>
        <v>令和８年３月のＣＩ(令和２年＝100)は、</v>
      </c>
      <c r="C7" s="378"/>
      <c r="D7" s="378"/>
      <c r="E7" s="378"/>
      <c r="F7" s="378"/>
      <c r="G7" s="378"/>
      <c r="H7" s="378"/>
      <c r="I7" s="378"/>
      <c r="J7" s="378"/>
      <c r="K7" s="378"/>
      <c r="L7" s="210"/>
      <c r="M7" s="211"/>
      <c r="P7" s="1099"/>
      <c r="Q7" s="1099"/>
    </row>
    <row r="8" spans="1:27" ht="20.100000000000001" customHeight="1">
      <c r="A8" s="379"/>
      <c r="B8" s="574" t="str">
        <f ca="1">"先行指数： " &amp;TEXT(表紙!D15,"0.0")&amp;"、一致指数： "&amp;TEXT(表紙!D16,"0.0")&amp;"、遅行指数： "&amp;TEXT(表紙!D17,"0.0")&amp;"となった。"</f>
        <v>先行指数： 156.2、一致指数： 145.7、遅行指数： 116.5となった。</v>
      </c>
      <c r="D8" s="380"/>
      <c r="E8" s="380"/>
      <c r="F8" s="380"/>
      <c r="G8" s="380"/>
      <c r="H8" s="380"/>
      <c r="I8" s="380"/>
      <c r="J8" s="380"/>
      <c r="K8" s="380"/>
      <c r="L8" s="212"/>
      <c r="M8" s="212"/>
      <c r="P8" s="1099"/>
      <c r="Q8" s="1099"/>
    </row>
    <row r="9" spans="1:27" s="6" customFormat="1" ht="20.100000000000001" customHeight="1">
      <c r="A9" s="381" t="s">
        <v>322</v>
      </c>
      <c r="B9" s="1096" t="s">
        <v>842</v>
      </c>
      <c r="C9" s="380"/>
      <c r="D9" s="380"/>
      <c r="E9" s="380"/>
      <c r="F9" s="380"/>
      <c r="G9" s="380"/>
      <c r="H9" s="380"/>
      <c r="I9" s="1096"/>
      <c r="J9" s="380"/>
      <c r="K9" s="380"/>
      <c r="L9" s="212"/>
      <c r="M9" s="214"/>
      <c r="P9" s="1103"/>
      <c r="Q9" s="1099"/>
      <c r="S9" s="1099"/>
      <c r="T9" s="1103"/>
      <c r="U9" s="1099"/>
      <c r="X9" s="1100"/>
      <c r="Z9" s="1098"/>
      <c r="AA9" s="1098"/>
    </row>
    <row r="10" spans="1:27" s="6" customFormat="1" ht="15" customHeight="1">
      <c r="A10" s="215"/>
      <c r="B10" s="386"/>
      <c r="C10" s="387"/>
      <c r="D10" s="388"/>
      <c r="E10" s="388"/>
      <c r="F10" s="388"/>
      <c r="G10" s="388"/>
      <c r="H10" s="388"/>
      <c r="I10" s="388"/>
      <c r="J10" s="388"/>
      <c r="K10" s="388"/>
      <c r="L10" s="388"/>
      <c r="M10" s="385"/>
    </row>
    <row r="11" spans="1:27" ht="15" customHeight="1">
      <c r="A11" s="211"/>
      <c r="B11" s="216"/>
      <c r="C11" s="216"/>
      <c r="D11" s="216"/>
      <c r="E11" s="216"/>
      <c r="F11" s="211"/>
      <c r="G11" s="211"/>
      <c r="H11" s="211"/>
      <c r="I11" s="211"/>
      <c r="J11" s="211"/>
      <c r="K11" s="211"/>
      <c r="L11" s="1157" t="str">
        <f>初期登録!F15</f>
        <v>(令和２年=100)</v>
      </c>
      <c r="M11" s="211"/>
      <c r="Q11" s="1102"/>
      <c r="R11" s="1102"/>
      <c r="S11" s="1102"/>
      <c r="T11" s="1102"/>
      <c r="U11" s="1101"/>
    </row>
    <row r="12" spans="1:27" ht="15" customHeight="1">
      <c r="A12" s="211"/>
      <c r="B12" s="1392"/>
      <c r="C12" s="1393"/>
      <c r="D12" s="1389" t="str">
        <f>"令和"&amp;IF(初期登録!B10&lt;10,DBCS(初期登録!B10),ASC(初期登録!B10))&amp;"年"&amp;IF(初期登録!D10&lt;10,DBCS(初期登録!D10),ASC(初期登録!D10))&amp;"月"</f>
        <v>令和８年３月</v>
      </c>
      <c r="E12" s="1390"/>
      <c r="F12" s="1391"/>
      <c r="G12" s="1388" t="s">
        <v>281</v>
      </c>
      <c r="H12" s="1388"/>
      <c r="I12" s="1388"/>
      <c r="J12" s="1387" t="s">
        <v>282</v>
      </c>
      <c r="K12" s="1388"/>
      <c r="L12" s="1388"/>
      <c r="M12" s="211"/>
    </row>
    <row r="13" spans="1:27" ht="15" customHeight="1">
      <c r="A13" s="211"/>
      <c r="B13" s="1394"/>
      <c r="C13" s="1395"/>
      <c r="D13" s="1400"/>
      <c r="E13" s="752" t="s">
        <v>319</v>
      </c>
      <c r="F13" s="1407" t="s">
        <v>287</v>
      </c>
      <c r="G13" s="1402"/>
      <c r="H13" s="752" t="s">
        <v>320</v>
      </c>
      <c r="I13" s="1406" t="s">
        <v>287</v>
      </c>
      <c r="J13" s="1402"/>
      <c r="K13" s="752" t="s">
        <v>320</v>
      </c>
      <c r="L13" s="1398" t="s">
        <v>287</v>
      </c>
      <c r="M13" s="211"/>
    </row>
    <row r="14" spans="1:27" s="6" customFormat="1" ht="15" customHeight="1">
      <c r="A14" s="213"/>
      <c r="B14" s="1396"/>
      <c r="C14" s="1397"/>
      <c r="D14" s="1401"/>
      <c r="E14" s="217" t="s">
        <v>323</v>
      </c>
      <c r="F14" s="1408"/>
      <c r="G14" s="1403"/>
      <c r="H14" s="217" t="s">
        <v>323</v>
      </c>
      <c r="I14" s="1405"/>
      <c r="J14" s="1403"/>
      <c r="K14" s="217" t="s">
        <v>323</v>
      </c>
      <c r="L14" s="1399"/>
      <c r="M14" s="213"/>
    </row>
    <row r="15" spans="1:27" ht="24.95" customHeight="1">
      <c r="A15" s="211"/>
      <c r="B15" s="1404" t="s">
        <v>283</v>
      </c>
      <c r="C15" s="1405"/>
      <c r="D15" s="802">
        <f ca="1">グラフデータ!D423</f>
        <v>156.19999999999999</v>
      </c>
      <c r="E15" s="400">
        <f ca="1">グラフデータ!I423</f>
        <v>0.5</v>
      </c>
      <c r="F15" s="1121" t="s">
        <v>830</v>
      </c>
      <c r="G15" s="802">
        <f ca="1">グラフデータ!M423</f>
        <v>156.79999999999998</v>
      </c>
      <c r="H15" s="434">
        <f ca="1">グラフデータ!Q423</f>
        <v>0.79999999999998295</v>
      </c>
      <c r="I15" s="1122" t="s">
        <v>833</v>
      </c>
      <c r="J15" s="802">
        <f ca="1">グラフデータ!U423</f>
        <v>153.45714285714286</v>
      </c>
      <c r="K15" s="434">
        <f ca="1">グラフデータ!Y423</f>
        <v>1.585714285714289</v>
      </c>
      <c r="L15" s="1123" t="s">
        <v>835</v>
      </c>
      <c r="M15" s="211"/>
    </row>
    <row r="16" spans="1:27" s="6" customFormat="1" ht="24.95" customHeight="1">
      <c r="A16" s="213"/>
      <c r="B16" s="1382" t="s">
        <v>284</v>
      </c>
      <c r="C16" s="1383"/>
      <c r="D16" s="802">
        <f ca="1">グラフデータ!E423</f>
        <v>145.69999999999999</v>
      </c>
      <c r="E16" s="400">
        <f ca="1">グラフデータ!J423</f>
        <v>1</v>
      </c>
      <c r="F16" s="1121" t="s">
        <v>831</v>
      </c>
      <c r="G16" s="802">
        <f ca="1">グラフデータ!N423</f>
        <v>143.79999999999998</v>
      </c>
      <c r="H16" s="434">
        <f ca="1">グラフデータ!R423</f>
        <v>5.0666666666666629</v>
      </c>
      <c r="I16" s="1122" t="s">
        <v>831</v>
      </c>
      <c r="J16" s="802">
        <f ca="1">グラフデータ!V423</f>
        <v>137.94285714285715</v>
      </c>
      <c r="K16" s="434">
        <f ca="1">グラフデータ!Z423</f>
        <v>1.8142857142857167</v>
      </c>
      <c r="L16" s="1123" t="s">
        <v>836</v>
      </c>
      <c r="M16" s="213"/>
    </row>
    <row r="17" spans="1:13" ht="24.95" customHeight="1">
      <c r="A17" s="211"/>
      <c r="B17" s="1382" t="s">
        <v>285</v>
      </c>
      <c r="C17" s="1383"/>
      <c r="D17" s="802">
        <f ca="1">グラフデータ!F423</f>
        <v>116.5</v>
      </c>
      <c r="E17" s="400">
        <f ca="1">グラフデータ!K423</f>
        <v>3.5999999999999943</v>
      </c>
      <c r="F17" s="1121" t="s">
        <v>832</v>
      </c>
      <c r="G17" s="802">
        <f ca="1">グラフデータ!O423</f>
        <v>114.7</v>
      </c>
      <c r="H17" s="434">
        <f ca="1">グラフデータ!S423</f>
        <v>-1.9333333333333229</v>
      </c>
      <c r="I17" s="1122" t="s">
        <v>834</v>
      </c>
      <c r="J17" s="802">
        <f ca="1">グラフデータ!W423</f>
        <v>118.94285714285715</v>
      </c>
      <c r="K17" s="434">
        <f ca="1">グラフデータ!AA423</f>
        <v>-0.22857142857142776</v>
      </c>
      <c r="L17" s="1123" t="s">
        <v>837</v>
      </c>
      <c r="M17" s="211"/>
    </row>
    <row r="18" spans="1:13" ht="15" customHeight="1">
      <c r="A18" s="683"/>
      <c r="B18" s="1413" t="s">
        <v>843</v>
      </c>
      <c r="C18" s="1414"/>
      <c r="D18" s="1414"/>
      <c r="E18" s="1414"/>
      <c r="F18" s="1414"/>
      <c r="G18" s="1414"/>
      <c r="H18" s="1414"/>
      <c r="I18" s="1414"/>
      <c r="J18" s="1414"/>
      <c r="K18" s="1414"/>
      <c r="L18" s="1414"/>
      <c r="M18" s="515"/>
    </row>
    <row r="19" spans="1:13" ht="15" customHeight="1">
      <c r="A19" s="683"/>
      <c r="B19" s="1413" t="s">
        <v>838</v>
      </c>
      <c r="C19" s="1413"/>
      <c r="D19" s="1413"/>
      <c r="E19" s="1413"/>
      <c r="F19" s="1413"/>
      <c r="G19" s="1413"/>
      <c r="H19" s="1413"/>
      <c r="I19" s="1413"/>
      <c r="J19" s="1413"/>
      <c r="K19" s="1413"/>
      <c r="L19" s="1413"/>
      <c r="M19" s="515"/>
    </row>
    <row r="20" spans="1:13" ht="15" customHeight="1">
      <c r="A20" s="683"/>
      <c r="B20" s="789"/>
      <c r="C20" s="790"/>
      <c r="D20" s="790"/>
      <c r="E20" s="790"/>
      <c r="F20" s="790"/>
      <c r="G20" s="790"/>
      <c r="H20" s="790"/>
      <c r="I20" s="790"/>
      <c r="J20" s="790"/>
      <c r="K20" s="790"/>
      <c r="L20" s="790"/>
      <c r="M20" s="515"/>
    </row>
    <row r="21" spans="1:13" ht="15" customHeight="1">
      <c r="A21" s="683"/>
      <c r="B21" s="789"/>
      <c r="C21" s="790"/>
      <c r="D21" s="790"/>
      <c r="E21" s="790"/>
      <c r="F21" s="790"/>
      <c r="G21" s="790"/>
      <c r="H21" s="790"/>
      <c r="I21" s="790"/>
      <c r="J21" s="790"/>
      <c r="K21" s="790"/>
      <c r="L21" s="790"/>
      <c r="M21" s="515"/>
    </row>
    <row r="22" spans="1:13" ht="15" customHeight="1">
      <c r="A22" s="683"/>
      <c r="B22" s="789"/>
      <c r="C22" s="790"/>
      <c r="D22" s="790"/>
      <c r="E22" s="790"/>
      <c r="F22" s="790"/>
      <c r="G22" s="790"/>
      <c r="H22" s="790"/>
      <c r="I22" s="790"/>
      <c r="J22" s="790"/>
      <c r="K22" s="790"/>
      <c r="L22" s="790"/>
      <c r="M22" s="515"/>
    </row>
    <row r="23" spans="1:13" ht="15" customHeight="1">
      <c r="B23" s="514"/>
      <c r="D23" s="515"/>
      <c r="E23" s="515"/>
      <c r="F23" s="515"/>
      <c r="G23" s="515"/>
      <c r="H23" s="515"/>
      <c r="I23" s="515"/>
      <c r="J23" s="515"/>
      <c r="K23" s="515"/>
      <c r="L23" s="515"/>
      <c r="M23" s="515"/>
    </row>
    <row r="24" spans="1:13" ht="15" customHeight="1">
      <c r="B24" s="514"/>
      <c r="D24" s="515"/>
      <c r="E24" s="515"/>
      <c r="F24" s="515"/>
      <c r="G24" s="515"/>
      <c r="H24" s="515"/>
      <c r="I24" s="515"/>
      <c r="J24" s="515"/>
      <c r="K24" s="515"/>
      <c r="L24" s="515"/>
      <c r="M24" s="515"/>
    </row>
    <row r="25" spans="1:13" ht="20.100000000000001" customHeight="1">
      <c r="A25" s="1409" t="s">
        <v>841</v>
      </c>
      <c r="B25" s="1410"/>
      <c r="C25" s="1410"/>
      <c r="D25" s="1410"/>
      <c r="E25" s="1410"/>
      <c r="F25" s="1410"/>
      <c r="G25" s="1410"/>
      <c r="H25" s="1410"/>
      <c r="I25" s="1410"/>
      <c r="J25" s="1410"/>
      <c r="K25" s="1410"/>
      <c r="L25" s="1410"/>
      <c r="M25" s="1410"/>
    </row>
    <row r="26" spans="1:13" ht="20.100000000000001" customHeight="1">
      <c r="A26" s="1411" t="s">
        <v>679</v>
      </c>
      <c r="B26" s="1412"/>
      <c r="C26" s="1412"/>
      <c r="D26" s="1412"/>
      <c r="E26" s="1412"/>
      <c r="F26" s="1412"/>
      <c r="G26" s="1412"/>
      <c r="H26" s="1412"/>
      <c r="I26" s="1412"/>
      <c r="J26" s="1412"/>
      <c r="K26" s="1412"/>
      <c r="L26" s="1412"/>
      <c r="M26" s="1412"/>
    </row>
    <row r="27" spans="1:13" ht="15" customHeight="1">
      <c r="B27" s="7"/>
      <c r="C27" s="7"/>
      <c r="D27" s="7"/>
    </row>
    <row r="28" spans="1:13" ht="15" customHeight="1">
      <c r="B28" s="1436" t="s">
        <v>196</v>
      </c>
      <c r="C28" s="1437"/>
      <c r="D28" s="1438"/>
      <c r="E28" s="1439"/>
      <c r="F28" s="1440"/>
      <c r="G28" s="1441"/>
      <c r="H28" s="1442"/>
      <c r="I28" s="1443"/>
      <c r="J28" s="1444"/>
      <c r="K28" s="1445"/>
      <c r="L28" s="1446"/>
      <c r="M28" s="391"/>
    </row>
    <row r="29" spans="1:13" ht="15" customHeight="1">
      <c r="B29" s="1447"/>
      <c r="C29" s="1448"/>
      <c r="D29" s="1449"/>
      <c r="E29" s="1450"/>
      <c r="F29" s="1451"/>
      <c r="G29" s="1452"/>
      <c r="H29" s="1453"/>
      <c r="I29" s="1454"/>
      <c r="J29" s="1455"/>
      <c r="K29" s="1456"/>
      <c r="L29" s="1457"/>
      <c r="M29" s="392"/>
    </row>
    <row r="30" spans="1:13" ht="15" customHeight="1">
      <c r="B30" s="1458" t="s">
        <v>324</v>
      </c>
      <c r="C30" s="1459"/>
      <c r="D30" s="1460"/>
      <c r="E30" s="1461"/>
      <c r="F30" s="1462"/>
      <c r="G30" s="1463"/>
      <c r="H30" s="1464"/>
      <c r="I30" s="1465"/>
      <c r="J30" s="1466"/>
      <c r="K30" s="1467"/>
      <c r="L30" s="1468"/>
      <c r="M30" s="393"/>
    </row>
    <row r="31" spans="1:13" ht="15" customHeight="1">
      <c r="B31" s="1469" t="s">
        <v>692</v>
      </c>
      <c r="C31" s="1470"/>
      <c r="D31" s="1471"/>
      <c r="E31" s="1472"/>
      <c r="F31" s="1473"/>
      <c r="G31" s="1474"/>
      <c r="H31" s="1475"/>
      <c r="I31" s="1476"/>
      <c r="J31" s="1477"/>
      <c r="K31" s="1478"/>
      <c r="L31" s="1479"/>
      <c r="M31" s="394"/>
    </row>
    <row r="32" spans="1:13" ht="15" customHeight="1">
      <c r="B32" s="390"/>
      <c r="C32" s="398"/>
      <c r="D32" s="398"/>
      <c r="E32" s="398"/>
      <c r="F32" s="398"/>
      <c r="G32" s="398"/>
      <c r="H32" s="398"/>
      <c r="I32" s="398"/>
      <c r="J32" s="398"/>
      <c r="K32" s="398"/>
      <c r="L32" s="399"/>
      <c r="M32" s="392"/>
    </row>
    <row r="33" spans="2:13" ht="15" customHeight="1">
      <c r="B33" s="1480" t="s">
        <v>359</v>
      </c>
      <c r="C33" s="1481"/>
      <c r="D33" s="1482"/>
      <c r="E33" s="1483"/>
      <c r="F33" s="1484"/>
      <c r="G33" s="1485"/>
      <c r="H33" s="1486"/>
      <c r="I33" s="1487"/>
      <c r="J33" s="1488"/>
      <c r="K33" s="1489"/>
      <c r="L33" s="1490"/>
      <c r="M33" s="395"/>
    </row>
    <row r="34" spans="2:13" ht="15" customHeight="1">
      <c r="B34" s="1415" t="s">
        <v>823</v>
      </c>
      <c r="C34" s="1416"/>
      <c r="D34" s="1417"/>
      <c r="E34" s="1418"/>
      <c r="F34" s="1419"/>
      <c r="G34" s="1420"/>
      <c r="H34" s="1421"/>
      <c r="I34" s="1422"/>
      <c r="J34" s="1423"/>
      <c r="K34" s="1424"/>
      <c r="L34" s="1425"/>
      <c r="M34" s="396"/>
    </row>
    <row r="35" spans="2:13" ht="15" customHeight="1">
      <c r="B35" s="1415" t="s">
        <v>824</v>
      </c>
      <c r="C35" s="1426"/>
      <c r="D35" s="1427"/>
      <c r="E35" s="1428"/>
      <c r="F35" s="1429"/>
      <c r="G35" s="1430"/>
      <c r="H35" s="1431"/>
      <c r="I35" s="1432"/>
      <c r="J35" s="1433"/>
      <c r="K35" s="1434"/>
      <c r="L35" s="1435"/>
      <c r="M35" s="397"/>
    </row>
    <row r="36" spans="2:13" ht="15" customHeight="1">
      <c r="B36" s="684"/>
      <c r="C36" s="685"/>
      <c r="D36" s="685"/>
      <c r="E36" s="685"/>
      <c r="F36" s="685"/>
      <c r="G36" s="685"/>
      <c r="H36" s="685"/>
      <c r="I36" s="685"/>
      <c r="J36" s="685"/>
      <c r="K36" s="685"/>
      <c r="L36" s="686"/>
      <c r="M36" s="392"/>
    </row>
  </sheetData>
  <customSheetViews>
    <customSheetView guid="{7EBA91D6-F088-446F-A1CC-E1462A1CA2C3}" showPageBreaks="1" showGridLines="0" printArea="1" showRuler="0">
      <selection activeCell="B13" sqref="B13:D13"/>
      <pageMargins left="0.78740157480314965" right="0.46" top="1.3385826771653544" bottom="0.55118110236220474" header="0.51181102362204722" footer="0.19685039370078741"/>
      <printOptions horizontalCentered="1"/>
      <pageSetup paperSize="9" scale="130" orientation="portrait" r:id="rId1"/>
      <headerFooter alignWithMargins="0"/>
    </customSheetView>
    <customSheetView guid="{883B7A2B-3CB3-449D-A461-655262B722BC}" showGridLines="0" showRuler="0">
      <selection activeCell="B13" sqref="B13:D13"/>
      <pageMargins left="0.78740157480314965" right="0.46" top="1.3385826771653544" bottom="0.55118110236220474" header="0.51181102362204722" footer="0.19685039370078741"/>
      <printOptions horizontalCentered="1"/>
      <pageSetup paperSize="9" scale="130" orientation="portrait" r:id="rId2"/>
      <headerFooter alignWithMargins="0"/>
    </customSheetView>
  </customSheetViews>
  <mergeCells count="25">
    <mergeCell ref="A25:M25"/>
    <mergeCell ref="A26:M26"/>
    <mergeCell ref="B18:L18"/>
    <mergeCell ref="B34:L34"/>
    <mergeCell ref="B35:L35"/>
    <mergeCell ref="B28:L29"/>
    <mergeCell ref="B30:L30"/>
    <mergeCell ref="B31:L31"/>
    <mergeCell ref="B33:L33"/>
    <mergeCell ref="B19:L19"/>
    <mergeCell ref="B17:C17"/>
    <mergeCell ref="A1:M2"/>
    <mergeCell ref="A3:M3"/>
    <mergeCell ref="J12:L12"/>
    <mergeCell ref="D12:F12"/>
    <mergeCell ref="B12:C14"/>
    <mergeCell ref="G12:I12"/>
    <mergeCell ref="L13:L14"/>
    <mergeCell ref="D13:D14"/>
    <mergeCell ref="J13:J14"/>
    <mergeCell ref="B15:C15"/>
    <mergeCell ref="I13:I14"/>
    <mergeCell ref="G13:G14"/>
    <mergeCell ref="F13:F14"/>
    <mergeCell ref="B16:C16"/>
  </mergeCells>
  <phoneticPr fontId="3"/>
  <hyperlinks>
    <hyperlink ref="B31" r:id="rId3" xr:uid="{00000000-0004-0000-0100-000000000000}"/>
  </hyperlinks>
  <printOptions horizontalCentered="1"/>
  <pageMargins left="0.78740157480314965" right="0.39370078740157483" top="0.59055118110236227" bottom="0.59055118110236227" header="0.39370078740157483" footer="0.39370078740157483"/>
  <pageSetup paperSize="9" scale="125" orientation="portrait" horizontalDpi="300" verticalDpi="300" r:id="rId4"/>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I54"/>
  <sheetViews>
    <sheetView view="pageBreakPreview" zoomScaleNormal="100" zoomScaleSheetLayoutView="100" workbookViewId="0">
      <selection activeCell="G6" sqref="G6:G7"/>
    </sheetView>
  </sheetViews>
  <sheetFormatPr defaultColWidth="8" defaultRowHeight="15.75" customHeight="1"/>
  <cols>
    <col min="1" max="1" width="3.625" style="219" customWidth="1"/>
    <col min="2" max="3" width="3.625" style="270" customWidth="1"/>
    <col min="4" max="4" width="23.875" style="219" customWidth="1"/>
    <col min="5" max="5" width="4.125" style="271" customWidth="1"/>
    <col min="6" max="6" width="20.875" style="271" customWidth="1"/>
    <col min="7" max="7" width="33.875" style="219" customWidth="1"/>
    <col min="8" max="8" width="20.875" style="219" customWidth="1"/>
    <col min="9" max="9" width="21.5" style="219" customWidth="1"/>
    <col min="10" max="16384" width="8" style="219"/>
  </cols>
  <sheetData>
    <row r="1" spans="2:9" s="270" customFormat="1" ht="24.75" customHeight="1">
      <c r="B1" s="1750" t="s">
        <v>58</v>
      </c>
      <c r="C1" s="1751"/>
      <c r="D1" s="1751"/>
      <c r="E1" s="1751"/>
      <c r="F1" s="1751"/>
      <c r="G1" s="1751"/>
    </row>
    <row r="2" spans="2:9" ht="15" customHeight="1" thickBot="1"/>
    <row r="3" spans="2:9" s="270" customFormat="1" ht="21.95" customHeight="1" thickBot="1">
      <c r="B3" s="287"/>
      <c r="C3" s="1752" t="s">
        <v>218</v>
      </c>
      <c r="D3" s="1753"/>
      <c r="E3" s="288"/>
      <c r="F3" s="288" t="s">
        <v>530</v>
      </c>
      <c r="G3" s="297" t="s">
        <v>117</v>
      </c>
      <c r="H3" s="298" t="s">
        <v>648</v>
      </c>
      <c r="I3" s="299" t="s">
        <v>118</v>
      </c>
    </row>
    <row r="4" spans="2:9" ht="21.95" customHeight="1" thickTop="1">
      <c r="B4" s="1754" t="s">
        <v>333</v>
      </c>
      <c r="C4" s="1755" t="s">
        <v>16</v>
      </c>
      <c r="D4" s="1756" t="s">
        <v>119</v>
      </c>
      <c r="E4" s="1663" t="s">
        <v>246</v>
      </c>
      <c r="F4" s="1743" t="s">
        <v>531</v>
      </c>
      <c r="G4" s="1757" t="s">
        <v>120</v>
      </c>
      <c r="H4" s="1749" t="s">
        <v>408</v>
      </c>
      <c r="I4" s="1742" t="s">
        <v>121</v>
      </c>
    </row>
    <row r="5" spans="2:9" ht="21.95" customHeight="1">
      <c r="B5" s="1702"/>
      <c r="C5" s="1674"/>
      <c r="D5" s="1685"/>
      <c r="E5" s="1669"/>
      <c r="F5" s="1676"/>
      <c r="G5" s="1748"/>
      <c r="H5" s="1669"/>
      <c r="I5" s="1714"/>
    </row>
    <row r="6" spans="2:9" ht="21.95" customHeight="1">
      <c r="B6" s="1702"/>
      <c r="C6" s="1659" t="s">
        <v>17</v>
      </c>
      <c r="D6" s="1684" t="s">
        <v>94</v>
      </c>
      <c r="E6" s="1663" t="s">
        <v>246</v>
      </c>
      <c r="F6" s="1663" t="s">
        <v>722</v>
      </c>
      <c r="G6" s="1745" t="s">
        <v>723</v>
      </c>
      <c r="H6" s="1663" t="s">
        <v>122</v>
      </c>
      <c r="I6" s="1713" t="s">
        <v>123</v>
      </c>
    </row>
    <row r="7" spans="2:9" ht="21.95" customHeight="1">
      <c r="B7" s="1702"/>
      <c r="C7" s="1674"/>
      <c r="D7" s="1685"/>
      <c r="E7" s="1669"/>
      <c r="F7" s="1679"/>
      <c r="G7" s="1746"/>
      <c r="H7" s="1669"/>
      <c r="I7" s="1714"/>
    </row>
    <row r="8" spans="2:9" ht="21.95" customHeight="1">
      <c r="B8" s="1702"/>
      <c r="C8" s="1659" t="s">
        <v>78</v>
      </c>
      <c r="D8" s="1684" t="s">
        <v>475</v>
      </c>
      <c r="E8" s="1718" t="s">
        <v>476</v>
      </c>
      <c r="F8" s="1663" t="s">
        <v>722</v>
      </c>
      <c r="G8" s="1745" t="s">
        <v>724</v>
      </c>
      <c r="H8" s="1718" t="s">
        <v>95</v>
      </c>
      <c r="I8" s="1713" t="s">
        <v>95</v>
      </c>
    </row>
    <row r="9" spans="2:9" ht="21.95" customHeight="1">
      <c r="B9" s="1702"/>
      <c r="C9" s="1674"/>
      <c r="D9" s="1685"/>
      <c r="E9" s="1669"/>
      <c r="F9" s="1679"/>
      <c r="G9" s="1746"/>
      <c r="H9" s="1669"/>
      <c r="I9" s="1714"/>
    </row>
    <row r="10" spans="2:9" ht="21.95" customHeight="1">
      <c r="B10" s="1702"/>
      <c r="C10" s="1659" t="s">
        <v>79</v>
      </c>
      <c r="D10" s="291" t="s">
        <v>96</v>
      </c>
      <c r="E10" s="1663" t="s">
        <v>246</v>
      </c>
      <c r="F10" s="1663" t="s">
        <v>531</v>
      </c>
      <c r="G10" s="1747" t="s">
        <v>259</v>
      </c>
      <c r="H10" s="891" t="s">
        <v>124</v>
      </c>
      <c r="I10" s="892" t="s">
        <v>125</v>
      </c>
    </row>
    <row r="11" spans="2:9" ht="21.95" customHeight="1">
      <c r="B11" s="1702"/>
      <c r="C11" s="1674"/>
      <c r="D11" s="289" t="s">
        <v>126</v>
      </c>
      <c r="E11" s="1669"/>
      <c r="F11" s="1679"/>
      <c r="G11" s="1748"/>
      <c r="H11" s="292" t="s">
        <v>127</v>
      </c>
      <c r="I11" s="893" t="s">
        <v>128</v>
      </c>
    </row>
    <row r="12" spans="2:9" ht="21.95" customHeight="1">
      <c r="B12" s="1702"/>
      <c r="C12" s="1659" t="s">
        <v>80</v>
      </c>
      <c r="D12" s="290" t="s">
        <v>97</v>
      </c>
      <c r="E12" s="1663" t="s">
        <v>246</v>
      </c>
      <c r="F12" s="1663" t="s">
        <v>531</v>
      </c>
      <c r="G12" s="1731" t="s">
        <v>803</v>
      </c>
      <c r="H12" s="1733" t="s">
        <v>804</v>
      </c>
      <c r="I12" s="1744" t="s">
        <v>805</v>
      </c>
    </row>
    <row r="13" spans="2:9" ht="21.95" customHeight="1">
      <c r="B13" s="1702"/>
      <c r="C13" s="1674"/>
      <c r="D13" s="289" t="s">
        <v>129</v>
      </c>
      <c r="E13" s="1669"/>
      <c r="F13" s="1679"/>
      <c r="G13" s="1732"/>
      <c r="H13" s="1734"/>
      <c r="I13" s="1717"/>
    </row>
    <row r="14" spans="2:9" ht="21.95" customHeight="1">
      <c r="B14" s="1702"/>
      <c r="C14" s="1659" t="s">
        <v>81</v>
      </c>
      <c r="D14" s="1684" t="s">
        <v>460</v>
      </c>
      <c r="E14" s="1718" t="s">
        <v>463</v>
      </c>
      <c r="F14" s="1663" t="s">
        <v>532</v>
      </c>
      <c r="G14" s="1723" t="s">
        <v>462</v>
      </c>
      <c r="H14" s="1677" t="s">
        <v>725</v>
      </c>
      <c r="I14" s="1713" t="s">
        <v>461</v>
      </c>
    </row>
    <row r="15" spans="2:9" ht="21.95" customHeight="1">
      <c r="B15" s="1702"/>
      <c r="C15" s="1674"/>
      <c r="D15" s="1685"/>
      <c r="E15" s="1669"/>
      <c r="F15" s="1679"/>
      <c r="G15" s="1758"/>
      <c r="H15" s="1720"/>
      <c r="I15" s="1714"/>
    </row>
    <row r="16" spans="2:9" ht="21.95" customHeight="1">
      <c r="B16" s="1702"/>
      <c r="C16" s="1659" t="s">
        <v>82</v>
      </c>
      <c r="D16" s="1684" t="s">
        <v>130</v>
      </c>
      <c r="E16" s="1736" t="s">
        <v>721</v>
      </c>
      <c r="F16" s="1663" t="s">
        <v>532</v>
      </c>
      <c r="G16" s="1686" t="s">
        <v>764</v>
      </c>
      <c r="H16" s="1739" t="s">
        <v>726</v>
      </c>
      <c r="I16" s="1740" t="s">
        <v>727</v>
      </c>
    </row>
    <row r="17" spans="2:9" ht="21.95" customHeight="1" thickBot="1">
      <c r="B17" s="1703"/>
      <c r="C17" s="1660"/>
      <c r="D17" s="1735"/>
      <c r="E17" s="1737"/>
      <c r="F17" s="1695"/>
      <c r="G17" s="1738"/>
      <c r="H17" s="1698"/>
      <c r="I17" s="1741"/>
    </row>
    <row r="18" spans="2:9" ht="21.95" customHeight="1">
      <c r="B18" s="1701" t="s">
        <v>334</v>
      </c>
      <c r="C18" s="1704" t="s">
        <v>16</v>
      </c>
      <c r="D18" s="293" t="s">
        <v>98</v>
      </c>
      <c r="E18" s="1707" t="s">
        <v>246</v>
      </c>
      <c r="F18" s="1719" t="s">
        <v>728</v>
      </c>
      <c r="G18" s="1721" t="s">
        <v>729</v>
      </c>
      <c r="H18" s="1722" t="s">
        <v>408</v>
      </c>
      <c r="I18" s="1716" t="s">
        <v>730</v>
      </c>
    </row>
    <row r="19" spans="2:9" ht="21.95" customHeight="1">
      <c r="B19" s="1702"/>
      <c r="C19" s="1674"/>
      <c r="D19" s="289" t="s">
        <v>131</v>
      </c>
      <c r="E19" s="1669"/>
      <c r="F19" s="1720"/>
      <c r="G19" s="1681"/>
      <c r="H19" s="1669"/>
      <c r="I19" s="1717"/>
    </row>
    <row r="20" spans="2:9" ht="29.25" customHeight="1">
      <c r="B20" s="1702"/>
      <c r="C20" s="1659" t="s">
        <v>17</v>
      </c>
      <c r="D20" s="1684" t="s">
        <v>459</v>
      </c>
      <c r="E20" s="1718" t="s">
        <v>458</v>
      </c>
      <c r="F20" s="1663" t="s">
        <v>531</v>
      </c>
      <c r="G20" s="1715" t="s">
        <v>464</v>
      </c>
      <c r="H20" s="1718" t="s">
        <v>95</v>
      </c>
      <c r="I20" s="1713" t="s">
        <v>121</v>
      </c>
    </row>
    <row r="21" spans="2:9" ht="29.25" customHeight="1">
      <c r="B21" s="1702"/>
      <c r="C21" s="1674"/>
      <c r="D21" s="1685"/>
      <c r="E21" s="1669"/>
      <c r="F21" s="1679"/>
      <c r="G21" s="1671"/>
      <c r="H21" s="1669"/>
      <c r="I21" s="1714"/>
    </row>
    <row r="22" spans="2:9" ht="21.95" customHeight="1">
      <c r="B22" s="1702"/>
      <c r="C22" s="1659" t="s">
        <v>78</v>
      </c>
      <c r="D22" s="1723" t="s">
        <v>4</v>
      </c>
      <c r="E22" s="1663" t="s">
        <v>246</v>
      </c>
      <c r="F22" s="1663" t="s">
        <v>531</v>
      </c>
      <c r="G22" s="1715" t="s">
        <v>5</v>
      </c>
      <c r="H22" s="1663" t="s">
        <v>122</v>
      </c>
      <c r="I22" s="1657" t="s">
        <v>524</v>
      </c>
    </row>
    <row r="23" spans="2:9" ht="21.95" customHeight="1">
      <c r="B23" s="1702"/>
      <c r="C23" s="1674"/>
      <c r="D23" s="1685"/>
      <c r="E23" s="1669"/>
      <c r="F23" s="1679"/>
      <c r="G23" s="1709"/>
      <c r="H23" s="1669"/>
      <c r="I23" s="1711"/>
    </row>
    <row r="24" spans="2:9" ht="21.95" customHeight="1">
      <c r="B24" s="1702"/>
      <c r="C24" s="1659" t="s">
        <v>79</v>
      </c>
      <c r="D24" s="1684" t="s">
        <v>477</v>
      </c>
      <c r="E24" s="1663" t="s">
        <v>246</v>
      </c>
      <c r="F24" s="1663" t="s">
        <v>722</v>
      </c>
      <c r="G24" s="1677" t="s">
        <v>731</v>
      </c>
      <c r="H24" s="1663" t="s">
        <v>122</v>
      </c>
      <c r="I24" s="1713" t="s">
        <v>123</v>
      </c>
    </row>
    <row r="25" spans="2:9" ht="21.95" customHeight="1">
      <c r="B25" s="1702"/>
      <c r="C25" s="1674"/>
      <c r="D25" s="1685"/>
      <c r="E25" s="1669"/>
      <c r="F25" s="1679"/>
      <c r="G25" s="1678"/>
      <c r="H25" s="1669"/>
      <c r="I25" s="1714"/>
    </row>
    <row r="26" spans="2:9" ht="21.95" customHeight="1">
      <c r="B26" s="1702"/>
      <c r="C26" s="1659" t="s">
        <v>80</v>
      </c>
      <c r="D26" s="1684" t="s">
        <v>509</v>
      </c>
      <c r="E26" s="1663" t="s">
        <v>246</v>
      </c>
      <c r="F26" s="1663" t="s">
        <v>722</v>
      </c>
      <c r="G26" s="1677" t="s">
        <v>732</v>
      </c>
      <c r="H26" s="1663" t="s">
        <v>95</v>
      </c>
      <c r="I26" s="1713" t="s">
        <v>95</v>
      </c>
    </row>
    <row r="27" spans="2:9" ht="21.95" customHeight="1">
      <c r="B27" s="1702"/>
      <c r="C27" s="1674"/>
      <c r="D27" s="1685"/>
      <c r="E27" s="1669"/>
      <c r="F27" s="1679"/>
      <c r="G27" s="1678"/>
      <c r="H27" s="1669"/>
      <c r="I27" s="1714"/>
    </row>
    <row r="28" spans="2:9" ht="21.95" customHeight="1">
      <c r="B28" s="1702"/>
      <c r="C28" s="1659" t="s">
        <v>81</v>
      </c>
      <c r="D28" s="1684" t="s">
        <v>510</v>
      </c>
      <c r="E28" s="1663" t="s">
        <v>246</v>
      </c>
      <c r="F28" s="1663" t="s">
        <v>722</v>
      </c>
      <c r="G28" s="1677" t="s">
        <v>733</v>
      </c>
      <c r="H28" s="1663" t="s">
        <v>95</v>
      </c>
      <c r="I28" s="1713" t="s">
        <v>95</v>
      </c>
    </row>
    <row r="29" spans="2:9" ht="21.95" customHeight="1">
      <c r="B29" s="1702"/>
      <c r="C29" s="1674"/>
      <c r="D29" s="1685"/>
      <c r="E29" s="1669"/>
      <c r="F29" s="1679"/>
      <c r="G29" s="1678"/>
      <c r="H29" s="1669"/>
      <c r="I29" s="1714"/>
    </row>
    <row r="30" spans="2:9" ht="21.95" customHeight="1">
      <c r="B30" s="1702"/>
      <c r="C30" s="1659" t="s">
        <v>82</v>
      </c>
      <c r="D30" s="290"/>
      <c r="E30" s="1663" t="s">
        <v>522</v>
      </c>
      <c r="F30" s="1726" t="s">
        <v>734</v>
      </c>
      <c r="G30" s="1715" t="s">
        <v>523</v>
      </c>
      <c r="H30" s="1729" t="s">
        <v>122</v>
      </c>
      <c r="I30" s="1690" t="s">
        <v>524</v>
      </c>
    </row>
    <row r="31" spans="2:9" ht="21.95" customHeight="1">
      <c r="B31" s="1702"/>
      <c r="C31" s="1724"/>
      <c r="D31" s="291" t="s">
        <v>525</v>
      </c>
      <c r="E31" s="1668"/>
      <c r="F31" s="1727"/>
      <c r="G31" s="1671"/>
      <c r="H31" s="1730"/>
      <c r="I31" s="1691"/>
    </row>
    <row r="32" spans="2:9" ht="21.95" customHeight="1">
      <c r="B32" s="1702"/>
      <c r="C32" s="1724"/>
      <c r="D32" s="291" t="s">
        <v>526</v>
      </c>
      <c r="E32" s="1668"/>
      <c r="F32" s="1727"/>
      <c r="G32" s="1671"/>
      <c r="H32" s="1730"/>
      <c r="I32" s="895" t="s">
        <v>527</v>
      </c>
    </row>
    <row r="33" spans="2:9" ht="21.95" customHeight="1">
      <c r="B33" s="1702"/>
      <c r="C33" s="1725"/>
      <c r="D33" s="289"/>
      <c r="E33" s="1669"/>
      <c r="F33" s="1728"/>
      <c r="G33" s="1709"/>
      <c r="H33" s="681" t="s">
        <v>528</v>
      </c>
      <c r="I33" s="896" t="s">
        <v>529</v>
      </c>
    </row>
    <row r="34" spans="2:9" ht="21.95" customHeight="1">
      <c r="B34" s="1702"/>
      <c r="C34" s="1659" t="s">
        <v>640</v>
      </c>
      <c r="D34" s="1693" t="s">
        <v>478</v>
      </c>
      <c r="E34" s="1663" t="s">
        <v>246</v>
      </c>
      <c r="F34" s="1663" t="s">
        <v>531</v>
      </c>
      <c r="G34" s="1696" t="s">
        <v>735</v>
      </c>
      <c r="H34" s="1680" t="s">
        <v>736</v>
      </c>
      <c r="I34" s="1699" t="s">
        <v>737</v>
      </c>
    </row>
    <row r="35" spans="2:9" ht="21.95" customHeight="1" thickBot="1">
      <c r="B35" s="1703"/>
      <c r="C35" s="1692"/>
      <c r="D35" s="1694"/>
      <c r="E35" s="1664"/>
      <c r="F35" s="1695"/>
      <c r="G35" s="1697"/>
      <c r="H35" s="1698"/>
      <c r="I35" s="1700"/>
    </row>
    <row r="36" spans="2:9" ht="21.95" customHeight="1">
      <c r="B36" s="1701" t="s">
        <v>335</v>
      </c>
      <c r="C36" s="1704" t="s">
        <v>16</v>
      </c>
      <c r="D36" s="1705" t="s">
        <v>738</v>
      </c>
      <c r="E36" s="1707" t="s">
        <v>246</v>
      </c>
      <c r="F36" s="1707" t="s">
        <v>531</v>
      </c>
      <c r="G36" s="1708" t="s">
        <v>689</v>
      </c>
      <c r="H36" s="1707" t="s">
        <v>122</v>
      </c>
      <c r="I36" s="1710" t="s">
        <v>524</v>
      </c>
    </row>
    <row r="37" spans="2:9" ht="21.95" customHeight="1">
      <c r="B37" s="1702"/>
      <c r="C37" s="1666"/>
      <c r="D37" s="1706"/>
      <c r="E37" s="1669"/>
      <c r="F37" s="1679"/>
      <c r="G37" s="1709"/>
      <c r="H37" s="1669"/>
      <c r="I37" s="1711"/>
    </row>
    <row r="38" spans="2:9" ht="21.95" customHeight="1">
      <c r="B38" s="1702"/>
      <c r="C38" s="1712" t="s">
        <v>17</v>
      </c>
      <c r="D38" s="1684" t="s">
        <v>479</v>
      </c>
      <c r="E38" s="1663" t="s">
        <v>246</v>
      </c>
      <c r="F38" s="1663" t="s">
        <v>722</v>
      </c>
      <c r="G38" s="1167" t="s">
        <v>739</v>
      </c>
      <c r="H38" s="1663" t="s">
        <v>122</v>
      </c>
      <c r="I38" s="1713" t="s">
        <v>123</v>
      </c>
    </row>
    <row r="39" spans="2:9" ht="21.95" customHeight="1">
      <c r="B39" s="1702"/>
      <c r="C39" s="1674"/>
      <c r="D39" s="1685"/>
      <c r="E39" s="1669"/>
      <c r="F39" s="1669"/>
      <c r="G39" s="1168" t="s">
        <v>740</v>
      </c>
      <c r="H39" s="1669"/>
      <c r="I39" s="1714"/>
    </row>
    <row r="40" spans="2:9" ht="21.75" customHeight="1">
      <c r="B40" s="1702"/>
      <c r="C40" s="1659" t="s">
        <v>78</v>
      </c>
      <c r="D40" s="1684" t="s">
        <v>624</v>
      </c>
      <c r="E40" s="1663" t="s">
        <v>625</v>
      </c>
      <c r="F40" s="1663" t="s">
        <v>722</v>
      </c>
      <c r="G40" s="1680" t="s">
        <v>741</v>
      </c>
      <c r="H40" s="1680" t="s">
        <v>742</v>
      </c>
      <c r="I40" s="1682" t="s">
        <v>743</v>
      </c>
    </row>
    <row r="41" spans="2:9" ht="21.75" customHeight="1">
      <c r="B41" s="1702"/>
      <c r="C41" s="1674"/>
      <c r="D41" s="1685"/>
      <c r="E41" s="1669"/>
      <c r="F41" s="1679"/>
      <c r="G41" s="1681"/>
      <c r="H41" s="1681"/>
      <c r="I41" s="1683"/>
    </row>
    <row r="42" spans="2:9" ht="21.95" customHeight="1">
      <c r="B42" s="1702"/>
      <c r="C42" s="1659" t="s">
        <v>79</v>
      </c>
      <c r="D42" s="1684" t="s">
        <v>634</v>
      </c>
      <c r="E42" s="1663" t="s">
        <v>210</v>
      </c>
      <c r="F42" s="1663" t="s">
        <v>533</v>
      </c>
      <c r="G42" s="1686" t="s">
        <v>744</v>
      </c>
      <c r="H42" s="1688" t="s">
        <v>409</v>
      </c>
      <c r="I42" s="1657" t="s">
        <v>636</v>
      </c>
    </row>
    <row r="43" spans="2:9" ht="21.95" customHeight="1">
      <c r="B43" s="1702"/>
      <c r="C43" s="1674"/>
      <c r="D43" s="1685"/>
      <c r="E43" s="1669"/>
      <c r="F43" s="1679"/>
      <c r="G43" s="1687"/>
      <c r="H43" s="1681"/>
      <c r="I43" s="1689"/>
    </row>
    <row r="44" spans="2:9" ht="21.95" customHeight="1">
      <c r="B44" s="1702"/>
      <c r="C44" s="1666" t="s">
        <v>80</v>
      </c>
      <c r="D44" s="1667" t="s">
        <v>480</v>
      </c>
      <c r="E44" s="1668" t="s">
        <v>223</v>
      </c>
      <c r="F44" s="1663" t="s">
        <v>531</v>
      </c>
      <c r="G44" s="1670" t="s">
        <v>745</v>
      </c>
      <c r="H44" s="1663" t="s">
        <v>122</v>
      </c>
      <c r="I44" s="894" t="s">
        <v>535</v>
      </c>
    </row>
    <row r="45" spans="2:9" ht="21.95" customHeight="1">
      <c r="B45" s="1702"/>
      <c r="C45" s="1666"/>
      <c r="D45" s="1656"/>
      <c r="E45" s="1668"/>
      <c r="F45" s="1669"/>
      <c r="G45" s="1671"/>
      <c r="H45" s="1669"/>
      <c r="I45" s="682" t="s">
        <v>536</v>
      </c>
    </row>
    <row r="46" spans="2:9" ht="30.75" customHeight="1">
      <c r="B46" s="1702"/>
      <c r="C46" s="1659" t="s">
        <v>81</v>
      </c>
      <c r="D46" s="1661" t="s">
        <v>685</v>
      </c>
      <c r="E46" s="1663" t="s">
        <v>210</v>
      </c>
      <c r="F46" s="1663" t="s">
        <v>533</v>
      </c>
      <c r="G46" s="1677" t="s">
        <v>746</v>
      </c>
      <c r="H46" s="1663" t="s">
        <v>122</v>
      </c>
      <c r="I46" s="1657" t="s">
        <v>537</v>
      </c>
    </row>
    <row r="47" spans="2:9" ht="30.75" customHeight="1">
      <c r="B47" s="1702"/>
      <c r="C47" s="1674"/>
      <c r="D47" s="1675"/>
      <c r="E47" s="1669"/>
      <c r="F47" s="1676"/>
      <c r="G47" s="1678"/>
      <c r="H47" s="1669"/>
      <c r="I47" s="1658"/>
    </row>
    <row r="48" spans="2:9" ht="21.95" customHeight="1">
      <c r="B48" s="1702"/>
      <c r="C48" s="1659" t="s">
        <v>82</v>
      </c>
      <c r="D48" s="1661" t="s">
        <v>407</v>
      </c>
      <c r="E48" s="1663" t="s">
        <v>246</v>
      </c>
      <c r="F48" s="1663" t="s">
        <v>531</v>
      </c>
      <c r="G48" s="1663" t="s">
        <v>667</v>
      </c>
      <c r="H48" s="1663" t="s">
        <v>132</v>
      </c>
      <c r="I48" s="1672" t="s">
        <v>410</v>
      </c>
    </row>
    <row r="49" spans="2:9" ht="21.95" customHeight="1" thickBot="1">
      <c r="B49" s="1703"/>
      <c r="C49" s="1660"/>
      <c r="D49" s="1662"/>
      <c r="E49" s="1664"/>
      <c r="F49" s="1665"/>
      <c r="G49" s="1665"/>
      <c r="H49" s="1664"/>
      <c r="I49" s="1673"/>
    </row>
    <row r="50" spans="2:9" ht="15" customHeight="1">
      <c r="B50" s="294"/>
      <c r="C50" s="266"/>
      <c r="D50" s="291"/>
      <c r="E50" s="265"/>
      <c r="F50" s="1166" t="s">
        <v>759</v>
      </c>
      <c r="G50" s="295"/>
      <c r="H50" s="265"/>
      <c r="I50" s="265"/>
    </row>
    <row r="51" spans="2:9" ht="15" customHeight="1">
      <c r="B51" s="1655" t="s">
        <v>0</v>
      </c>
      <c r="C51" s="1655"/>
      <c r="D51" s="1655"/>
      <c r="E51" s="1655"/>
      <c r="F51" s="219"/>
    </row>
    <row r="52" spans="2:9" ht="15" customHeight="1">
      <c r="B52" s="1655" t="s">
        <v>1</v>
      </c>
      <c r="C52" s="1655"/>
      <c r="D52" s="1655"/>
      <c r="E52" s="1655"/>
      <c r="F52" s="219"/>
    </row>
    <row r="53" spans="2:9" ht="15" customHeight="1">
      <c r="B53" s="1656" t="s">
        <v>2</v>
      </c>
      <c r="C53" s="1656"/>
      <c r="D53" s="1656"/>
      <c r="E53" s="1656"/>
      <c r="F53" s="291"/>
    </row>
    <row r="54" spans="2:9" ht="15" customHeight="1">
      <c r="B54" s="1655" t="s">
        <v>3</v>
      </c>
      <c r="C54" s="1655"/>
      <c r="D54" s="1655"/>
      <c r="E54" s="1655"/>
      <c r="F54" s="219"/>
    </row>
  </sheetData>
  <mergeCells count="155">
    <mergeCell ref="B1:G1"/>
    <mergeCell ref="C3:D3"/>
    <mergeCell ref="B4:B17"/>
    <mergeCell ref="C4:C5"/>
    <mergeCell ref="D4:D5"/>
    <mergeCell ref="C10:C11"/>
    <mergeCell ref="E10:E11"/>
    <mergeCell ref="F10:F11"/>
    <mergeCell ref="G4:G5"/>
    <mergeCell ref="E4:E5"/>
    <mergeCell ref="C8:C9"/>
    <mergeCell ref="D8:D9"/>
    <mergeCell ref="G6:G7"/>
    <mergeCell ref="E14:E15"/>
    <mergeCell ref="F14:F15"/>
    <mergeCell ref="G14:G15"/>
    <mergeCell ref="H6:H7"/>
    <mergeCell ref="I4:I5"/>
    <mergeCell ref="C6:C7"/>
    <mergeCell ref="D6:D7"/>
    <mergeCell ref="E6:E7"/>
    <mergeCell ref="F6:F7"/>
    <mergeCell ref="F4:F5"/>
    <mergeCell ref="I6:I7"/>
    <mergeCell ref="I12:I13"/>
    <mergeCell ref="E8:E9"/>
    <mergeCell ref="F8:F9"/>
    <mergeCell ref="G8:G9"/>
    <mergeCell ref="H8:H9"/>
    <mergeCell ref="I8:I9"/>
    <mergeCell ref="G10:G11"/>
    <mergeCell ref="H4:H5"/>
    <mergeCell ref="H14:H15"/>
    <mergeCell ref="C12:C13"/>
    <mergeCell ref="E12:E13"/>
    <mergeCell ref="F12:F13"/>
    <mergeCell ref="G12:G13"/>
    <mergeCell ref="H12:H13"/>
    <mergeCell ref="I14:I15"/>
    <mergeCell ref="C16:C17"/>
    <mergeCell ref="D16:D17"/>
    <mergeCell ref="E16:E17"/>
    <mergeCell ref="F16:F17"/>
    <mergeCell ref="G16:G17"/>
    <mergeCell ref="H16:H17"/>
    <mergeCell ref="I16:I17"/>
    <mergeCell ref="C14:C15"/>
    <mergeCell ref="D14:D15"/>
    <mergeCell ref="B18:B35"/>
    <mergeCell ref="C18:C19"/>
    <mergeCell ref="E18:E19"/>
    <mergeCell ref="F18:F19"/>
    <mergeCell ref="G18:G19"/>
    <mergeCell ref="H18:H19"/>
    <mergeCell ref="C22:C23"/>
    <mergeCell ref="D22:D23"/>
    <mergeCell ref="E22:E23"/>
    <mergeCell ref="F22:F23"/>
    <mergeCell ref="C24:C25"/>
    <mergeCell ref="D24:D25"/>
    <mergeCell ref="E24:E25"/>
    <mergeCell ref="F24:F25"/>
    <mergeCell ref="G24:G25"/>
    <mergeCell ref="H24:H25"/>
    <mergeCell ref="C30:C33"/>
    <mergeCell ref="E30:E33"/>
    <mergeCell ref="F30:F33"/>
    <mergeCell ref="G30:G33"/>
    <mergeCell ref="H30:H32"/>
    <mergeCell ref="I18:I19"/>
    <mergeCell ref="C20:C21"/>
    <mergeCell ref="D20:D21"/>
    <mergeCell ref="E20:E21"/>
    <mergeCell ref="F20:F21"/>
    <mergeCell ref="G20:G21"/>
    <mergeCell ref="H20:H21"/>
    <mergeCell ref="I20:I21"/>
    <mergeCell ref="I22:I23"/>
    <mergeCell ref="I24:I25"/>
    <mergeCell ref="E26:E27"/>
    <mergeCell ref="F26:F27"/>
    <mergeCell ref="G26:G27"/>
    <mergeCell ref="H26:H27"/>
    <mergeCell ref="G22:G23"/>
    <mergeCell ref="H22:H23"/>
    <mergeCell ref="I26:I27"/>
    <mergeCell ref="C28:C29"/>
    <mergeCell ref="D28:D29"/>
    <mergeCell ref="E28:E29"/>
    <mergeCell ref="F28:F29"/>
    <mergeCell ref="G28:G29"/>
    <mergeCell ref="H28:H29"/>
    <mergeCell ref="I28:I29"/>
    <mergeCell ref="C26:C27"/>
    <mergeCell ref="D26:D27"/>
    <mergeCell ref="I30:I31"/>
    <mergeCell ref="C34:C35"/>
    <mergeCell ref="D34:D35"/>
    <mergeCell ref="E34:E35"/>
    <mergeCell ref="F34:F35"/>
    <mergeCell ref="G34:G35"/>
    <mergeCell ref="H34:H35"/>
    <mergeCell ref="I34:I35"/>
    <mergeCell ref="B36:B49"/>
    <mergeCell ref="C36:C37"/>
    <mergeCell ref="D36:D37"/>
    <mergeCell ref="E36:E37"/>
    <mergeCell ref="F36:F37"/>
    <mergeCell ref="G36:G37"/>
    <mergeCell ref="H36:H37"/>
    <mergeCell ref="I36:I37"/>
    <mergeCell ref="C38:C39"/>
    <mergeCell ref="D38:D39"/>
    <mergeCell ref="E38:E39"/>
    <mergeCell ref="F38:F39"/>
    <mergeCell ref="H38:H39"/>
    <mergeCell ref="I38:I39"/>
    <mergeCell ref="C40:C41"/>
    <mergeCell ref="D40:D41"/>
    <mergeCell ref="E40:E41"/>
    <mergeCell ref="F40:F41"/>
    <mergeCell ref="G40:G41"/>
    <mergeCell ref="H40:H41"/>
    <mergeCell ref="I40:I41"/>
    <mergeCell ref="C42:C43"/>
    <mergeCell ref="D42:D43"/>
    <mergeCell ref="E42:E43"/>
    <mergeCell ref="F42:F43"/>
    <mergeCell ref="G42:G43"/>
    <mergeCell ref="H42:H43"/>
    <mergeCell ref="I42:I43"/>
    <mergeCell ref="C44:C45"/>
    <mergeCell ref="D44:D45"/>
    <mergeCell ref="E44:E45"/>
    <mergeCell ref="F44:F45"/>
    <mergeCell ref="G44:G45"/>
    <mergeCell ref="H44:H45"/>
    <mergeCell ref="H48:H49"/>
    <mergeCell ref="I48:I49"/>
    <mergeCell ref="C46:C47"/>
    <mergeCell ref="D46:D47"/>
    <mergeCell ref="E46:E47"/>
    <mergeCell ref="F46:F47"/>
    <mergeCell ref="G46:G47"/>
    <mergeCell ref="H46:H47"/>
    <mergeCell ref="B51:E51"/>
    <mergeCell ref="B52:E52"/>
    <mergeCell ref="B53:E53"/>
    <mergeCell ref="B54:E54"/>
    <mergeCell ref="I46:I47"/>
    <mergeCell ref="C48:C49"/>
    <mergeCell ref="D48:D49"/>
    <mergeCell ref="E48:E49"/>
    <mergeCell ref="F48:F49"/>
    <mergeCell ref="G48:G49"/>
  </mergeCells>
  <phoneticPr fontId="168"/>
  <pageMargins left="0.78740157480314965" right="0.39370078740157483" top="0.65" bottom="0.54" header="0.39370078740157483" footer="0.39370078740157483"/>
  <pageSetup paperSize="9" scale="65" orientation="portrait" horizontalDpi="300" verticalDpi="300" r:id="rId1"/>
  <headerFooter alignWithMargins="0">
    <oddFooter>&amp;C&amp;10-17-</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dimension ref="A1:AE430"/>
  <sheetViews>
    <sheetView zoomScale="80" zoomScaleNormal="80" workbookViewId="0">
      <pane xSplit="3" ySplit="67" topLeftCell="D405" activePane="bottomRight" state="frozen"/>
      <selection activeCell="K21" sqref="K21"/>
      <selection pane="topRight" activeCell="K21" sqref="K21"/>
      <selection pane="bottomLeft" activeCell="K21" sqref="K21"/>
      <selection pane="bottomRight" activeCell="K21" sqref="K21"/>
    </sheetView>
  </sheetViews>
  <sheetFormatPr defaultRowHeight="13.5"/>
  <cols>
    <col min="1" max="2" width="6.875" style="32" customWidth="1"/>
    <col min="3" max="3" width="6.875" customWidth="1"/>
    <col min="4" max="4" width="11.375" bestFit="1" customWidth="1"/>
    <col min="5" max="5" width="11.25" bestFit="1" customWidth="1"/>
    <col min="6" max="6" width="11.125" bestFit="1" customWidth="1"/>
    <col min="7" max="10" width="11.25" bestFit="1" customWidth="1"/>
    <col min="11" max="11" width="15.125" bestFit="1" customWidth="1"/>
    <col min="12" max="12" width="3.875" customWidth="1"/>
    <col min="13" max="15" width="11.25" bestFit="1" customWidth="1"/>
    <col min="16" max="18" width="11.125" bestFit="1" customWidth="1"/>
    <col min="19" max="19" width="11.25" bestFit="1" customWidth="1"/>
    <col min="20" max="20" width="12.625" customWidth="1"/>
    <col min="21" max="21" width="2.625" customWidth="1"/>
    <col min="22" max="22" width="12.625" customWidth="1"/>
    <col min="23" max="23" width="13.125" bestFit="1" customWidth="1"/>
    <col min="24" max="24" width="11.875" bestFit="1" customWidth="1"/>
    <col min="25" max="25" width="15.75" bestFit="1" customWidth="1"/>
    <col min="26" max="29" width="12.625" customWidth="1"/>
  </cols>
  <sheetData>
    <row r="1" spans="1:30">
      <c r="A1" s="196"/>
      <c r="B1" s="198"/>
      <c r="C1" s="191"/>
      <c r="D1" s="202"/>
      <c r="E1" s="193"/>
      <c r="F1" s="193"/>
      <c r="G1" s="193"/>
      <c r="H1" s="193"/>
      <c r="I1" s="193"/>
      <c r="J1" s="193"/>
      <c r="K1" s="193" t="s">
        <v>183</v>
      </c>
      <c r="L1" s="193"/>
      <c r="M1" s="193"/>
      <c r="N1" s="193"/>
      <c r="O1" s="193"/>
      <c r="P1" s="193"/>
      <c r="Q1" s="193"/>
      <c r="R1" s="193"/>
      <c r="S1" s="193"/>
      <c r="T1" s="194" t="s">
        <v>184</v>
      </c>
      <c r="U1" s="854"/>
      <c r="V1" s="203"/>
      <c r="W1" s="194"/>
      <c r="X1" s="194"/>
      <c r="Y1" s="194"/>
      <c r="Z1" s="194"/>
      <c r="AA1" s="194"/>
      <c r="AB1" s="194" t="s">
        <v>185</v>
      </c>
      <c r="AC1" s="194" t="s">
        <v>185</v>
      </c>
      <c r="AD1" s="4"/>
    </row>
    <row r="2" spans="1:30">
      <c r="A2" s="197"/>
      <c r="B2" s="199"/>
      <c r="C2" s="192"/>
      <c r="D2" s="206"/>
      <c r="E2" s="195" t="s">
        <v>150</v>
      </c>
      <c r="F2" s="195" t="s">
        <v>151</v>
      </c>
      <c r="G2" s="195" t="s">
        <v>152</v>
      </c>
      <c r="H2" s="195" t="s">
        <v>153</v>
      </c>
      <c r="I2" s="195" t="s">
        <v>154</v>
      </c>
      <c r="J2" s="195" t="s">
        <v>155</v>
      </c>
      <c r="K2" s="195" t="s">
        <v>156</v>
      </c>
      <c r="L2" s="855"/>
      <c r="M2" s="1" t="s">
        <v>157</v>
      </c>
      <c r="N2" s="1" t="s">
        <v>158</v>
      </c>
      <c r="O2" s="1" t="s">
        <v>159</v>
      </c>
      <c r="P2" s="1" t="s">
        <v>160</v>
      </c>
      <c r="Q2" s="1" t="s">
        <v>161</v>
      </c>
      <c r="R2" s="1" t="s">
        <v>162</v>
      </c>
      <c r="S2" s="1" t="s">
        <v>638</v>
      </c>
      <c r="T2" s="1" t="s">
        <v>639</v>
      </c>
      <c r="U2" s="855"/>
      <c r="V2" s="208" t="s">
        <v>182</v>
      </c>
      <c r="W2" s="2" t="s">
        <v>163</v>
      </c>
      <c r="X2" s="2" t="s">
        <v>164</v>
      </c>
      <c r="Y2" s="2" t="s">
        <v>165</v>
      </c>
      <c r="Z2" s="2" t="s">
        <v>514</v>
      </c>
      <c r="AA2" s="2" t="s">
        <v>512</v>
      </c>
      <c r="AB2" s="2" t="s">
        <v>513</v>
      </c>
      <c r="AC2" s="2" t="s">
        <v>515</v>
      </c>
    </row>
    <row r="3" spans="1:30" ht="81" customHeight="1">
      <c r="A3" s="402" t="s">
        <v>146</v>
      </c>
      <c r="B3" s="403" t="s">
        <v>147</v>
      </c>
      <c r="C3" s="404" t="s">
        <v>148</v>
      </c>
      <c r="D3" s="438" t="s">
        <v>380</v>
      </c>
      <c r="E3" s="405" t="s">
        <v>7</v>
      </c>
      <c r="F3" s="405" t="s">
        <v>166</v>
      </c>
      <c r="G3" s="405" t="s">
        <v>490</v>
      </c>
      <c r="H3" s="405" t="s">
        <v>168</v>
      </c>
      <c r="I3" s="405" t="s">
        <v>169</v>
      </c>
      <c r="J3" s="405" t="s">
        <v>8</v>
      </c>
      <c r="K3" s="405" t="s">
        <v>170</v>
      </c>
      <c r="L3" s="415"/>
      <c r="M3" s="406" t="s">
        <v>171</v>
      </c>
      <c r="N3" s="406" t="s">
        <v>495</v>
      </c>
      <c r="O3" s="406" t="s">
        <v>10</v>
      </c>
      <c r="P3" s="406" t="s">
        <v>493</v>
      </c>
      <c r="Q3" s="406" t="s">
        <v>172</v>
      </c>
      <c r="R3" s="406" t="s">
        <v>167</v>
      </c>
      <c r="S3" s="406" t="s">
        <v>511</v>
      </c>
      <c r="T3" s="406" t="s">
        <v>11</v>
      </c>
      <c r="U3" s="415"/>
      <c r="V3" s="439" t="s">
        <v>380</v>
      </c>
      <c r="W3" s="407" t="s">
        <v>173</v>
      </c>
      <c r="X3" s="407" t="s">
        <v>174</v>
      </c>
      <c r="Y3" s="407" t="s">
        <v>627</v>
      </c>
      <c r="Z3" s="407" t="s">
        <v>635</v>
      </c>
      <c r="AA3" s="407" t="s">
        <v>175</v>
      </c>
      <c r="AB3" s="407" t="s">
        <v>13</v>
      </c>
      <c r="AC3" s="407" t="s">
        <v>474</v>
      </c>
      <c r="AD3" s="214"/>
    </row>
    <row r="4" spans="1:30" ht="14.25">
      <c r="A4" s="408"/>
      <c r="B4" s="409"/>
      <c r="C4" s="410"/>
      <c r="D4" s="411"/>
      <c r="E4" s="676" t="s">
        <v>176</v>
      </c>
      <c r="F4" s="676" t="s">
        <v>748</v>
      </c>
      <c r="G4" s="676" t="s">
        <v>748</v>
      </c>
      <c r="H4" s="676" t="s">
        <v>177</v>
      </c>
      <c r="I4" s="676" t="s">
        <v>178</v>
      </c>
      <c r="J4" s="676" t="s">
        <v>9</v>
      </c>
      <c r="K4" s="676" t="s">
        <v>179</v>
      </c>
      <c r="L4" s="415"/>
      <c r="M4" s="677" t="s">
        <v>180</v>
      </c>
      <c r="N4" s="677" t="s">
        <v>12</v>
      </c>
      <c r="O4" s="677" t="s">
        <v>496</v>
      </c>
      <c r="P4" s="677" t="s">
        <v>748</v>
      </c>
      <c r="Q4" s="677" t="s">
        <v>748</v>
      </c>
      <c r="R4" s="677" t="s">
        <v>748</v>
      </c>
      <c r="S4" s="677" t="s">
        <v>176</v>
      </c>
      <c r="T4" s="677" t="s">
        <v>498</v>
      </c>
      <c r="U4" s="415"/>
      <c r="V4" s="412"/>
      <c r="W4" s="1135" t="s">
        <v>720</v>
      </c>
      <c r="X4" s="678" t="s">
        <v>748</v>
      </c>
      <c r="Y4" s="678" t="s">
        <v>517</v>
      </c>
      <c r="Z4" s="678" t="s">
        <v>517</v>
      </c>
      <c r="AA4" s="678" t="s">
        <v>181</v>
      </c>
      <c r="AB4" s="678" t="s">
        <v>750</v>
      </c>
      <c r="AC4" s="678" t="s">
        <v>181</v>
      </c>
      <c r="AD4" s="214"/>
    </row>
    <row r="5" spans="1:30" ht="14.25">
      <c r="A5" s="408"/>
      <c r="B5" s="409"/>
      <c r="C5" s="413"/>
      <c r="D5" s="414"/>
      <c r="E5" s="409"/>
      <c r="F5" s="409"/>
      <c r="G5" s="409"/>
      <c r="H5" s="409"/>
      <c r="I5" s="409"/>
      <c r="J5" s="409"/>
      <c r="K5" s="409"/>
      <c r="L5" s="415"/>
      <c r="M5" s="416"/>
      <c r="N5" s="416"/>
      <c r="O5" s="416"/>
      <c r="P5" s="409"/>
      <c r="Q5" s="416"/>
      <c r="R5" s="416"/>
      <c r="S5" s="409"/>
      <c r="T5" s="416"/>
      <c r="U5" s="415"/>
      <c r="V5" s="417"/>
      <c r="W5" s="409"/>
      <c r="X5" s="409"/>
      <c r="Y5" s="409"/>
      <c r="Z5" s="409"/>
      <c r="AA5" s="409"/>
      <c r="AB5" s="409"/>
      <c r="AC5" s="409"/>
      <c r="AD5" s="214"/>
    </row>
    <row r="6" spans="1:30" ht="14.25">
      <c r="A6" s="408"/>
      <c r="B6" s="409"/>
      <c r="C6" s="418"/>
      <c r="D6" s="419"/>
      <c r="E6" s="420"/>
      <c r="F6" s="420"/>
      <c r="G6" s="420"/>
      <c r="H6" s="420"/>
      <c r="I6" s="420"/>
      <c r="J6" s="420"/>
      <c r="K6" s="420"/>
      <c r="L6" s="415"/>
      <c r="M6" s="421"/>
      <c r="N6" s="421"/>
      <c r="O6" s="421"/>
      <c r="P6" s="421"/>
      <c r="Q6" s="421"/>
      <c r="R6" s="421"/>
      <c r="S6" s="422"/>
      <c r="T6" s="421"/>
      <c r="U6" s="415"/>
      <c r="V6" s="423"/>
      <c r="W6" s="409"/>
      <c r="X6" s="409"/>
      <c r="Y6" s="409"/>
      <c r="Z6" s="409"/>
      <c r="AA6" s="409"/>
      <c r="AB6" s="409"/>
      <c r="AC6" s="409"/>
      <c r="AD6" s="214"/>
    </row>
    <row r="7" spans="1:30" ht="14.25">
      <c r="A7" s="540" t="s">
        <v>360</v>
      </c>
      <c r="B7" s="541">
        <v>1993</v>
      </c>
      <c r="C7" s="542">
        <v>1</v>
      </c>
      <c r="D7" s="671"/>
      <c r="E7" s="543"/>
      <c r="F7" s="543"/>
      <c r="G7" s="543"/>
      <c r="H7" s="543"/>
      <c r="I7" s="543"/>
      <c r="J7" s="543"/>
      <c r="K7" s="543"/>
      <c r="L7" s="856"/>
      <c r="M7" s="543"/>
      <c r="N7" s="543"/>
      <c r="O7" s="543"/>
      <c r="P7" s="543"/>
      <c r="Q7" s="543"/>
      <c r="R7" s="543"/>
      <c r="S7" s="543"/>
      <c r="T7" s="543"/>
      <c r="U7" s="856"/>
      <c r="V7" s="543"/>
      <c r="W7" s="543"/>
      <c r="X7" s="543"/>
      <c r="Y7" s="543"/>
      <c r="Z7" s="543"/>
      <c r="AA7" s="543"/>
      <c r="AB7" s="543"/>
      <c r="AC7" s="543"/>
      <c r="AD7" s="546"/>
    </row>
    <row r="8" spans="1:30" ht="0.95" customHeight="1">
      <c r="A8" s="544"/>
      <c r="B8" s="545" t="s">
        <v>141</v>
      </c>
      <c r="C8" s="546">
        <v>2</v>
      </c>
      <c r="D8" s="672"/>
      <c r="E8" s="547"/>
      <c r="F8" s="547"/>
      <c r="G8" s="547"/>
      <c r="H8" s="547"/>
      <c r="I8" s="547"/>
      <c r="J8" s="547"/>
      <c r="K8" s="547"/>
      <c r="L8" s="857"/>
      <c r="M8" s="547"/>
      <c r="N8" s="547"/>
      <c r="O8" s="547"/>
      <c r="P8" s="547"/>
      <c r="Q8" s="547"/>
      <c r="R8" s="547"/>
      <c r="S8" s="547"/>
      <c r="T8" s="547"/>
      <c r="U8" s="857"/>
      <c r="V8" s="673"/>
      <c r="W8" s="547"/>
      <c r="X8" s="547"/>
      <c r="Y8" s="547"/>
      <c r="Z8" s="547"/>
      <c r="AA8" s="547"/>
      <c r="AB8" s="547"/>
      <c r="AC8" s="547"/>
      <c r="AD8" s="546"/>
    </row>
    <row r="9" spans="1:30" ht="0.95" customHeight="1">
      <c r="A9" s="544"/>
      <c r="B9" s="545" t="s">
        <v>141</v>
      </c>
      <c r="C9" s="546">
        <v>3</v>
      </c>
      <c r="D9" s="672"/>
      <c r="E9" s="547"/>
      <c r="F9" s="547"/>
      <c r="G9" s="547"/>
      <c r="H9" s="547"/>
      <c r="I9" s="547"/>
      <c r="J9" s="547"/>
      <c r="K9" s="547"/>
      <c r="L9" s="857"/>
      <c r="M9" s="547"/>
      <c r="N9" s="547"/>
      <c r="O9" s="547"/>
      <c r="P9" s="547"/>
      <c r="Q9" s="547"/>
      <c r="R9" s="547"/>
      <c r="S9" s="547"/>
      <c r="T9" s="547"/>
      <c r="U9" s="857"/>
      <c r="V9" s="673"/>
      <c r="W9" s="547"/>
      <c r="X9" s="547"/>
      <c r="Y9" s="547"/>
      <c r="Z9" s="547"/>
      <c r="AA9" s="547"/>
      <c r="AB9" s="547"/>
      <c r="AC9" s="547"/>
      <c r="AD9" s="546"/>
    </row>
    <row r="10" spans="1:30" ht="0.95" customHeight="1">
      <c r="A10" s="544"/>
      <c r="B10" s="545" t="s">
        <v>141</v>
      </c>
      <c r="C10" s="546">
        <v>4</v>
      </c>
      <c r="D10" s="672"/>
      <c r="E10" s="547"/>
      <c r="F10" s="547"/>
      <c r="G10" s="547"/>
      <c r="H10" s="547"/>
      <c r="I10" s="547"/>
      <c r="J10" s="547"/>
      <c r="K10" s="547"/>
      <c r="L10" s="857"/>
      <c r="M10" s="547"/>
      <c r="N10" s="547"/>
      <c r="O10" s="547"/>
      <c r="P10" s="547"/>
      <c r="Q10" s="547"/>
      <c r="R10" s="547"/>
      <c r="S10" s="547"/>
      <c r="T10" s="547"/>
      <c r="U10" s="857"/>
      <c r="V10" s="673"/>
      <c r="W10" s="547"/>
      <c r="X10" s="547"/>
      <c r="Y10" s="547"/>
      <c r="Z10" s="547"/>
      <c r="AA10" s="547"/>
      <c r="AB10" s="547"/>
      <c r="AC10" s="547"/>
      <c r="AD10" s="546"/>
    </row>
    <row r="11" spans="1:30" ht="0.95" customHeight="1">
      <c r="A11" s="544"/>
      <c r="B11" s="545" t="s">
        <v>141</v>
      </c>
      <c r="C11" s="546">
        <v>5</v>
      </c>
      <c r="D11" s="672"/>
      <c r="E11" s="547"/>
      <c r="F11" s="547"/>
      <c r="G11" s="547"/>
      <c r="H11" s="547"/>
      <c r="I11" s="547"/>
      <c r="J11" s="547"/>
      <c r="K11" s="547"/>
      <c r="L11" s="857"/>
      <c r="M11" s="547"/>
      <c r="N11" s="547"/>
      <c r="O11" s="547"/>
      <c r="P11" s="547"/>
      <c r="Q11" s="547"/>
      <c r="R11" s="547"/>
      <c r="S11" s="547"/>
      <c r="T11" s="547"/>
      <c r="U11" s="857"/>
      <c r="V11" s="673"/>
      <c r="W11" s="547"/>
      <c r="X11" s="547"/>
      <c r="Y11" s="547"/>
      <c r="Z11" s="547"/>
      <c r="AA11" s="547"/>
      <c r="AB11" s="547"/>
      <c r="AC11" s="547"/>
      <c r="AD11" s="546"/>
    </row>
    <row r="12" spans="1:30" ht="0.95" customHeight="1">
      <c r="A12" s="544"/>
      <c r="B12" s="545" t="s">
        <v>141</v>
      </c>
      <c r="C12" s="546">
        <v>6</v>
      </c>
      <c r="D12" s="672"/>
      <c r="E12" s="547"/>
      <c r="F12" s="547"/>
      <c r="G12" s="547"/>
      <c r="H12" s="547"/>
      <c r="I12" s="547"/>
      <c r="J12" s="547"/>
      <c r="K12" s="547"/>
      <c r="L12" s="857"/>
      <c r="M12" s="547"/>
      <c r="N12" s="547"/>
      <c r="O12" s="547"/>
      <c r="P12" s="547"/>
      <c r="Q12" s="547"/>
      <c r="R12" s="547"/>
      <c r="S12" s="547"/>
      <c r="T12" s="547"/>
      <c r="U12" s="857"/>
      <c r="V12" s="673"/>
      <c r="W12" s="547"/>
      <c r="X12" s="547"/>
      <c r="Y12" s="547"/>
      <c r="Z12" s="547"/>
      <c r="AA12" s="547"/>
      <c r="AB12" s="547"/>
      <c r="AC12" s="547"/>
      <c r="AD12" s="546"/>
    </row>
    <row r="13" spans="1:30" ht="0.95" customHeight="1">
      <c r="A13" s="544"/>
      <c r="B13" s="545" t="s">
        <v>141</v>
      </c>
      <c r="C13" s="546">
        <v>7</v>
      </c>
      <c r="D13" s="672"/>
      <c r="E13" s="547"/>
      <c r="F13" s="547"/>
      <c r="G13" s="547"/>
      <c r="H13" s="547"/>
      <c r="I13" s="547"/>
      <c r="J13" s="547"/>
      <c r="K13" s="547"/>
      <c r="L13" s="857"/>
      <c r="M13" s="547"/>
      <c r="N13" s="547"/>
      <c r="O13" s="547"/>
      <c r="P13" s="547"/>
      <c r="Q13" s="547"/>
      <c r="R13" s="547"/>
      <c r="S13" s="547"/>
      <c r="T13" s="547"/>
      <c r="U13" s="857"/>
      <c r="V13" s="673"/>
      <c r="W13" s="547"/>
      <c r="X13" s="547"/>
      <c r="Y13" s="547"/>
      <c r="Z13" s="547"/>
      <c r="AA13" s="547"/>
      <c r="AB13" s="547"/>
      <c r="AC13" s="547"/>
      <c r="AD13" s="546"/>
    </row>
    <row r="14" spans="1:30" ht="0.95" customHeight="1">
      <c r="A14" s="544"/>
      <c r="B14" s="545" t="s">
        <v>141</v>
      </c>
      <c r="C14" s="546">
        <v>8</v>
      </c>
      <c r="D14" s="672"/>
      <c r="E14" s="547"/>
      <c r="F14" s="547"/>
      <c r="G14" s="547"/>
      <c r="H14" s="547"/>
      <c r="I14" s="547"/>
      <c r="J14" s="547"/>
      <c r="K14" s="547"/>
      <c r="L14" s="857"/>
      <c r="M14" s="547"/>
      <c r="N14" s="547"/>
      <c r="O14" s="547"/>
      <c r="P14" s="547"/>
      <c r="Q14" s="547"/>
      <c r="R14" s="547"/>
      <c r="S14" s="547"/>
      <c r="T14" s="547"/>
      <c r="U14" s="857"/>
      <c r="V14" s="673"/>
      <c r="W14" s="547"/>
      <c r="X14" s="547"/>
      <c r="Y14" s="547"/>
      <c r="Z14" s="547"/>
      <c r="AA14" s="547"/>
      <c r="AB14" s="547"/>
      <c r="AC14" s="547"/>
      <c r="AD14" s="546"/>
    </row>
    <row r="15" spans="1:30" ht="0.95" customHeight="1">
      <c r="A15" s="544"/>
      <c r="B15" s="545" t="s">
        <v>141</v>
      </c>
      <c r="C15" s="546">
        <v>9</v>
      </c>
      <c r="D15" s="672"/>
      <c r="E15" s="547"/>
      <c r="F15" s="547"/>
      <c r="G15" s="547"/>
      <c r="H15" s="547"/>
      <c r="I15" s="547"/>
      <c r="J15" s="547"/>
      <c r="K15" s="547"/>
      <c r="L15" s="857"/>
      <c r="M15" s="547"/>
      <c r="N15" s="547"/>
      <c r="O15" s="547"/>
      <c r="P15" s="547"/>
      <c r="Q15" s="547"/>
      <c r="R15" s="547"/>
      <c r="S15" s="547"/>
      <c r="T15" s="547"/>
      <c r="U15" s="857"/>
      <c r="V15" s="673"/>
      <c r="W15" s="547"/>
      <c r="X15" s="547"/>
      <c r="Y15" s="547"/>
      <c r="Z15" s="547"/>
      <c r="AA15" s="547"/>
      <c r="AB15" s="547"/>
      <c r="AC15" s="547"/>
      <c r="AD15" s="546"/>
    </row>
    <row r="16" spans="1:30" ht="0.95" customHeight="1">
      <c r="A16" s="544"/>
      <c r="B16" s="545" t="s">
        <v>141</v>
      </c>
      <c r="C16" s="546">
        <v>10</v>
      </c>
      <c r="D16" s="672"/>
      <c r="E16" s="547"/>
      <c r="F16" s="547"/>
      <c r="G16" s="547"/>
      <c r="H16" s="547"/>
      <c r="I16" s="547"/>
      <c r="J16" s="547"/>
      <c r="K16" s="547"/>
      <c r="L16" s="857"/>
      <c r="M16" s="547"/>
      <c r="N16" s="547"/>
      <c r="O16" s="547"/>
      <c r="P16" s="547"/>
      <c r="Q16" s="547"/>
      <c r="R16" s="547"/>
      <c r="S16" s="547"/>
      <c r="T16" s="547"/>
      <c r="U16" s="857"/>
      <c r="V16" s="673"/>
      <c r="W16" s="547"/>
      <c r="X16" s="547"/>
      <c r="Y16" s="547"/>
      <c r="Z16" s="547"/>
      <c r="AA16" s="547"/>
      <c r="AB16" s="547"/>
      <c r="AC16" s="547"/>
      <c r="AD16" s="546"/>
    </row>
    <row r="17" spans="1:30" ht="0.95" customHeight="1">
      <c r="A17" s="544"/>
      <c r="B17" s="545" t="s">
        <v>141</v>
      </c>
      <c r="C17" s="546">
        <v>11</v>
      </c>
      <c r="D17" s="672"/>
      <c r="E17" s="547"/>
      <c r="F17" s="547"/>
      <c r="G17" s="547"/>
      <c r="H17" s="547"/>
      <c r="I17" s="547"/>
      <c r="J17" s="547"/>
      <c r="K17" s="547"/>
      <c r="L17" s="857"/>
      <c r="M17" s="547"/>
      <c r="N17" s="547"/>
      <c r="O17" s="547"/>
      <c r="P17" s="547"/>
      <c r="Q17" s="547"/>
      <c r="R17" s="547"/>
      <c r="S17" s="547"/>
      <c r="T17" s="547"/>
      <c r="U17" s="857"/>
      <c r="V17" s="673"/>
      <c r="W17" s="547"/>
      <c r="X17" s="547"/>
      <c r="Y17" s="547"/>
      <c r="Z17" s="547"/>
      <c r="AA17" s="547"/>
      <c r="AB17" s="547"/>
      <c r="AC17" s="547"/>
      <c r="AD17" s="546"/>
    </row>
    <row r="18" spans="1:30" ht="0.95" customHeight="1">
      <c r="A18" s="548"/>
      <c r="B18" s="549" t="s">
        <v>141</v>
      </c>
      <c r="C18" s="550">
        <v>12</v>
      </c>
      <c r="D18" s="674"/>
      <c r="E18" s="551"/>
      <c r="F18" s="551"/>
      <c r="G18" s="551"/>
      <c r="H18" s="551"/>
      <c r="I18" s="551"/>
      <c r="J18" s="551"/>
      <c r="K18" s="551"/>
      <c r="L18" s="858"/>
      <c r="M18" s="551"/>
      <c r="N18" s="551"/>
      <c r="O18" s="551"/>
      <c r="P18" s="551"/>
      <c r="Q18" s="551"/>
      <c r="R18" s="551"/>
      <c r="S18" s="551"/>
      <c r="T18" s="551"/>
      <c r="U18" s="858"/>
      <c r="V18" s="551"/>
      <c r="W18" s="551"/>
      <c r="X18" s="551"/>
      <c r="Y18" s="551"/>
      <c r="Z18" s="551"/>
      <c r="AA18" s="551"/>
      <c r="AB18" s="551"/>
      <c r="AC18" s="551"/>
      <c r="AD18" s="546"/>
    </row>
    <row r="19" spans="1:30" ht="0.95" customHeight="1">
      <c r="A19" s="544" t="s">
        <v>361</v>
      </c>
      <c r="B19" s="545">
        <v>1994</v>
      </c>
      <c r="C19" s="546">
        <v>1</v>
      </c>
      <c r="D19" s="675"/>
      <c r="E19" s="547"/>
      <c r="F19" s="547"/>
      <c r="G19" s="547"/>
      <c r="H19" s="547"/>
      <c r="I19" s="547"/>
      <c r="J19" s="547"/>
      <c r="K19" s="547"/>
      <c r="L19" s="857"/>
      <c r="M19" s="547"/>
      <c r="N19" s="547"/>
      <c r="O19" s="547"/>
      <c r="P19" s="547"/>
      <c r="Q19" s="547"/>
      <c r="R19" s="547"/>
      <c r="S19" s="547"/>
      <c r="T19" s="547"/>
      <c r="U19" s="857"/>
      <c r="V19" s="547"/>
      <c r="W19" s="547"/>
      <c r="X19" s="547"/>
      <c r="Y19" s="547"/>
      <c r="Z19" s="547"/>
      <c r="AA19" s="547"/>
      <c r="AB19" s="547"/>
      <c r="AC19" s="547"/>
      <c r="AD19" s="546"/>
    </row>
    <row r="20" spans="1:30" ht="0.95" customHeight="1">
      <c r="A20" s="544"/>
      <c r="B20" s="545" t="s">
        <v>141</v>
      </c>
      <c r="C20" s="546">
        <v>2</v>
      </c>
      <c r="D20" s="672"/>
      <c r="E20" s="547"/>
      <c r="F20" s="547"/>
      <c r="G20" s="547"/>
      <c r="H20" s="547"/>
      <c r="I20" s="547"/>
      <c r="J20" s="547"/>
      <c r="K20" s="547"/>
      <c r="L20" s="857"/>
      <c r="M20" s="547"/>
      <c r="N20" s="547"/>
      <c r="O20" s="547"/>
      <c r="P20" s="547"/>
      <c r="Q20" s="547"/>
      <c r="R20" s="547"/>
      <c r="S20" s="547"/>
      <c r="T20" s="547"/>
      <c r="U20" s="857"/>
      <c r="V20" s="673"/>
      <c r="W20" s="547"/>
      <c r="X20" s="547"/>
      <c r="Y20" s="547"/>
      <c r="Z20" s="547"/>
      <c r="AA20" s="547"/>
      <c r="AB20" s="547"/>
      <c r="AC20" s="547"/>
      <c r="AD20" s="546"/>
    </row>
    <row r="21" spans="1:30" ht="0.95" customHeight="1">
      <c r="A21" s="544"/>
      <c r="B21" s="545" t="s">
        <v>141</v>
      </c>
      <c r="C21" s="546">
        <v>3</v>
      </c>
      <c r="D21" s="672"/>
      <c r="E21" s="547"/>
      <c r="F21" s="547"/>
      <c r="G21" s="547"/>
      <c r="H21" s="547"/>
      <c r="I21" s="547"/>
      <c r="J21" s="547"/>
      <c r="K21" s="547"/>
      <c r="L21" s="857"/>
      <c r="M21" s="547"/>
      <c r="N21" s="547"/>
      <c r="O21" s="547"/>
      <c r="P21" s="547"/>
      <c r="Q21" s="547"/>
      <c r="R21" s="547"/>
      <c r="S21" s="547"/>
      <c r="T21" s="547"/>
      <c r="U21" s="857"/>
      <c r="V21" s="673"/>
      <c r="W21" s="547"/>
      <c r="X21" s="547"/>
      <c r="Y21" s="547"/>
      <c r="Z21" s="547"/>
      <c r="AA21" s="547"/>
      <c r="AB21" s="547"/>
      <c r="AC21" s="547"/>
      <c r="AD21" s="546"/>
    </row>
    <row r="22" spans="1:30" ht="0.95" customHeight="1">
      <c r="A22" s="544"/>
      <c r="B22" s="545" t="s">
        <v>141</v>
      </c>
      <c r="C22" s="546">
        <v>4</v>
      </c>
      <c r="D22" s="672"/>
      <c r="E22" s="547"/>
      <c r="F22" s="547"/>
      <c r="G22" s="547"/>
      <c r="H22" s="547"/>
      <c r="I22" s="547"/>
      <c r="J22" s="547"/>
      <c r="K22" s="547"/>
      <c r="L22" s="857"/>
      <c r="M22" s="547"/>
      <c r="N22" s="547"/>
      <c r="O22" s="547"/>
      <c r="P22" s="547"/>
      <c r="Q22" s="547"/>
      <c r="R22" s="547"/>
      <c r="S22" s="547"/>
      <c r="T22" s="547"/>
      <c r="U22" s="857"/>
      <c r="V22" s="673"/>
      <c r="W22" s="547"/>
      <c r="X22" s="547"/>
      <c r="Y22" s="547"/>
      <c r="Z22" s="547"/>
      <c r="AA22" s="547"/>
      <c r="AB22" s="547"/>
      <c r="AC22" s="547"/>
      <c r="AD22" s="546"/>
    </row>
    <row r="23" spans="1:30" ht="0.95" customHeight="1">
      <c r="A23" s="544"/>
      <c r="B23" s="545" t="s">
        <v>141</v>
      </c>
      <c r="C23" s="546">
        <v>5</v>
      </c>
      <c r="D23" s="672"/>
      <c r="E23" s="547"/>
      <c r="F23" s="547"/>
      <c r="G23" s="547"/>
      <c r="H23" s="547"/>
      <c r="I23" s="547"/>
      <c r="J23" s="547"/>
      <c r="K23" s="547"/>
      <c r="L23" s="857"/>
      <c r="M23" s="547"/>
      <c r="N23" s="547"/>
      <c r="O23" s="547"/>
      <c r="P23" s="547"/>
      <c r="Q23" s="547"/>
      <c r="R23" s="547"/>
      <c r="S23" s="547"/>
      <c r="T23" s="547"/>
      <c r="U23" s="857"/>
      <c r="V23" s="673"/>
      <c r="W23" s="547"/>
      <c r="X23" s="547"/>
      <c r="Y23" s="547"/>
      <c r="Z23" s="547"/>
      <c r="AA23" s="547"/>
      <c r="AB23" s="547"/>
      <c r="AC23" s="547"/>
      <c r="AD23" s="546"/>
    </row>
    <row r="24" spans="1:30" ht="0.95" customHeight="1">
      <c r="A24" s="544"/>
      <c r="B24" s="545" t="s">
        <v>141</v>
      </c>
      <c r="C24" s="546">
        <v>6</v>
      </c>
      <c r="D24" s="672"/>
      <c r="E24" s="547"/>
      <c r="F24" s="547"/>
      <c r="G24" s="547"/>
      <c r="H24" s="547"/>
      <c r="I24" s="547"/>
      <c r="J24" s="547"/>
      <c r="K24" s="547"/>
      <c r="L24" s="857"/>
      <c r="M24" s="547"/>
      <c r="N24" s="547"/>
      <c r="O24" s="547"/>
      <c r="P24" s="547"/>
      <c r="Q24" s="547"/>
      <c r="R24" s="547"/>
      <c r="S24" s="547"/>
      <c r="T24" s="547"/>
      <c r="U24" s="857"/>
      <c r="V24" s="673"/>
      <c r="W24" s="547"/>
      <c r="X24" s="547"/>
      <c r="Y24" s="547"/>
      <c r="Z24" s="547"/>
      <c r="AA24" s="547"/>
      <c r="AB24" s="547"/>
      <c r="AC24" s="547"/>
      <c r="AD24" s="546"/>
    </row>
    <row r="25" spans="1:30" ht="0.95" customHeight="1">
      <c r="A25" s="544"/>
      <c r="B25" s="545" t="s">
        <v>141</v>
      </c>
      <c r="C25" s="546">
        <v>7</v>
      </c>
      <c r="D25" s="672"/>
      <c r="E25" s="547"/>
      <c r="F25" s="547"/>
      <c r="G25" s="547"/>
      <c r="H25" s="547"/>
      <c r="I25" s="547"/>
      <c r="J25" s="547"/>
      <c r="K25" s="547"/>
      <c r="L25" s="857"/>
      <c r="M25" s="547"/>
      <c r="N25" s="547"/>
      <c r="O25" s="547"/>
      <c r="P25" s="547"/>
      <c r="Q25" s="547"/>
      <c r="R25" s="547"/>
      <c r="S25" s="547"/>
      <c r="T25" s="547"/>
      <c r="U25" s="857"/>
      <c r="V25" s="673"/>
      <c r="W25" s="547"/>
      <c r="X25" s="547"/>
      <c r="Y25" s="547"/>
      <c r="Z25" s="547"/>
      <c r="AA25" s="547"/>
      <c r="AB25" s="547"/>
      <c r="AC25" s="547"/>
      <c r="AD25" s="546"/>
    </row>
    <row r="26" spans="1:30" ht="0.95" customHeight="1">
      <c r="A26" s="544"/>
      <c r="B26" s="545" t="s">
        <v>141</v>
      </c>
      <c r="C26" s="546">
        <v>8</v>
      </c>
      <c r="D26" s="672"/>
      <c r="E26" s="547"/>
      <c r="F26" s="547"/>
      <c r="G26" s="547"/>
      <c r="H26" s="547"/>
      <c r="I26" s="547"/>
      <c r="J26" s="547"/>
      <c r="K26" s="547"/>
      <c r="L26" s="857"/>
      <c r="M26" s="547"/>
      <c r="N26" s="547"/>
      <c r="O26" s="547"/>
      <c r="P26" s="547"/>
      <c r="Q26" s="547"/>
      <c r="R26" s="547"/>
      <c r="S26" s="547"/>
      <c r="T26" s="547"/>
      <c r="U26" s="857"/>
      <c r="V26" s="673"/>
      <c r="W26" s="547"/>
      <c r="X26" s="547"/>
      <c r="Y26" s="547"/>
      <c r="Z26" s="547"/>
      <c r="AA26" s="547"/>
      <c r="AB26" s="547"/>
      <c r="AC26" s="547"/>
      <c r="AD26" s="546"/>
    </row>
    <row r="27" spans="1:30" ht="0.95" customHeight="1">
      <c r="A27" s="544"/>
      <c r="B27" s="545" t="s">
        <v>141</v>
      </c>
      <c r="C27" s="546">
        <v>9</v>
      </c>
      <c r="D27" s="672"/>
      <c r="E27" s="547"/>
      <c r="F27" s="547"/>
      <c r="G27" s="547"/>
      <c r="H27" s="547"/>
      <c r="I27" s="547"/>
      <c r="J27" s="547"/>
      <c r="K27" s="547"/>
      <c r="L27" s="857"/>
      <c r="M27" s="547"/>
      <c r="N27" s="547"/>
      <c r="O27" s="547"/>
      <c r="P27" s="547"/>
      <c r="Q27" s="547"/>
      <c r="R27" s="547"/>
      <c r="S27" s="547"/>
      <c r="T27" s="547"/>
      <c r="U27" s="857"/>
      <c r="V27" s="673"/>
      <c r="W27" s="547"/>
      <c r="X27" s="547"/>
      <c r="Y27" s="547"/>
      <c r="Z27" s="547"/>
      <c r="AA27" s="547"/>
      <c r="AB27" s="547"/>
      <c r="AC27" s="547"/>
      <c r="AD27" s="546"/>
    </row>
    <row r="28" spans="1:30" ht="0.95" customHeight="1">
      <c r="A28" s="544"/>
      <c r="B28" s="545" t="s">
        <v>141</v>
      </c>
      <c r="C28" s="546">
        <v>10</v>
      </c>
      <c r="D28" s="672"/>
      <c r="E28" s="547"/>
      <c r="F28" s="547"/>
      <c r="G28" s="547"/>
      <c r="H28" s="547"/>
      <c r="I28" s="547"/>
      <c r="J28" s="547"/>
      <c r="K28" s="547"/>
      <c r="L28" s="857"/>
      <c r="M28" s="547"/>
      <c r="N28" s="547"/>
      <c r="O28" s="547"/>
      <c r="P28" s="547"/>
      <c r="Q28" s="547"/>
      <c r="R28" s="547"/>
      <c r="S28" s="547"/>
      <c r="T28" s="547"/>
      <c r="U28" s="857"/>
      <c r="V28" s="673"/>
      <c r="W28" s="547"/>
      <c r="X28" s="547"/>
      <c r="Y28" s="547"/>
      <c r="Z28" s="547"/>
      <c r="AA28" s="547"/>
      <c r="AB28" s="547"/>
      <c r="AC28" s="547"/>
      <c r="AD28" s="546"/>
    </row>
    <row r="29" spans="1:30" ht="0.95" customHeight="1">
      <c r="A29" s="544"/>
      <c r="B29" s="545" t="s">
        <v>141</v>
      </c>
      <c r="C29" s="546">
        <v>11</v>
      </c>
      <c r="D29" s="672"/>
      <c r="E29" s="547"/>
      <c r="F29" s="547"/>
      <c r="G29" s="547"/>
      <c r="H29" s="547"/>
      <c r="I29" s="547"/>
      <c r="J29" s="547"/>
      <c r="K29" s="547"/>
      <c r="L29" s="857"/>
      <c r="M29" s="547"/>
      <c r="N29" s="547"/>
      <c r="O29" s="547"/>
      <c r="P29" s="547"/>
      <c r="Q29" s="547"/>
      <c r="R29" s="547"/>
      <c r="S29" s="547"/>
      <c r="T29" s="547"/>
      <c r="U29" s="857"/>
      <c r="V29" s="673"/>
      <c r="W29" s="547"/>
      <c r="X29" s="547"/>
      <c r="Y29" s="547"/>
      <c r="Z29" s="547"/>
      <c r="AA29" s="547"/>
      <c r="AB29" s="547"/>
      <c r="AC29" s="547"/>
      <c r="AD29" s="546"/>
    </row>
    <row r="30" spans="1:30" ht="0.95" customHeight="1">
      <c r="A30" s="544"/>
      <c r="B30" s="545" t="s">
        <v>141</v>
      </c>
      <c r="C30" s="546">
        <v>12</v>
      </c>
      <c r="D30" s="675"/>
      <c r="E30" s="547"/>
      <c r="F30" s="547"/>
      <c r="G30" s="547"/>
      <c r="H30" s="547"/>
      <c r="I30" s="547"/>
      <c r="J30" s="547"/>
      <c r="K30" s="547"/>
      <c r="L30" s="857"/>
      <c r="M30" s="547"/>
      <c r="N30" s="547"/>
      <c r="O30" s="547"/>
      <c r="P30" s="547"/>
      <c r="Q30" s="547"/>
      <c r="R30" s="547"/>
      <c r="S30" s="547"/>
      <c r="T30" s="547"/>
      <c r="U30" s="857"/>
      <c r="V30" s="547"/>
      <c r="W30" s="547"/>
      <c r="X30" s="547"/>
      <c r="Y30" s="547"/>
      <c r="Z30" s="547"/>
      <c r="AA30" s="547"/>
      <c r="AB30" s="547"/>
      <c r="AC30" s="547"/>
      <c r="AD30" s="546"/>
    </row>
    <row r="31" spans="1:30" ht="0.95" customHeight="1">
      <c r="A31" s="540" t="s">
        <v>362</v>
      </c>
      <c r="B31" s="541">
        <v>1995</v>
      </c>
      <c r="C31" s="542">
        <v>1</v>
      </c>
      <c r="D31" s="671"/>
      <c r="E31" s="543"/>
      <c r="F31" s="543"/>
      <c r="G31" s="543"/>
      <c r="H31" s="543"/>
      <c r="I31" s="543"/>
      <c r="J31" s="543"/>
      <c r="K31" s="543"/>
      <c r="L31" s="856"/>
      <c r="M31" s="543"/>
      <c r="N31" s="543"/>
      <c r="O31" s="543"/>
      <c r="P31" s="543"/>
      <c r="Q31" s="543"/>
      <c r="R31" s="543"/>
      <c r="S31" s="543"/>
      <c r="T31" s="543"/>
      <c r="U31" s="856"/>
      <c r="V31" s="543"/>
      <c r="W31" s="543"/>
      <c r="X31" s="543"/>
      <c r="Y31" s="543"/>
      <c r="Z31" s="543"/>
      <c r="AA31" s="543"/>
      <c r="AB31" s="543"/>
      <c r="AC31" s="543"/>
      <c r="AD31" s="546"/>
    </row>
    <row r="32" spans="1:30" ht="0.95" customHeight="1">
      <c r="A32" s="544"/>
      <c r="B32" s="545" t="s">
        <v>141</v>
      </c>
      <c r="C32" s="546">
        <v>2</v>
      </c>
      <c r="D32" s="672"/>
      <c r="E32" s="547"/>
      <c r="F32" s="547"/>
      <c r="G32" s="547"/>
      <c r="H32" s="547"/>
      <c r="I32" s="547"/>
      <c r="J32" s="547"/>
      <c r="K32" s="547"/>
      <c r="L32" s="857"/>
      <c r="M32" s="547"/>
      <c r="N32" s="547"/>
      <c r="O32" s="547"/>
      <c r="P32" s="547"/>
      <c r="Q32" s="547"/>
      <c r="R32" s="547"/>
      <c r="S32" s="547"/>
      <c r="T32" s="547"/>
      <c r="U32" s="857"/>
      <c r="V32" s="673"/>
      <c r="W32" s="547"/>
      <c r="X32" s="547"/>
      <c r="Y32" s="547"/>
      <c r="Z32" s="547"/>
      <c r="AA32" s="547"/>
      <c r="AB32" s="547"/>
      <c r="AC32" s="547"/>
      <c r="AD32" s="546"/>
    </row>
    <row r="33" spans="1:30" ht="0.95" customHeight="1">
      <c r="A33" s="544"/>
      <c r="B33" s="545" t="s">
        <v>141</v>
      </c>
      <c r="C33" s="546">
        <v>3</v>
      </c>
      <c r="D33" s="672"/>
      <c r="E33" s="547"/>
      <c r="F33" s="547"/>
      <c r="G33" s="547"/>
      <c r="H33" s="547"/>
      <c r="I33" s="547"/>
      <c r="J33" s="547"/>
      <c r="K33" s="547"/>
      <c r="L33" s="857"/>
      <c r="M33" s="547"/>
      <c r="N33" s="547"/>
      <c r="O33" s="547"/>
      <c r="P33" s="547"/>
      <c r="Q33" s="547"/>
      <c r="R33" s="547"/>
      <c r="S33" s="547"/>
      <c r="T33" s="547"/>
      <c r="U33" s="857"/>
      <c r="V33" s="673"/>
      <c r="W33" s="547"/>
      <c r="X33" s="547"/>
      <c r="Y33" s="547"/>
      <c r="Z33" s="547"/>
      <c r="AA33" s="547"/>
      <c r="AB33" s="547"/>
      <c r="AC33" s="547"/>
      <c r="AD33" s="546"/>
    </row>
    <row r="34" spans="1:30" ht="0.95" customHeight="1">
      <c r="A34" s="544"/>
      <c r="B34" s="545" t="s">
        <v>141</v>
      </c>
      <c r="C34" s="546">
        <v>4</v>
      </c>
      <c r="D34" s="672"/>
      <c r="E34" s="547"/>
      <c r="F34" s="547"/>
      <c r="G34" s="547"/>
      <c r="H34" s="547"/>
      <c r="I34" s="547"/>
      <c r="J34" s="547"/>
      <c r="K34" s="547"/>
      <c r="L34" s="857"/>
      <c r="M34" s="547"/>
      <c r="N34" s="547"/>
      <c r="O34" s="547"/>
      <c r="P34" s="547"/>
      <c r="Q34" s="547"/>
      <c r="R34" s="547"/>
      <c r="S34" s="547"/>
      <c r="T34" s="547"/>
      <c r="U34" s="857"/>
      <c r="V34" s="673"/>
      <c r="W34" s="547"/>
      <c r="X34" s="547"/>
      <c r="Y34" s="547"/>
      <c r="Z34" s="547"/>
      <c r="AA34" s="547"/>
      <c r="AB34" s="547"/>
      <c r="AC34" s="547"/>
      <c r="AD34" s="546"/>
    </row>
    <row r="35" spans="1:30" ht="0.95" customHeight="1">
      <c r="A35" s="544"/>
      <c r="B35" s="545" t="s">
        <v>141</v>
      </c>
      <c r="C35" s="546">
        <v>5</v>
      </c>
      <c r="D35" s="672"/>
      <c r="E35" s="547"/>
      <c r="F35" s="547"/>
      <c r="G35" s="547"/>
      <c r="H35" s="547"/>
      <c r="I35" s="547"/>
      <c r="J35" s="547"/>
      <c r="K35" s="547"/>
      <c r="L35" s="857"/>
      <c r="M35" s="547"/>
      <c r="N35" s="547"/>
      <c r="O35" s="547"/>
      <c r="P35" s="547"/>
      <c r="Q35" s="547"/>
      <c r="R35" s="547"/>
      <c r="S35" s="547"/>
      <c r="T35" s="547"/>
      <c r="U35" s="857"/>
      <c r="V35" s="673"/>
      <c r="W35" s="547"/>
      <c r="X35" s="547"/>
      <c r="Y35" s="547"/>
      <c r="Z35" s="547"/>
      <c r="AA35" s="547"/>
      <c r="AB35" s="547"/>
      <c r="AC35" s="547"/>
      <c r="AD35" s="546"/>
    </row>
    <row r="36" spans="1:30" ht="0.95" customHeight="1">
      <c r="A36" s="544"/>
      <c r="B36" s="545" t="s">
        <v>141</v>
      </c>
      <c r="C36" s="546">
        <v>6</v>
      </c>
      <c r="D36" s="672"/>
      <c r="E36" s="547"/>
      <c r="F36" s="547"/>
      <c r="G36" s="547"/>
      <c r="H36" s="547"/>
      <c r="I36" s="547"/>
      <c r="J36" s="547"/>
      <c r="K36" s="547"/>
      <c r="L36" s="857"/>
      <c r="M36" s="547"/>
      <c r="N36" s="547"/>
      <c r="O36" s="547"/>
      <c r="P36" s="547"/>
      <c r="Q36" s="547"/>
      <c r="R36" s="547"/>
      <c r="S36" s="547"/>
      <c r="T36" s="547"/>
      <c r="U36" s="857"/>
      <c r="V36" s="673"/>
      <c r="W36" s="547"/>
      <c r="X36" s="547"/>
      <c r="Y36" s="547"/>
      <c r="Z36" s="547"/>
      <c r="AA36" s="547"/>
      <c r="AB36" s="547"/>
      <c r="AC36" s="547"/>
      <c r="AD36" s="546"/>
    </row>
    <row r="37" spans="1:30" ht="0.95" customHeight="1">
      <c r="A37" s="544"/>
      <c r="B37" s="545" t="s">
        <v>141</v>
      </c>
      <c r="C37" s="546">
        <v>7</v>
      </c>
      <c r="D37" s="672"/>
      <c r="E37" s="547"/>
      <c r="F37" s="547"/>
      <c r="G37" s="547"/>
      <c r="H37" s="547"/>
      <c r="I37" s="547"/>
      <c r="J37" s="547"/>
      <c r="K37" s="547"/>
      <c r="L37" s="857"/>
      <c r="M37" s="547"/>
      <c r="N37" s="547"/>
      <c r="O37" s="547"/>
      <c r="P37" s="547"/>
      <c r="Q37" s="547"/>
      <c r="R37" s="547"/>
      <c r="S37" s="547"/>
      <c r="T37" s="547"/>
      <c r="U37" s="857"/>
      <c r="V37" s="673"/>
      <c r="W37" s="547"/>
      <c r="X37" s="547"/>
      <c r="Y37" s="547"/>
      <c r="Z37" s="547"/>
      <c r="AA37" s="547"/>
      <c r="AB37" s="547"/>
      <c r="AC37" s="547"/>
      <c r="AD37" s="546"/>
    </row>
    <row r="38" spans="1:30" ht="0.95" customHeight="1">
      <c r="A38" s="544"/>
      <c r="B38" s="545" t="s">
        <v>141</v>
      </c>
      <c r="C38" s="546">
        <v>8</v>
      </c>
      <c r="D38" s="672"/>
      <c r="E38" s="547"/>
      <c r="F38" s="547"/>
      <c r="G38" s="547"/>
      <c r="H38" s="547"/>
      <c r="I38" s="547"/>
      <c r="J38" s="547"/>
      <c r="K38" s="547"/>
      <c r="L38" s="857"/>
      <c r="M38" s="547"/>
      <c r="N38" s="547"/>
      <c r="O38" s="547"/>
      <c r="P38" s="547"/>
      <c r="Q38" s="547"/>
      <c r="R38" s="547"/>
      <c r="S38" s="547"/>
      <c r="T38" s="547"/>
      <c r="U38" s="857"/>
      <c r="V38" s="673"/>
      <c r="W38" s="547"/>
      <c r="X38" s="547"/>
      <c r="Y38" s="547"/>
      <c r="Z38" s="547"/>
      <c r="AA38" s="547"/>
      <c r="AB38" s="547"/>
      <c r="AC38" s="547"/>
      <c r="AD38" s="546"/>
    </row>
    <row r="39" spans="1:30" ht="0.95" customHeight="1">
      <c r="A39" s="544"/>
      <c r="B39" s="545" t="s">
        <v>141</v>
      </c>
      <c r="C39" s="546">
        <v>9</v>
      </c>
      <c r="D39" s="672"/>
      <c r="E39" s="547"/>
      <c r="F39" s="547"/>
      <c r="G39" s="547"/>
      <c r="H39" s="547"/>
      <c r="I39" s="547"/>
      <c r="J39" s="547"/>
      <c r="K39" s="547"/>
      <c r="L39" s="857"/>
      <c r="M39" s="547"/>
      <c r="N39" s="547"/>
      <c r="O39" s="547"/>
      <c r="P39" s="547"/>
      <c r="Q39" s="547"/>
      <c r="R39" s="547"/>
      <c r="S39" s="547"/>
      <c r="T39" s="547"/>
      <c r="U39" s="857"/>
      <c r="V39" s="673"/>
      <c r="W39" s="547"/>
      <c r="X39" s="547"/>
      <c r="Y39" s="547"/>
      <c r="Z39" s="547"/>
      <c r="AA39" s="547"/>
      <c r="AB39" s="547"/>
      <c r="AC39" s="547"/>
      <c r="AD39" s="546"/>
    </row>
    <row r="40" spans="1:30" ht="0.95" customHeight="1">
      <c r="A40" s="544"/>
      <c r="B40" s="545" t="s">
        <v>141</v>
      </c>
      <c r="C40" s="546">
        <v>10</v>
      </c>
      <c r="D40" s="672"/>
      <c r="E40" s="547"/>
      <c r="F40" s="547"/>
      <c r="G40" s="547"/>
      <c r="H40" s="547"/>
      <c r="I40" s="547"/>
      <c r="J40" s="547"/>
      <c r="K40" s="547"/>
      <c r="L40" s="857"/>
      <c r="M40" s="547"/>
      <c r="N40" s="547"/>
      <c r="O40" s="547"/>
      <c r="P40" s="547"/>
      <c r="Q40" s="547"/>
      <c r="R40" s="547"/>
      <c r="S40" s="547"/>
      <c r="T40" s="547"/>
      <c r="U40" s="857"/>
      <c r="V40" s="673"/>
      <c r="W40" s="547"/>
      <c r="X40" s="547"/>
      <c r="Y40" s="547"/>
      <c r="Z40" s="547"/>
      <c r="AA40" s="547"/>
      <c r="AB40" s="547"/>
      <c r="AC40" s="547"/>
      <c r="AD40" s="546"/>
    </row>
    <row r="41" spans="1:30" ht="0.95" customHeight="1">
      <c r="A41" s="544"/>
      <c r="B41" s="545" t="s">
        <v>141</v>
      </c>
      <c r="C41" s="546">
        <v>11</v>
      </c>
      <c r="D41" s="672"/>
      <c r="E41" s="547"/>
      <c r="F41" s="547"/>
      <c r="G41" s="547"/>
      <c r="H41" s="547"/>
      <c r="I41" s="547"/>
      <c r="J41" s="547"/>
      <c r="K41" s="547"/>
      <c r="L41" s="857"/>
      <c r="M41" s="547"/>
      <c r="N41" s="547"/>
      <c r="O41" s="547"/>
      <c r="P41" s="547"/>
      <c r="Q41" s="547"/>
      <c r="R41" s="547"/>
      <c r="S41" s="547"/>
      <c r="T41" s="547"/>
      <c r="U41" s="857"/>
      <c r="V41" s="673"/>
      <c r="W41" s="547"/>
      <c r="X41" s="547"/>
      <c r="Y41" s="547"/>
      <c r="Z41" s="547"/>
      <c r="AA41" s="547"/>
      <c r="AB41" s="547"/>
      <c r="AC41" s="547"/>
      <c r="AD41" s="546"/>
    </row>
    <row r="42" spans="1:30" ht="0.95" customHeight="1">
      <c r="A42" s="548"/>
      <c r="B42" s="549" t="s">
        <v>141</v>
      </c>
      <c r="C42" s="550">
        <v>12</v>
      </c>
      <c r="D42" s="674"/>
      <c r="E42" s="551"/>
      <c r="F42" s="551"/>
      <c r="G42" s="551"/>
      <c r="H42" s="551"/>
      <c r="I42" s="551"/>
      <c r="J42" s="551"/>
      <c r="K42" s="551"/>
      <c r="L42" s="858"/>
      <c r="M42" s="551"/>
      <c r="N42" s="551"/>
      <c r="O42" s="551"/>
      <c r="P42" s="551"/>
      <c r="Q42" s="551"/>
      <c r="R42" s="551"/>
      <c r="S42" s="551"/>
      <c r="T42" s="551"/>
      <c r="U42" s="858"/>
      <c r="V42" s="551"/>
      <c r="W42" s="551"/>
      <c r="X42" s="551"/>
      <c r="Y42" s="551"/>
      <c r="Z42" s="551"/>
      <c r="AA42" s="551"/>
      <c r="AB42" s="551"/>
      <c r="AC42" s="551"/>
      <c r="AD42" s="546"/>
    </row>
    <row r="43" spans="1:30" ht="0.95" customHeight="1">
      <c r="A43" s="544" t="s">
        <v>363</v>
      </c>
      <c r="B43" s="545">
        <v>1996</v>
      </c>
      <c r="C43" s="546">
        <v>1</v>
      </c>
      <c r="D43" s="675"/>
      <c r="E43" s="547"/>
      <c r="F43" s="547"/>
      <c r="G43" s="547"/>
      <c r="H43" s="547"/>
      <c r="I43" s="547"/>
      <c r="J43" s="547"/>
      <c r="K43" s="547"/>
      <c r="L43" s="857"/>
      <c r="M43" s="547"/>
      <c r="N43" s="547"/>
      <c r="O43" s="547"/>
      <c r="P43" s="547"/>
      <c r="Q43" s="547"/>
      <c r="R43" s="547"/>
      <c r="S43" s="547"/>
      <c r="T43" s="547"/>
      <c r="U43" s="857"/>
      <c r="V43" s="547"/>
      <c r="W43" s="547"/>
      <c r="X43" s="547"/>
      <c r="Y43" s="547"/>
      <c r="Z43" s="547"/>
      <c r="AA43" s="547"/>
      <c r="AB43" s="547"/>
      <c r="AC43" s="547"/>
      <c r="AD43" s="546"/>
    </row>
    <row r="44" spans="1:30" ht="0.95" customHeight="1">
      <c r="A44" s="544"/>
      <c r="B44" s="545" t="s">
        <v>141</v>
      </c>
      <c r="C44" s="546">
        <v>2</v>
      </c>
      <c r="D44" s="672"/>
      <c r="E44" s="547"/>
      <c r="F44" s="547"/>
      <c r="G44" s="547"/>
      <c r="H44" s="547"/>
      <c r="I44" s="547"/>
      <c r="J44" s="547"/>
      <c r="K44" s="547"/>
      <c r="L44" s="857"/>
      <c r="M44" s="547"/>
      <c r="N44" s="547"/>
      <c r="O44" s="547"/>
      <c r="P44" s="547"/>
      <c r="Q44" s="547"/>
      <c r="R44" s="547"/>
      <c r="S44" s="547"/>
      <c r="T44" s="547"/>
      <c r="U44" s="857"/>
      <c r="V44" s="673"/>
      <c r="W44" s="547"/>
      <c r="X44" s="547"/>
      <c r="Y44" s="547"/>
      <c r="Z44" s="547"/>
      <c r="AA44" s="547"/>
      <c r="AB44" s="547"/>
      <c r="AC44" s="547"/>
      <c r="AD44" s="546"/>
    </row>
    <row r="45" spans="1:30" ht="0.95" customHeight="1">
      <c r="A45" s="544"/>
      <c r="B45" s="545" t="s">
        <v>141</v>
      </c>
      <c r="C45" s="546">
        <v>3</v>
      </c>
      <c r="D45" s="672"/>
      <c r="E45" s="547"/>
      <c r="F45" s="547"/>
      <c r="G45" s="547"/>
      <c r="H45" s="547"/>
      <c r="I45" s="547"/>
      <c r="J45" s="547"/>
      <c r="K45" s="547"/>
      <c r="L45" s="857"/>
      <c r="M45" s="547"/>
      <c r="N45" s="547"/>
      <c r="O45" s="547"/>
      <c r="P45" s="547"/>
      <c r="Q45" s="547"/>
      <c r="R45" s="547"/>
      <c r="S45" s="547"/>
      <c r="T45" s="547"/>
      <c r="U45" s="857"/>
      <c r="V45" s="673"/>
      <c r="W45" s="547"/>
      <c r="X45" s="547"/>
      <c r="Y45" s="547"/>
      <c r="Z45" s="547"/>
      <c r="AA45" s="547"/>
      <c r="AB45" s="547"/>
      <c r="AC45" s="547"/>
      <c r="AD45" s="546"/>
    </row>
    <row r="46" spans="1:30" ht="0.95" customHeight="1">
      <c r="A46" s="544"/>
      <c r="B46" s="545" t="s">
        <v>141</v>
      </c>
      <c r="C46" s="546">
        <v>4</v>
      </c>
      <c r="D46" s="672"/>
      <c r="E46" s="547"/>
      <c r="F46" s="547"/>
      <c r="G46" s="547"/>
      <c r="H46" s="547"/>
      <c r="I46" s="547"/>
      <c r="J46" s="547"/>
      <c r="K46" s="547"/>
      <c r="L46" s="857"/>
      <c r="M46" s="547"/>
      <c r="N46" s="547"/>
      <c r="O46" s="547"/>
      <c r="P46" s="547"/>
      <c r="Q46" s="547"/>
      <c r="R46" s="547"/>
      <c r="S46" s="547"/>
      <c r="T46" s="547"/>
      <c r="U46" s="857"/>
      <c r="V46" s="673"/>
      <c r="W46" s="547"/>
      <c r="X46" s="547"/>
      <c r="Y46" s="547"/>
      <c r="Z46" s="547"/>
      <c r="AA46" s="547"/>
      <c r="AB46" s="547"/>
      <c r="AC46" s="547"/>
      <c r="AD46" s="546"/>
    </row>
    <row r="47" spans="1:30" ht="0.95" customHeight="1">
      <c r="A47" s="544"/>
      <c r="B47" s="545" t="s">
        <v>141</v>
      </c>
      <c r="C47" s="546">
        <v>5</v>
      </c>
      <c r="D47" s="672"/>
      <c r="E47" s="547"/>
      <c r="F47" s="547"/>
      <c r="G47" s="547"/>
      <c r="H47" s="547"/>
      <c r="I47" s="547"/>
      <c r="J47" s="547"/>
      <c r="K47" s="547"/>
      <c r="L47" s="857"/>
      <c r="M47" s="547"/>
      <c r="N47" s="547"/>
      <c r="O47" s="547"/>
      <c r="P47" s="547"/>
      <c r="Q47" s="547"/>
      <c r="R47" s="547"/>
      <c r="S47" s="547"/>
      <c r="T47" s="547"/>
      <c r="U47" s="857"/>
      <c r="V47" s="673"/>
      <c r="W47" s="547"/>
      <c r="X47" s="547"/>
      <c r="Y47" s="547"/>
      <c r="Z47" s="547"/>
      <c r="AA47" s="547"/>
      <c r="AB47" s="547"/>
      <c r="AC47" s="547"/>
      <c r="AD47" s="546"/>
    </row>
    <row r="48" spans="1:30" ht="0.95" customHeight="1">
      <c r="A48" s="544"/>
      <c r="B48" s="545" t="s">
        <v>141</v>
      </c>
      <c r="C48" s="546">
        <v>6</v>
      </c>
      <c r="D48" s="672"/>
      <c r="E48" s="547"/>
      <c r="F48" s="547"/>
      <c r="G48" s="547"/>
      <c r="H48" s="547"/>
      <c r="I48" s="547"/>
      <c r="J48" s="547"/>
      <c r="K48" s="547"/>
      <c r="L48" s="857"/>
      <c r="M48" s="547"/>
      <c r="N48" s="547"/>
      <c r="O48" s="547"/>
      <c r="P48" s="547"/>
      <c r="Q48" s="547"/>
      <c r="R48" s="547"/>
      <c r="S48" s="547"/>
      <c r="T48" s="547"/>
      <c r="U48" s="857"/>
      <c r="V48" s="673"/>
      <c r="W48" s="547"/>
      <c r="X48" s="547"/>
      <c r="Y48" s="547"/>
      <c r="Z48" s="547"/>
      <c r="AA48" s="547"/>
      <c r="AB48" s="547"/>
      <c r="AC48" s="547"/>
      <c r="AD48" s="546"/>
    </row>
    <row r="49" spans="1:30" ht="0.95" customHeight="1">
      <c r="A49" s="544"/>
      <c r="B49" s="545" t="s">
        <v>141</v>
      </c>
      <c r="C49" s="546">
        <v>7</v>
      </c>
      <c r="D49" s="672"/>
      <c r="E49" s="547"/>
      <c r="F49" s="547"/>
      <c r="G49" s="547"/>
      <c r="H49" s="547"/>
      <c r="I49" s="547"/>
      <c r="J49" s="547"/>
      <c r="K49" s="547"/>
      <c r="L49" s="857"/>
      <c r="M49" s="547"/>
      <c r="N49" s="547"/>
      <c r="O49" s="547"/>
      <c r="P49" s="547"/>
      <c r="Q49" s="547"/>
      <c r="R49" s="547"/>
      <c r="S49" s="547"/>
      <c r="T49" s="547"/>
      <c r="U49" s="857"/>
      <c r="V49" s="673"/>
      <c r="W49" s="547"/>
      <c r="X49" s="547"/>
      <c r="Y49" s="547"/>
      <c r="Z49" s="547"/>
      <c r="AA49" s="547"/>
      <c r="AB49" s="547"/>
      <c r="AC49" s="547"/>
      <c r="AD49" s="546"/>
    </row>
    <row r="50" spans="1:30" ht="0.95" customHeight="1">
      <c r="A50" s="544"/>
      <c r="B50" s="545" t="s">
        <v>141</v>
      </c>
      <c r="C50" s="546">
        <v>8</v>
      </c>
      <c r="D50" s="672"/>
      <c r="E50" s="547"/>
      <c r="F50" s="547"/>
      <c r="G50" s="547"/>
      <c r="H50" s="547"/>
      <c r="I50" s="547"/>
      <c r="J50" s="547"/>
      <c r="K50" s="547"/>
      <c r="L50" s="857"/>
      <c r="M50" s="547"/>
      <c r="N50" s="547"/>
      <c r="O50" s="547"/>
      <c r="P50" s="547"/>
      <c r="Q50" s="547"/>
      <c r="R50" s="547"/>
      <c r="S50" s="547"/>
      <c r="T50" s="547"/>
      <c r="U50" s="857"/>
      <c r="V50" s="673"/>
      <c r="W50" s="547"/>
      <c r="X50" s="547"/>
      <c r="Y50" s="547"/>
      <c r="Z50" s="547"/>
      <c r="AA50" s="547"/>
      <c r="AB50" s="547"/>
      <c r="AC50" s="547"/>
      <c r="AD50" s="546"/>
    </row>
    <row r="51" spans="1:30" ht="0.95" customHeight="1">
      <c r="A51" s="544"/>
      <c r="B51" s="545" t="s">
        <v>141</v>
      </c>
      <c r="C51" s="546">
        <v>9</v>
      </c>
      <c r="D51" s="672"/>
      <c r="E51" s="547"/>
      <c r="F51" s="547"/>
      <c r="G51" s="547"/>
      <c r="H51" s="547"/>
      <c r="I51" s="547"/>
      <c r="J51" s="547"/>
      <c r="K51" s="547"/>
      <c r="L51" s="857"/>
      <c r="M51" s="547"/>
      <c r="N51" s="547"/>
      <c r="O51" s="547"/>
      <c r="P51" s="547"/>
      <c r="Q51" s="547"/>
      <c r="R51" s="547"/>
      <c r="S51" s="547"/>
      <c r="T51" s="547"/>
      <c r="U51" s="857"/>
      <c r="V51" s="673"/>
      <c r="W51" s="547"/>
      <c r="X51" s="547"/>
      <c r="Y51" s="547"/>
      <c r="Z51" s="547"/>
      <c r="AA51" s="547"/>
      <c r="AB51" s="547"/>
      <c r="AC51" s="547"/>
      <c r="AD51" s="546"/>
    </row>
    <row r="52" spans="1:30" ht="0.95" customHeight="1">
      <c r="A52" s="544"/>
      <c r="B52" s="545" t="s">
        <v>141</v>
      </c>
      <c r="C52" s="546">
        <v>10</v>
      </c>
      <c r="D52" s="672"/>
      <c r="E52" s="547"/>
      <c r="F52" s="547"/>
      <c r="G52" s="547"/>
      <c r="H52" s="547"/>
      <c r="I52" s="547"/>
      <c r="J52" s="547"/>
      <c r="K52" s="547"/>
      <c r="L52" s="857"/>
      <c r="M52" s="547"/>
      <c r="N52" s="547"/>
      <c r="O52" s="547"/>
      <c r="P52" s="547"/>
      <c r="Q52" s="547"/>
      <c r="R52" s="547"/>
      <c r="S52" s="547"/>
      <c r="T52" s="547"/>
      <c r="U52" s="857"/>
      <c r="V52" s="673"/>
      <c r="W52" s="547"/>
      <c r="X52" s="547"/>
      <c r="Y52" s="547"/>
      <c r="Z52" s="547"/>
      <c r="AA52" s="547"/>
      <c r="AB52" s="547"/>
      <c r="AC52" s="547"/>
      <c r="AD52" s="546"/>
    </row>
    <row r="53" spans="1:30" ht="0.95" customHeight="1">
      <c r="A53" s="544"/>
      <c r="B53" s="545" t="s">
        <v>141</v>
      </c>
      <c r="C53" s="546">
        <v>11</v>
      </c>
      <c r="D53" s="672"/>
      <c r="E53" s="547"/>
      <c r="F53" s="547"/>
      <c r="G53" s="547"/>
      <c r="H53" s="547"/>
      <c r="I53" s="547"/>
      <c r="J53" s="547"/>
      <c r="K53" s="547"/>
      <c r="L53" s="857"/>
      <c r="M53" s="547"/>
      <c r="N53" s="547"/>
      <c r="O53" s="547"/>
      <c r="P53" s="547"/>
      <c r="Q53" s="547"/>
      <c r="R53" s="547"/>
      <c r="S53" s="547"/>
      <c r="T53" s="547"/>
      <c r="U53" s="857"/>
      <c r="V53" s="673"/>
      <c r="W53" s="547"/>
      <c r="X53" s="547"/>
      <c r="Y53" s="547"/>
      <c r="Z53" s="547"/>
      <c r="AA53" s="547"/>
      <c r="AB53" s="547"/>
      <c r="AC53" s="547"/>
      <c r="AD53" s="546"/>
    </row>
    <row r="54" spans="1:30" ht="0.95" customHeight="1">
      <c r="A54" s="544"/>
      <c r="B54" s="545" t="s">
        <v>141</v>
      </c>
      <c r="C54" s="546">
        <v>12</v>
      </c>
      <c r="D54" s="675"/>
      <c r="E54" s="547"/>
      <c r="F54" s="547"/>
      <c r="G54" s="547"/>
      <c r="H54" s="547"/>
      <c r="I54" s="547"/>
      <c r="J54" s="547"/>
      <c r="K54" s="547"/>
      <c r="L54" s="857"/>
      <c r="M54" s="547"/>
      <c r="N54" s="547"/>
      <c r="O54" s="547"/>
      <c r="P54" s="547"/>
      <c r="Q54" s="547"/>
      <c r="R54" s="547"/>
      <c r="S54" s="547"/>
      <c r="T54" s="547"/>
      <c r="U54" s="857"/>
      <c r="V54" s="547"/>
      <c r="W54" s="547"/>
      <c r="X54" s="547"/>
      <c r="Y54" s="547"/>
      <c r="Z54" s="547"/>
      <c r="AA54" s="547"/>
      <c r="AB54" s="547"/>
      <c r="AC54" s="547"/>
      <c r="AD54" s="546"/>
    </row>
    <row r="55" spans="1:30" ht="0.95" customHeight="1">
      <c r="A55" s="540" t="s">
        <v>364</v>
      </c>
      <c r="B55" s="541">
        <v>1997</v>
      </c>
      <c r="C55" s="542">
        <v>1</v>
      </c>
      <c r="D55" s="671"/>
      <c r="E55" s="543"/>
      <c r="F55" s="543"/>
      <c r="G55" s="543"/>
      <c r="H55" s="543"/>
      <c r="I55" s="543"/>
      <c r="J55" s="543"/>
      <c r="K55" s="543"/>
      <c r="L55" s="856"/>
      <c r="M55" s="543"/>
      <c r="N55" s="543"/>
      <c r="O55" s="543"/>
      <c r="P55" s="543"/>
      <c r="Q55" s="543"/>
      <c r="R55" s="543"/>
      <c r="S55" s="543"/>
      <c r="T55" s="543"/>
      <c r="U55" s="856"/>
      <c r="V55" s="543"/>
      <c r="W55" s="543"/>
      <c r="X55" s="543"/>
      <c r="Y55" s="543"/>
      <c r="Z55" s="543"/>
      <c r="AA55" s="543"/>
      <c r="AB55" s="543"/>
      <c r="AC55" s="543"/>
      <c r="AD55" s="546"/>
    </row>
    <row r="56" spans="1:30" ht="0.95" customHeight="1">
      <c r="A56" s="544"/>
      <c r="B56" s="545" t="s">
        <v>141</v>
      </c>
      <c r="C56" s="546">
        <v>2</v>
      </c>
      <c r="D56" s="672"/>
      <c r="E56" s="547"/>
      <c r="F56" s="547"/>
      <c r="G56" s="547"/>
      <c r="H56" s="547"/>
      <c r="I56" s="547"/>
      <c r="J56" s="547"/>
      <c r="K56" s="547"/>
      <c r="L56" s="857"/>
      <c r="M56" s="547"/>
      <c r="N56" s="547"/>
      <c r="O56" s="547"/>
      <c r="P56" s="547"/>
      <c r="Q56" s="547"/>
      <c r="R56" s="547"/>
      <c r="S56" s="547"/>
      <c r="T56" s="547"/>
      <c r="U56" s="857"/>
      <c r="V56" s="673"/>
      <c r="W56" s="547"/>
      <c r="X56" s="547"/>
      <c r="Y56" s="547"/>
      <c r="Z56" s="547"/>
      <c r="AA56" s="547"/>
      <c r="AB56" s="547"/>
      <c r="AC56" s="547"/>
      <c r="AD56" s="546"/>
    </row>
    <row r="57" spans="1:30" ht="0.95" customHeight="1">
      <c r="A57" s="544"/>
      <c r="B57" s="545" t="s">
        <v>141</v>
      </c>
      <c r="C57" s="546">
        <v>3</v>
      </c>
      <c r="D57" s="672"/>
      <c r="E57" s="547"/>
      <c r="F57" s="547"/>
      <c r="G57" s="547"/>
      <c r="H57" s="547"/>
      <c r="I57" s="547"/>
      <c r="J57" s="547"/>
      <c r="K57" s="547"/>
      <c r="L57" s="857"/>
      <c r="M57" s="547"/>
      <c r="N57" s="547"/>
      <c r="O57" s="547"/>
      <c r="P57" s="547"/>
      <c r="Q57" s="547"/>
      <c r="R57" s="547"/>
      <c r="S57" s="547"/>
      <c r="T57" s="547"/>
      <c r="U57" s="857"/>
      <c r="V57" s="673"/>
      <c r="W57" s="547"/>
      <c r="X57" s="547"/>
      <c r="Y57" s="547"/>
      <c r="Z57" s="547"/>
      <c r="AA57" s="547"/>
      <c r="AB57" s="547"/>
      <c r="AC57" s="547"/>
      <c r="AD57" s="546"/>
    </row>
    <row r="58" spans="1:30" ht="0.95" customHeight="1">
      <c r="A58" s="544"/>
      <c r="B58" s="545" t="s">
        <v>141</v>
      </c>
      <c r="C58" s="546">
        <v>4</v>
      </c>
      <c r="D58" s="672"/>
      <c r="E58" s="547"/>
      <c r="F58" s="547"/>
      <c r="G58" s="547"/>
      <c r="H58" s="547"/>
      <c r="I58" s="547"/>
      <c r="J58" s="547"/>
      <c r="K58" s="547"/>
      <c r="L58" s="857"/>
      <c r="M58" s="547"/>
      <c r="N58" s="547"/>
      <c r="O58" s="547"/>
      <c r="P58" s="547"/>
      <c r="Q58" s="547"/>
      <c r="R58" s="547"/>
      <c r="S58" s="547"/>
      <c r="T58" s="547"/>
      <c r="U58" s="857"/>
      <c r="V58" s="673"/>
      <c r="W58" s="547"/>
      <c r="X58" s="547"/>
      <c r="Y58" s="547"/>
      <c r="Z58" s="547"/>
      <c r="AA58" s="547"/>
      <c r="AB58" s="547"/>
      <c r="AC58" s="547"/>
      <c r="AD58" s="546"/>
    </row>
    <row r="59" spans="1:30" ht="0.95" customHeight="1">
      <c r="A59" s="544"/>
      <c r="B59" s="545" t="s">
        <v>141</v>
      </c>
      <c r="C59" s="546">
        <v>5</v>
      </c>
      <c r="D59" s="672"/>
      <c r="E59" s="547"/>
      <c r="F59" s="547"/>
      <c r="G59" s="547"/>
      <c r="H59" s="547"/>
      <c r="I59" s="547"/>
      <c r="J59" s="547"/>
      <c r="K59" s="547"/>
      <c r="L59" s="857"/>
      <c r="M59" s="547"/>
      <c r="N59" s="547"/>
      <c r="O59" s="547"/>
      <c r="P59" s="547"/>
      <c r="Q59" s="547"/>
      <c r="R59" s="547"/>
      <c r="S59" s="547"/>
      <c r="T59" s="547"/>
      <c r="U59" s="857"/>
      <c r="V59" s="673"/>
      <c r="W59" s="547"/>
      <c r="X59" s="547"/>
      <c r="Y59" s="547"/>
      <c r="Z59" s="547"/>
      <c r="AA59" s="547"/>
      <c r="AB59" s="547"/>
      <c r="AC59" s="547"/>
      <c r="AD59" s="546"/>
    </row>
    <row r="60" spans="1:30" ht="0.95" customHeight="1">
      <c r="A60" s="544"/>
      <c r="B60" s="545" t="s">
        <v>141</v>
      </c>
      <c r="C60" s="546">
        <v>6</v>
      </c>
      <c r="D60" s="672"/>
      <c r="E60" s="547"/>
      <c r="F60" s="547"/>
      <c r="G60" s="547"/>
      <c r="H60" s="547"/>
      <c r="I60" s="547"/>
      <c r="J60" s="547"/>
      <c r="K60" s="547"/>
      <c r="L60" s="857"/>
      <c r="M60" s="547"/>
      <c r="N60" s="547"/>
      <c r="O60" s="547"/>
      <c r="P60" s="547"/>
      <c r="Q60" s="547"/>
      <c r="R60" s="547"/>
      <c r="S60" s="547"/>
      <c r="T60" s="547"/>
      <c r="U60" s="857"/>
      <c r="V60" s="673"/>
      <c r="W60" s="547"/>
      <c r="X60" s="547"/>
      <c r="Y60" s="547"/>
      <c r="Z60" s="547"/>
      <c r="AA60" s="547"/>
      <c r="AB60" s="547"/>
      <c r="AC60" s="547"/>
      <c r="AD60" s="546"/>
    </row>
    <row r="61" spans="1:30" ht="0.95" customHeight="1">
      <c r="A61" s="544"/>
      <c r="B61" s="545" t="s">
        <v>141</v>
      </c>
      <c r="C61" s="546">
        <v>7</v>
      </c>
      <c r="D61" s="672"/>
      <c r="E61" s="547"/>
      <c r="F61" s="547"/>
      <c r="G61" s="547"/>
      <c r="H61" s="547"/>
      <c r="I61" s="547"/>
      <c r="J61" s="547"/>
      <c r="K61" s="547"/>
      <c r="L61" s="857"/>
      <c r="M61" s="547"/>
      <c r="N61" s="547"/>
      <c r="O61" s="547"/>
      <c r="P61" s="547"/>
      <c r="Q61" s="547"/>
      <c r="R61" s="547"/>
      <c r="S61" s="547"/>
      <c r="T61" s="547"/>
      <c r="U61" s="857"/>
      <c r="V61" s="673"/>
      <c r="W61" s="547"/>
      <c r="X61" s="547"/>
      <c r="Y61" s="547"/>
      <c r="Z61" s="547"/>
      <c r="AA61" s="547"/>
      <c r="AB61" s="547"/>
      <c r="AC61" s="547"/>
      <c r="AD61" s="546"/>
    </row>
    <row r="62" spans="1:30" ht="0.95" customHeight="1">
      <c r="A62" s="544"/>
      <c r="B62" s="545" t="s">
        <v>141</v>
      </c>
      <c r="C62" s="546">
        <v>8</v>
      </c>
      <c r="D62" s="672"/>
      <c r="E62" s="547"/>
      <c r="F62" s="547"/>
      <c r="G62" s="547"/>
      <c r="H62" s="547"/>
      <c r="I62" s="547"/>
      <c r="J62" s="547"/>
      <c r="K62" s="547"/>
      <c r="L62" s="857"/>
      <c r="M62" s="547"/>
      <c r="N62" s="547"/>
      <c r="O62" s="547"/>
      <c r="P62" s="547"/>
      <c r="Q62" s="547"/>
      <c r="R62" s="547"/>
      <c r="S62" s="547"/>
      <c r="T62" s="547"/>
      <c r="U62" s="857"/>
      <c r="V62" s="673"/>
      <c r="W62" s="547"/>
      <c r="X62" s="547"/>
      <c r="Y62" s="547"/>
      <c r="Z62" s="547"/>
      <c r="AA62" s="547"/>
      <c r="AB62" s="547"/>
      <c r="AC62" s="547"/>
      <c r="AD62" s="546"/>
    </row>
    <row r="63" spans="1:30" ht="0.95" customHeight="1">
      <c r="A63" s="544"/>
      <c r="B63" s="545" t="s">
        <v>141</v>
      </c>
      <c r="C63" s="546">
        <v>9</v>
      </c>
      <c r="D63" s="672"/>
      <c r="E63" s="547"/>
      <c r="F63" s="547"/>
      <c r="G63" s="547"/>
      <c r="H63" s="547"/>
      <c r="I63" s="547"/>
      <c r="J63" s="547"/>
      <c r="K63" s="547"/>
      <c r="L63" s="857"/>
      <c r="M63" s="547"/>
      <c r="N63" s="547"/>
      <c r="O63" s="547"/>
      <c r="P63" s="547"/>
      <c r="Q63" s="547"/>
      <c r="R63" s="547"/>
      <c r="S63" s="547"/>
      <c r="T63" s="547"/>
      <c r="U63" s="857"/>
      <c r="V63" s="673"/>
      <c r="W63" s="547"/>
      <c r="X63" s="547"/>
      <c r="Y63" s="547"/>
      <c r="Z63" s="547"/>
      <c r="AA63" s="547"/>
      <c r="AB63" s="547"/>
      <c r="AC63" s="547"/>
      <c r="AD63" s="546"/>
    </row>
    <row r="64" spans="1:30" ht="0.95" customHeight="1">
      <c r="A64" s="544"/>
      <c r="B64" s="545" t="s">
        <v>141</v>
      </c>
      <c r="C64" s="546">
        <v>10</v>
      </c>
      <c r="D64" s="672"/>
      <c r="E64" s="547"/>
      <c r="F64" s="547"/>
      <c r="G64" s="547"/>
      <c r="H64" s="547"/>
      <c r="I64" s="547"/>
      <c r="J64" s="547"/>
      <c r="K64" s="547"/>
      <c r="L64" s="857"/>
      <c r="M64" s="547"/>
      <c r="N64" s="547"/>
      <c r="O64" s="547"/>
      <c r="P64" s="547"/>
      <c r="Q64" s="547"/>
      <c r="R64" s="547"/>
      <c r="S64" s="547"/>
      <c r="T64" s="547"/>
      <c r="U64" s="857"/>
      <c r="V64" s="673"/>
      <c r="W64" s="547"/>
      <c r="X64" s="547"/>
      <c r="Y64" s="547"/>
      <c r="Z64" s="547"/>
      <c r="AA64" s="547"/>
      <c r="AB64" s="547"/>
      <c r="AC64" s="547"/>
      <c r="AD64" s="546"/>
    </row>
    <row r="65" spans="1:30" ht="0.95" customHeight="1">
      <c r="A65" s="544"/>
      <c r="B65" s="545" t="s">
        <v>141</v>
      </c>
      <c r="C65" s="546">
        <v>11</v>
      </c>
      <c r="D65" s="672"/>
      <c r="E65" s="547"/>
      <c r="F65" s="547"/>
      <c r="G65" s="547"/>
      <c r="H65" s="547"/>
      <c r="I65" s="547"/>
      <c r="J65" s="547"/>
      <c r="K65" s="547"/>
      <c r="L65" s="857"/>
      <c r="M65" s="547"/>
      <c r="N65" s="547"/>
      <c r="O65" s="547"/>
      <c r="P65" s="547"/>
      <c r="Q65" s="547"/>
      <c r="R65" s="547"/>
      <c r="S65" s="547"/>
      <c r="T65" s="547"/>
      <c r="U65" s="857"/>
      <c r="V65" s="673"/>
      <c r="W65" s="547"/>
      <c r="X65" s="547"/>
      <c r="Y65" s="547"/>
      <c r="Z65" s="547"/>
      <c r="AA65" s="547"/>
      <c r="AB65" s="547"/>
      <c r="AC65" s="547"/>
      <c r="AD65" s="546"/>
    </row>
    <row r="66" spans="1:30" ht="14.25">
      <c r="A66" s="548"/>
      <c r="B66" s="549" t="s">
        <v>141</v>
      </c>
      <c r="C66" s="550">
        <v>12</v>
      </c>
      <c r="D66" s="674"/>
      <c r="E66" s="551"/>
      <c r="F66" s="551"/>
      <c r="G66" s="551"/>
      <c r="H66" s="551"/>
      <c r="I66" s="551"/>
      <c r="J66" s="551"/>
      <c r="K66" s="551"/>
      <c r="L66" s="858"/>
      <c r="M66" s="551"/>
      <c r="N66" s="551"/>
      <c r="O66" s="551"/>
      <c r="P66" s="551"/>
      <c r="Q66" s="551"/>
      <c r="R66" s="551"/>
      <c r="S66" s="551"/>
      <c r="T66" s="551"/>
      <c r="U66" s="858"/>
      <c r="V66" s="551"/>
      <c r="W66" s="551"/>
      <c r="X66" s="551"/>
      <c r="Y66" s="551"/>
      <c r="Z66" s="551"/>
      <c r="AA66" s="551"/>
      <c r="AB66" s="551"/>
      <c r="AC66" s="551"/>
      <c r="AD66" s="546"/>
    </row>
    <row r="67" spans="1:30" ht="14.25">
      <c r="A67" s="498" t="s">
        <v>365</v>
      </c>
      <c r="B67" s="499">
        <v>1998</v>
      </c>
      <c r="C67" s="500">
        <v>1</v>
      </c>
      <c r="D67" s="656">
        <v>-0.21</v>
      </c>
      <c r="E67" s="501">
        <v>-0.4</v>
      </c>
      <c r="F67" s="501">
        <v>-1.6</v>
      </c>
      <c r="G67" s="501">
        <v>-1.2</v>
      </c>
      <c r="H67" s="501">
        <v>-4.5</v>
      </c>
      <c r="I67" s="501">
        <v>-0.3</v>
      </c>
      <c r="J67" s="501">
        <v>-2.2999999999999998</v>
      </c>
      <c r="K67" s="501">
        <v>-1.6</v>
      </c>
      <c r="L67" s="857"/>
      <c r="M67" s="501">
        <v>-2.8250000000000002</v>
      </c>
      <c r="N67" s="501">
        <v>-0.1</v>
      </c>
      <c r="O67" s="1145">
        <v>0</v>
      </c>
      <c r="P67" s="1145">
        <v>0</v>
      </c>
      <c r="Q67" s="1145">
        <v>0</v>
      </c>
      <c r="R67" s="1145">
        <v>0</v>
      </c>
      <c r="S67" s="1145">
        <v>0</v>
      </c>
      <c r="T67" s="1145">
        <v>-0.9</v>
      </c>
      <c r="U67" s="857"/>
      <c r="V67" s="650">
        <v>-0.12</v>
      </c>
      <c r="W67" s="1145">
        <v>0.2</v>
      </c>
      <c r="X67" s="1145">
        <v>-1.4</v>
      </c>
      <c r="Y67" s="1145">
        <v>-0.38</v>
      </c>
      <c r="Z67" s="1145">
        <v>-1.7</v>
      </c>
      <c r="AA67" s="1145">
        <v>-0.8</v>
      </c>
      <c r="AB67" s="1145">
        <v>1</v>
      </c>
      <c r="AC67" s="1145">
        <v>-1.1000000000000001</v>
      </c>
      <c r="AD67" s="214"/>
    </row>
    <row r="68" spans="1:30" ht="14.25">
      <c r="A68" s="498"/>
      <c r="B68" s="499" t="s">
        <v>141</v>
      </c>
      <c r="C68" s="500">
        <v>2</v>
      </c>
      <c r="D68" s="654">
        <v>-0.13</v>
      </c>
      <c r="E68" s="501">
        <v>0</v>
      </c>
      <c r="F68" s="501">
        <v>1</v>
      </c>
      <c r="G68" s="501">
        <v>-1.1000000000000001</v>
      </c>
      <c r="H68" s="501">
        <v>1</v>
      </c>
      <c r="I68" s="501">
        <v>-0.3</v>
      </c>
      <c r="J68" s="501">
        <v>1</v>
      </c>
      <c r="K68" s="501">
        <v>-1.4</v>
      </c>
      <c r="L68" s="857"/>
      <c r="M68" s="501">
        <v>-2.1539999999999999</v>
      </c>
      <c r="N68" s="501">
        <v>-0.9</v>
      </c>
      <c r="O68" s="1145">
        <v>-1.5</v>
      </c>
      <c r="P68" s="1145">
        <v>2</v>
      </c>
      <c r="Q68" s="1145">
        <v>1.3</v>
      </c>
      <c r="R68" s="1145">
        <v>-0.2</v>
      </c>
      <c r="S68" s="1145">
        <v>1.5</v>
      </c>
      <c r="T68" s="1145">
        <v>0.5</v>
      </c>
      <c r="U68" s="857"/>
      <c r="V68" s="648">
        <v>-0.13</v>
      </c>
      <c r="W68" s="1145">
        <v>-0.5</v>
      </c>
      <c r="X68" s="1145">
        <v>1</v>
      </c>
      <c r="Y68" s="1145">
        <v>-0.27</v>
      </c>
      <c r="Z68" s="1145">
        <v>0.1</v>
      </c>
      <c r="AA68" s="1145">
        <v>0</v>
      </c>
      <c r="AB68" s="1145">
        <v>-0.8</v>
      </c>
      <c r="AC68" s="1145">
        <v>-0.1</v>
      </c>
      <c r="AD68" s="214"/>
    </row>
    <row r="69" spans="1:30" ht="14.25">
      <c r="A69" s="498"/>
      <c r="B69" s="499" t="s">
        <v>141</v>
      </c>
      <c r="C69" s="500">
        <v>3</v>
      </c>
      <c r="D69" s="654">
        <v>-0.14000000000000001</v>
      </c>
      <c r="E69" s="501">
        <v>-0.4</v>
      </c>
      <c r="F69" s="501">
        <v>2.9</v>
      </c>
      <c r="G69" s="501">
        <v>2.8</v>
      </c>
      <c r="H69" s="501">
        <v>0.4</v>
      </c>
      <c r="I69" s="501">
        <v>0</v>
      </c>
      <c r="J69" s="501">
        <v>-0.6</v>
      </c>
      <c r="K69" s="501">
        <v>-1.5</v>
      </c>
      <c r="L69" s="857"/>
      <c r="M69" s="501">
        <v>-1.1639999999999999</v>
      </c>
      <c r="N69" s="501">
        <v>-0.3</v>
      </c>
      <c r="O69" s="1145">
        <v>-0.4</v>
      </c>
      <c r="P69" s="1145">
        <v>-1.4</v>
      </c>
      <c r="Q69" s="1145">
        <v>1</v>
      </c>
      <c r="R69" s="1145">
        <v>1.4</v>
      </c>
      <c r="S69" s="1145">
        <v>0.9</v>
      </c>
      <c r="T69" s="1145">
        <v>-0.2</v>
      </c>
      <c r="U69" s="857"/>
      <c r="V69" s="648">
        <v>-0.13</v>
      </c>
      <c r="W69" s="1145">
        <v>-0.4</v>
      </c>
      <c r="X69" s="1145">
        <v>-2.2999999999999998</v>
      </c>
      <c r="Y69" s="1145">
        <v>-1.82</v>
      </c>
      <c r="Z69" s="1145">
        <v>-2</v>
      </c>
      <c r="AA69" s="1145">
        <v>0.2</v>
      </c>
      <c r="AB69" s="1145">
        <v>0.7</v>
      </c>
      <c r="AC69" s="1145">
        <v>1.6</v>
      </c>
      <c r="AD69" s="214"/>
    </row>
    <row r="70" spans="1:30" ht="14.25">
      <c r="A70" s="498"/>
      <c r="B70" s="499" t="s">
        <v>141</v>
      </c>
      <c r="C70" s="500">
        <v>4</v>
      </c>
      <c r="D70" s="654">
        <v>-0.27</v>
      </c>
      <c r="E70" s="501">
        <v>-0.7</v>
      </c>
      <c r="F70" s="501">
        <v>-2</v>
      </c>
      <c r="G70" s="501">
        <v>-0.1</v>
      </c>
      <c r="H70" s="501">
        <v>-0.4</v>
      </c>
      <c r="I70" s="501">
        <v>0.6</v>
      </c>
      <c r="J70" s="501">
        <v>0</v>
      </c>
      <c r="K70" s="501">
        <v>-1.5</v>
      </c>
      <c r="L70" s="857"/>
      <c r="M70" s="501">
        <v>-1.109</v>
      </c>
      <c r="N70" s="501">
        <v>-0.8</v>
      </c>
      <c r="O70" s="1145">
        <v>0.8</v>
      </c>
      <c r="P70" s="1145">
        <v>-1.1000000000000001</v>
      </c>
      <c r="Q70" s="1145">
        <v>-2.1</v>
      </c>
      <c r="R70" s="1145">
        <v>-2.6</v>
      </c>
      <c r="S70" s="1145">
        <v>-2</v>
      </c>
      <c r="T70" s="1145">
        <v>-0.6</v>
      </c>
      <c r="U70" s="857"/>
      <c r="V70" s="648">
        <v>-0.17</v>
      </c>
      <c r="W70" s="1145">
        <v>0.5</v>
      </c>
      <c r="X70" s="1145">
        <v>0.5</v>
      </c>
      <c r="Y70" s="1145">
        <v>-1.25</v>
      </c>
      <c r="Z70" s="1145">
        <v>0.9</v>
      </c>
      <c r="AA70" s="1145">
        <v>-1.9</v>
      </c>
      <c r="AB70" s="1145">
        <v>-3</v>
      </c>
      <c r="AC70" s="1145">
        <v>-1.7</v>
      </c>
      <c r="AD70" s="214"/>
    </row>
    <row r="71" spans="1:30" ht="14.25">
      <c r="A71" s="498"/>
      <c r="B71" s="499" t="s">
        <v>141</v>
      </c>
      <c r="C71" s="500">
        <v>5</v>
      </c>
      <c r="D71" s="654">
        <v>-0.34</v>
      </c>
      <c r="E71" s="501">
        <v>-0.9</v>
      </c>
      <c r="F71" s="501">
        <v>-0.4</v>
      </c>
      <c r="G71" s="501">
        <v>-0.7</v>
      </c>
      <c r="H71" s="501">
        <v>-0.4</v>
      </c>
      <c r="I71" s="501">
        <v>-0.7</v>
      </c>
      <c r="J71" s="501">
        <v>1.5</v>
      </c>
      <c r="K71" s="501">
        <v>-1.5</v>
      </c>
      <c r="L71" s="857"/>
      <c r="M71" s="501">
        <v>-0.99099999999999999</v>
      </c>
      <c r="N71" s="501">
        <v>-0.4</v>
      </c>
      <c r="O71" s="1145">
        <v>0.9</v>
      </c>
      <c r="P71" s="1145">
        <v>-2.1</v>
      </c>
      <c r="Q71" s="1145">
        <v>-1.9</v>
      </c>
      <c r="R71" s="1145">
        <v>-0.7</v>
      </c>
      <c r="S71" s="1145">
        <v>-2</v>
      </c>
      <c r="T71" s="1145">
        <v>-0.4</v>
      </c>
      <c r="U71" s="857"/>
      <c r="V71" s="648">
        <v>-0.19</v>
      </c>
      <c r="W71" s="1145">
        <v>-0.1</v>
      </c>
      <c r="X71" s="1145">
        <v>-1.9</v>
      </c>
      <c r="Y71" s="1145">
        <v>-0.28999999999999998</v>
      </c>
      <c r="Z71" s="1145">
        <v>-0.3</v>
      </c>
      <c r="AA71" s="1145">
        <v>1.7</v>
      </c>
      <c r="AB71" s="1145">
        <v>0.5</v>
      </c>
      <c r="AC71" s="1145">
        <v>-1.2</v>
      </c>
      <c r="AD71" s="214"/>
    </row>
    <row r="72" spans="1:30" ht="14.25">
      <c r="A72" s="498"/>
      <c r="B72" s="499" t="s">
        <v>141</v>
      </c>
      <c r="C72" s="500">
        <v>6</v>
      </c>
      <c r="D72" s="654">
        <v>-0.28999999999999998</v>
      </c>
      <c r="E72" s="501">
        <v>-0.8</v>
      </c>
      <c r="F72" s="501">
        <v>1.9</v>
      </c>
      <c r="G72" s="501">
        <v>1.1000000000000001</v>
      </c>
      <c r="H72" s="501">
        <v>-1</v>
      </c>
      <c r="I72" s="501">
        <v>0.2</v>
      </c>
      <c r="J72" s="501">
        <v>-2.7</v>
      </c>
      <c r="K72" s="501">
        <v>-1.4</v>
      </c>
      <c r="L72" s="857"/>
      <c r="M72" s="501">
        <v>-0.97</v>
      </c>
      <c r="N72" s="501">
        <v>-0.3</v>
      </c>
      <c r="O72" s="1145">
        <v>-0.6</v>
      </c>
      <c r="P72" s="1145">
        <v>-0.2</v>
      </c>
      <c r="Q72" s="1145">
        <v>0.7</v>
      </c>
      <c r="R72" s="1145">
        <v>1.5</v>
      </c>
      <c r="S72" s="1145">
        <v>0.6</v>
      </c>
      <c r="T72" s="1145">
        <v>0.6</v>
      </c>
      <c r="U72" s="857"/>
      <c r="V72" s="648">
        <v>-0.17</v>
      </c>
      <c r="W72" s="1145">
        <v>-0.1</v>
      </c>
      <c r="X72" s="1145">
        <v>-1.7</v>
      </c>
      <c r="Y72" s="1145">
        <v>-0.19</v>
      </c>
      <c r="Z72" s="1145">
        <v>-1.3</v>
      </c>
      <c r="AA72" s="1145">
        <v>0.5</v>
      </c>
      <c r="AB72" s="1145">
        <v>-1.3</v>
      </c>
      <c r="AC72" s="1145">
        <v>2</v>
      </c>
      <c r="AD72" s="214"/>
    </row>
    <row r="73" spans="1:30" ht="14.25">
      <c r="A73" s="498"/>
      <c r="B73" s="499" t="s">
        <v>141</v>
      </c>
      <c r="C73" s="500">
        <v>7</v>
      </c>
      <c r="D73" s="654">
        <v>-0.26</v>
      </c>
      <c r="E73" s="501">
        <v>0.7</v>
      </c>
      <c r="F73" s="501">
        <v>0.9</v>
      </c>
      <c r="G73" s="501">
        <v>0.1</v>
      </c>
      <c r="H73" s="501">
        <v>1</v>
      </c>
      <c r="I73" s="501">
        <v>-0.2</v>
      </c>
      <c r="J73" s="501">
        <v>0.6</v>
      </c>
      <c r="K73" s="501">
        <v>0</v>
      </c>
      <c r="L73" s="857"/>
      <c r="M73" s="501">
        <v>-1.3560000000000001</v>
      </c>
      <c r="N73" s="501">
        <v>-0.1</v>
      </c>
      <c r="O73" s="1145">
        <v>-1.1000000000000001</v>
      </c>
      <c r="P73" s="1145">
        <v>0.3</v>
      </c>
      <c r="Q73" s="1145">
        <v>0.9</v>
      </c>
      <c r="R73" s="1145">
        <v>0.2</v>
      </c>
      <c r="S73" s="1145">
        <v>1.2</v>
      </c>
      <c r="T73" s="1145">
        <v>-0.1</v>
      </c>
      <c r="U73" s="857"/>
      <c r="V73" s="648">
        <v>-0.17</v>
      </c>
      <c r="W73" s="1145">
        <v>0.2</v>
      </c>
      <c r="X73" s="1145">
        <v>0.1</v>
      </c>
      <c r="Y73" s="1145">
        <v>0.62</v>
      </c>
      <c r="Z73" s="1145">
        <v>0.9</v>
      </c>
      <c r="AA73" s="1145">
        <v>-0.1</v>
      </c>
      <c r="AB73" s="1145">
        <v>0.2</v>
      </c>
      <c r="AC73" s="1145">
        <v>-1.9</v>
      </c>
      <c r="AD73" s="214"/>
    </row>
    <row r="74" spans="1:30" ht="14.25">
      <c r="A74" s="498"/>
      <c r="B74" s="499" t="s">
        <v>141</v>
      </c>
      <c r="C74" s="500">
        <v>8</v>
      </c>
      <c r="D74" s="654">
        <v>-0.4</v>
      </c>
      <c r="E74" s="501">
        <v>-0.6</v>
      </c>
      <c r="F74" s="501">
        <v>-3.1</v>
      </c>
      <c r="G74" s="501">
        <v>-1.5</v>
      </c>
      <c r="H74" s="501">
        <v>-0.5</v>
      </c>
      <c r="I74" s="501">
        <v>-0.3</v>
      </c>
      <c r="J74" s="501">
        <v>1.2</v>
      </c>
      <c r="K74" s="501">
        <v>-0.1</v>
      </c>
      <c r="L74" s="857"/>
      <c r="M74" s="501">
        <v>-0.128</v>
      </c>
      <c r="N74" s="501">
        <v>-0.3</v>
      </c>
      <c r="O74" s="1145">
        <v>0.2</v>
      </c>
      <c r="P74" s="1145">
        <v>-2.2999999999999998</v>
      </c>
      <c r="Q74" s="1145">
        <v>-2.2999999999999998</v>
      </c>
      <c r="R74" s="1145">
        <v>-2.6</v>
      </c>
      <c r="S74" s="1145">
        <v>-2.4</v>
      </c>
      <c r="T74" s="1145">
        <v>-0.7</v>
      </c>
      <c r="U74" s="857"/>
      <c r="V74" s="648">
        <v>-0.19</v>
      </c>
      <c r="W74" s="1145">
        <v>-0.2</v>
      </c>
      <c r="X74" s="1145">
        <v>-0.5</v>
      </c>
      <c r="Y74" s="1145">
        <v>-1.91</v>
      </c>
      <c r="Z74" s="1145">
        <v>-0.4</v>
      </c>
      <c r="AA74" s="1145">
        <v>-0.4</v>
      </c>
      <c r="AB74" s="1145">
        <v>-0.1</v>
      </c>
      <c r="AC74" s="1145">
        <v>0.3</v>
      </c>
      <c r="AD74" s="214"/>
    </row>
    <row r="75" spans="1:30" ht="14.25">
      <c r="A75" s="498"/>
      <c r="B75" s="499" t="s">
        <v>141</v>
      </c>
      <c r="C75" s="500">
        <v>9</v>
      </c>
      <c r="D75" s="654">
        <v>-0.27</v>
      </c>
      <c r="E75" s="501">
        <v>-0.6</v>
      </c>
      <c r="F75" s="501">
        <v>2.6</v>
      </c>
      <c r="G75" s="501">
        <v>0.5</v>
      </c>
      <c r="H75" s="501">
        <v>0.3</v>
      </c>
      <c r="I75" s="501">
        <v>-0.8</v>
      </c>
      <c r="J75" s="501">
        <v>-0.3</v>
      </c>
      <c r="K75" s="501">
        <v>0</v>
      </c>
      <c r="L75" s="857"/>
      <c r="M75" s="501">
        <v>-0.47599999999999998</v>
      </c>
      <c r="N75" s="501">
        <v>-0.1</v>
      </c>
      <c r="O75" s="1145">
        <v>-0.1</v>
      </c>
      <c r="P75" s="1145">
        <v>1.8</v>
      </c>
      <c r="Q75" s="1145">
        <v>1.5</v>
      </c>
      <c r="R75" s="1145">
        <v>1.1000000000000001</v>
      </c>
      <c r="S75" s="1145">
        <v>1.5</v>
      </c>
      <c r="T75" s="1145">
        <v>0.3</v>
      </c>
      <c r="U75" s="857"/>
      <c r="V75" s="648">
        <v>-0.18</v>
      </c>
      <c r="W75" s="1145">
        <v>0.1</v>
      </c>
      <c r="X75" s="1145">
        <v>0.8</v>
      </c>
      <c r="Y75" s="1145">
        <v>0.47</v>
      </c>
      <c r="Z75" s="1145">
        <v>-0.8</v>
      </c>
      <c r="AA75" s="1145">
        <v>0.6</v>
      </c>
      <c r="AB75" s="1145">
        <v>0.5</v>
      </c>
      <c r="AC75" s="1145">
        <v>0.8</v>
      </c>
      <c r="AD75" s="214"/>
    </row>
    <row r="76" spans="1:30" ht="14.25">
      <c r="A76" s="498"/>
      <c r="B76" s="499" t="s">
        <v>141</v>
      </c>
      <c r="C76" s="500">
        <v>10</v>
      </c>
      <c r="D76" s="654">
        <v>-0.2</v>
      </c>
      <c r="E76" s="501">
        <v>1</v>
      </c>
      <c r="F76" s="501">
        <v>2.7</v>
      </c>
      <c r="G76" s="501">
        <v>1.3</v>
      </c>
      <c r="H76" s="501">
        <v>1.1000000000000001</v>
      </c>
      <c r="I76" s="501">
        <v>0.4</v>
      </c>
      <c r="J76" s="501">
        <v>0.9</v>
      </c>
      <c r="K76" s="501">
        <v>-0.3</v>
      </c>
      <c r="L76" s="857"/>
      <c r="M76" s="501">
        <v>-0.123</v>
      </c>
      <c r="N76" s="501">
        <v>-0.2</v>
      </c>
      <c r="O76" s="1145">
        <v>0.2</v>
      </c>
      <c r="P76" s="1145">
        <v>-0.4</v>
      </c>
      <c r="Q76" s="1145">
        <v>0.5</v>
      </c>
      <c r="R76" s="1145">
        <v>0</v>
      </c>
      <c r="S76" s="1145">
        <v>0.3</v>
      </c>
      <c r="T76" s="1145">
        <v>1.1000000000000001</v>
      </c>
      <c r="U76" s="857"/>
      <c r="V76" s="648">
        <v>-0.11</v>
      </c>
      <c r="W76" s="1145">
        <v>-1.1000000000000001</v>
      </c>
      <c r="X76" s="1145">
        <v>-0.2</v>
      </c>
      <c r="Y76" s="1145">
        <v>0.14000000000000001</v>
      </c>
      <c r="Z76" s="1145">
        <v>0.8</v>
      </c>
      <c r="AA76" s="1145">
        <v>-0.4</v>
      </c>
      <c r="AB76" s="1145">
        <v>1</v>
      </c>
      <c r="AC76" s="1145">
        <v>-1.4</v>
      </c>
      <c r="AD76" s="214"/>
    </row>
    <row r="77" spans="1:30" ht="14.25">
      <c r="A77" s="498"/>
      <c r="B77" s="499" t="s">
        <v>141</v>
      </c>
      <c r="C77" s="500">
        <v>11</v>
      </c>
      <c r="D77" s="654">
        <v>-0.34</v>
      </c>
      <c r="E77" s="501">
        <v>-1.5</v>
      </c>
      <c r="F77" s="501">
        <v>-0.5</v>
      </c>
      <c r="G77" s="501">
        <v>-0.5</v>
      </c>
      <c r="H77" s="501">
        <v>0</v>
      </c>
      <c r="I77" s="501">
        <v>1</v>
      </c>
      <c r="J77" s="501">
        <v>-0.6</v>
      </c>
      <c r="K77" s="501">
        <v>-0.2</v>
      </c>
      <c r="L77" s="857"/>
      <c r="M77" s="501">
        <v>-0.11700000000000001</v>
      </c>
      <c r="N77" s="501">
        <v>0</v>
      </c>
      <c r="O77" s="1145">
        <v>-1</v>
      </c>
      <c r="P77" s="1145">
        <v>1.5</v>
      </c>
      <c r="Q77" s="1145">
        <v>0.5</v>
      </c>
      <c r="R77" s="1145">
        <v>-0.1</v>
      </c>
      <c r="S77" s="1145">
        <v>0.6</v>
      </c>
      <c r="T77" s="1145">
        <v>-1.8</v>
      </c>
      <c r="U77" s="857"/>
      <c r="V77" s="648">
        <v>-0.23</v>
      </c>
      <c r="W77" s="1145">
        <v>-0.1</v>
      </c>
      <c r="X77" s="1145">
        <v>2</v>
      </c>
      <c r="Y77" s="1145">
        <v>-1.05</v>
      </c>
      <c r="Z77" s="1145">
        <v>1.2</v>
      </c>
      <c r="AA77" s="1145">
        <v>0.1</v>
      </c>
      <c r="AB77" s="1145">
        <v>0.5</v>
      </c>
      <c r="AC77" s="1145">
        <v>1</v>
      </c>
      <c r="AD77" s="214"/>
    </row>
    <row r="78" spans="1:30" ht="14.25">
      <c r="A78" s="498"/>
      <c r="B78" s="499" t="s">
        <v>141</v>
      </c>
      <c r="C78" s="500">
        <v>12</v>
      </c>
      <c r="D78" s="656">
        <v>-0.18</v>
      </c>
      <c r="E78" s="501">
        <v>0.4</v>
      </c>
      <c r="F78" s="501">
        <v>-1.6</v>
      </c>
      <c r="G78" s="501">
        <v>0</v>
      </c>
      <c r="H78" s="501">
        <v>0.7</v>
      </c>
      <c r="I78" s="501">
        <v>-0.7</v>
      </c>
      <c r="J78" s="501">
        <v>0.6</v>
      </c>
      <c r="K78" s="501">
        <v>-0.2</v>
      </c>
      <c r="L78" s="857"/>
      <c r="M78" s="501">
        <v>-0.1</v>
      </c>
      <c r="N78" s="501">
        <v>-0.4</v>
      </c>
      <c r="O78" s="1145">
        <v>0.8</v>
      </c>
      <c r="P78" s="1145">
        <v>0.8</v>
      </c>
      <c r="Q78" s="1145">
        <v>0.7</v>
      </c>
      <c r="R78" s="1145">
        <v>0.4</v>
      </c>
      <c r="S78" s="1145">
        <v>0.6</v>
      </c>
      <c r="T78" s="1145">
        <v>0.8</v>
      </c>
      <c r="U78" s="857"/>
      <c r="V78" s="650">
        <v>-0.13</v>
      </c>
      <c r="W78" s="1145">
        <v>0.5</v>
      </c>
      <c r="X78" s="1145">
        <v>1.4</v>
      </c>
      <c r="Y78" s="1145">
        <v>0.8</v>
      </c>
      <c r="Z78" s="1145">
        <v>-1</v>
      </c>
      <c r="AA78" s="1145">
        <v>-0.6</v>
      </c>
      <c r="AB78" s="1145">
        <v>-0.2</v>
      </c>
      <c r="AC78" s="1145">
        <v>-0.3</v>
      </c>
      <c r="AD78" s="214"/>
    </row>
    <row r="79" spans="1:30" ht="14.25">
      <c r="A79" s="502" t="s">
        <v>366</v>
      </c>
      <c r="B79" s="503">
        <v>1999</v>
      </c>
      <c r="C79" s="504">
        <v>1</v>
      </c>
      <c r="D79" s="653">
        <v>-0.28999999999999998</v>
      </c>
      <c r="E79" s="505">
        <v>0.2</v>
      </c>
      <c r="F79" s="505">
        <v>-2.7</v>
      </c>
      <c r="G79" s="505">
        <v>-1.8</v>
      </c>
      <c r="H79" s="505">
        <v>-0.2</v>
      </c>
      <c r="I79" s="505">
        <v>0.6</v>
      </c>
      <c r="J79" s="505">
        <v>-1.1000000000000001</v>
      </c>
      <c r="K79" s="505">
        <v>1.7</v>
      </c>
      <c r="L79" s="856"/>
      <c r="M79" s="505">
        <v>0.28899999999999998</v>
      </c>
      <c r="N79" s="505">
        <v>0.2</v>
      </c>
      <c r="O79" s="1146">
        <v>-0.5</v>
      </c>
      <c r="P79" s="1146">
        <v>-1.7</v>
      </c>
      <c r="Q79" s="1146">
        <v>-2</v>
      </c>
      <c r="R79" s="1146">
        <v>-2.2999999999999998</v>
      </c>
      <c r="S79" s="1146">
        <v>-2.1</v>
      </c>
      <c r="T79" s="1146">
        <v>0.3</v>
      </c>
      <c r="U79" s="856"/>
      <c r="V79" s="647">
        <v>-0.16</v>
      </c>
      <c r="W79" s="1146">
        <v>1.2</v>
      </c>
      <c r="X79" s="1146">
        <v>-1.5</v>
      </c>
      <c r="Y79" s="1146">
        <v>-0.56999999999999995</v>
      </c>
      <c r="Z79" s="1146">
        <v>-1.3</v>
      </c>
      <c r="AA79" s="1146">
        <v>0.2</v>
      </c>
      <c r="AB79" s="1146">
        <v>-1.6</v>
      </c>
      <c r="AC79" s="1146">
        <v>0</v>
      </c>
      <c r="AD79" s="214"/>
    </row>
    <row r="80" spans="1:30" ht="14.25">
      <c r="A80" s="498"/>
      <c r="B80" s="499" t="s">
        <v>141</v>
      </c>
      <c r="C80" s="500">
        <v>2</v>
      </c>
      <c r="D80" s="654">
        <v>-0.25</v>
      </c>
      <c r="E80" s="501">
        <v>0.1</v>
      </c>
      <c r="F80" s="501">
        <v>3.1</v>
      </c>
      <c r="G80" s="501">
        <v>1.1000000000000001</v>
      </c>
      <c r="H80" s="501">
        <v>-0.7</v>
      </c>
      <c r="I80" s="501">
        <v>0.6</v>
      </c>
      <c r="J80" s="501">
        <v>2.1</v>
      </c>
      <c r="K80" s="501">
        <v>1.7</v>
      </c>
      <c r="L80" s="857"/>
      <c r="M80" s="501">
        <v>1.0129999999999999</v>
      </c>
      <c r="N80" s="501">
        <v>-0.4</v>
      </c>
      <c r="O80" s="1145">
        <v>0.3</v>
      </c>
      <c r="P80" s="1145">
        <v>0.9</v>
      </c>
      <c r="Q80" s="1145">
        <v>1.2</v>
      </c>
      <c r="R80" s="1145">
        <v>0.3</v>
      </c>
      <c r="S80" s="1145">
        <v>1</v>
      </c>
      <c r="T80" s="1145">
        <v>-0.6</v>
      </c>
      <c r="U80" s="857"/>
      <c r="V80" s="648">
        <v>-0.16</v>
      </c>
      <c r="W80" s="1145">
        <v>0.2</v>
      </c>
      <c r="X80" s="1145">
        <v>-0.3</v>
      </c>
      <c r="Y80" s="1145">
        <v>-0.63</v>
      </c>
      <c r="Z80" s="1145">
        <v>1.1000000000000001</v>
      </c>
      <c r="AA80" s="1145">
        <v>-0.2</v>
      </c>
      <c r="AB80" s="1145">
        <v>-0.4</v>
      </c>
      <c r="AC80" s="1145">
        <v>-0.7</v>
      </c>
      <c r="AD80" s="214"/>
    </row>
    <row r="81" spans="1:30" ht="14.25">
      <c r="A81" s="498"/>
      <c r="B81" s="499" t="s">
        <v>141</v>
      </c>
      <c r="C81" s="500">
        <v>3</v>
      </c>
      <c r="D81" s="654">
        <v>-0.19</v>
      </c>
      <c r="E81" s="501">
        <v>0.4</v>
      </c>
      <c r="F81" s="501">
        <v>1.2</v>
      </c>
      <c r="G81" s="501">
        <v>-1.2</v>
      </c>
      <c r="H81" s="501">
        <v>-0.6</v>
      </c>
      <c r="I81" s="501">
        <v>0.1</v>
      </c>
      <c r="J81" s="501">
        <v>-0.9</v>
      </c>
      <c r="K81" s="501">
        <v>1.8</v>
      </c>
      <c r="L81" s="857"/>
      <c r="M81" s="501">
        <v>-0.111</v>
      </c>
      <c r="N81" s="501">
        <v>0.1</v>
      </c>
      <c r="O81" s="1145">
        <v>0.7</v>
      </c>
      <c r="P81" s="1145">
        <v>2</v>
      </c>
      <c r="Q81" s="1145">
        <v>2.4</v>
      </c>
      <c r="R81" s="1145">
        <v>2.6</v>
      </c>
      <c r="S81" s="1145">
        <v>2.5</v>
      </c>
      <c r="T81" s="1145">
        <v>0.8</v>
      </c>
      <c r="U81" s="857"/>
      <c r="V81" s="648">
        <v>-0.17</v>
      </c>
      <c r="W81" s="1145">
        <v>-1.6</v>
      </c>
      <c r="X81" s="1145">
        <v>0.5</v>
      </c>
      <c r="Y81" s="1145">
        <v>-0.38</v>
      </c>
      <c r="Z81" s="1145">
        <v>-0.7</v>
      </c>
      <c r="AA81" s="1145">
        <v>0.4</v>
      </c>
      <c r="AB81" s="1145">
        <v>-0.7</v>
      </c>
      <c r="AC81" s="1145">
        <v>0.7</v>
      </c>
      <c r="AD81" s="214"/>
    </row>
    <row r="82" spans="1:30" ht="14.25">
      <c r="A82" s="498"/>
      <c r="B82" s="499" t="s">
        <v>141</v>
      </c>
      <c r="C82" s="500">
        <v>4</v>
      </c>
      <c r="D82" s="654">
        <v>-0.3</v>
      </c>
      <c r="E82" s="501">
        <v>1.4</v>
      </c>
      <c r="F82" s="501">
        <v>-1.2</v>
      </c>
      <c r="G82" s="501">
        <v>-2.7</v>
      </c>
      <c r="H82" s="501">
        <v>0.4</v>
      </c>
      <c r="I82" s="501">
        <v>-0.7</v>
      </c>
      <c r="J82" s="501">
        <v>-0.3</v>
      </c>
      <c r="K82" s="501">
        <v>0.6</v>
      </c>
      <c r="L82" s="857"/>
      <c r="M82" s="501">
        <v>0.29199999999999998</v>
      </c>
      <c r="N82" s="501">
        <v>0.2</v>
      </c>
      <c r="O82" s="1145">
        <v>-0.2</v>
      </c>
      <c r="P82" s="1145">
        <v>-1.8</v>
      </c>
      <c r="Q82" s="1145">
        <v>-2.2000000000000002</v>
      </c>
      <c r="R82" s="1145">
        <v>-1.7</v>
      </c>
      <c r="S82" s="1145">
        <v>-2.2999999999999998</v>
      </c>
      <c r="T82" s="1145">
        <v>-0.8</v>
      </c>
      <c r="U82" s="857"/>
      <c r="V82" s="648">
        <v>-0.19</v>
      </c>
      <c r="W82" s="1145">
        <v>-0.8</v>
      </c>
      <c r="X82" s="1145">
        <v>0.6</v>
      </c>
      <c r="Y82" s="1145">
        <v>0.09</v>
      </c>
      <c r="Z82" s="1145">
        <v>0.2</v>
      </c>
      <c r="AA82" s="1145">
        <v>1.3</v>
      </c>
      <c r="AB82" s="1145">
        <v>1.3</v>
      </c>
      <c r="AC82" s="1145">
        <v>0.5</v>
      </c>
      <c r="AD82" s="214"/>
    </row>
    <row r="83" spans="1:30" ht="14.25">
      <c r="A83" s="498"/>
      <c r="B83" s="499" t="s">
        <v>141</v>
      </c>
      <c r="C83" s="500">
        <v>5</v>
      </c>
      <c r="D83" s="654">
        <v>-0.26</v>
      </c>
      <c r="E83" s="501">
        <v>-1.3</v>
      </c>
      <c r="F83" s="501">
        <v>0.7</v>
      </c>
      <c r="G83" s="501">
        <v>0</v>
      </c>
      <c r="H83" s="501">
        <v>-0.7</v>
      </c>
      <c r="I83" s="501">
        <v>-0.3</v>
      </c>
      <c r="J83" s="501">
        <v>0.9</v>
      </c>
      <c r="K83" s="501">
        <v>0.6</v>
      </c>
      <c r="L83" s="857"/>
      <c r="M83" s="501">
        <v>-0.11899999999999999</v>
      </c>
      <c r="N83" s="501">
        <v>0.8</v>
      </c>
      <c r="O83" s="1145">
        <v>0</v>
      </c>
      <c r="P83" s="1145">
        <v>-0.2</v>
      </c>
      <c r="Q83" s="1145">
        <v>-0.9</v>
      </c>
      <c r="R83" s="1145">
        <v>-0.3</v>
      </c>
      <c r="S83" s="1145">
        <v>-0.9</v>
      </c>
      <c r="T83" s="1145">
        <v>-0.1</v>
      </c>
      <c r="U83" s="857"/>
      <c r="V83" s="648">
        <v>-0.14000000000000001</v>
      </c>
      <c r="W83" s="1145">
        <v>-0.2</v>
      </c>
      <c r="X83" s="1145">
        <v>-0.6</v>
      </c>
      <c r="Y83" s="1145">
        <v>0.71</v>
      </c>
      <c r="Z83" s="1145">
        <v>0.2</v>
      </c>
      <c r="AA83" s="1145">
        <v>-1.6</v>
      </c>
      <c r="AB83" s="1145">
        <v>-0.1</v>
      </c>
      <c r="AC83" s="1145">
        <v>-0.5</v>
      </c>
      <c r="AD83" s="214"/>
    </row>
    <row r="84" spans="1:30" ht="14.25">
      <c r="A84" s="498"/>
      <c r="B84" s="499" t="s">
        <v>141</v>
      </c>
      <c r="C84" s="500">
        <v>6</v>
      </c>
      <c r="D84" s="654">
        <v>-0.23</v>
      </c>
      <c r="E84" s="501">
        <v>0.8</v>
      </c>
      <c r="F84" s="501">
        <v>1.3</v>
      </c>
      <c r="G84" s="501">
        <v>1</v>
      </c>
      <c r="H84" s="501">
        <v>0.6</v>
      </c>
      <c r="I84" s="501">
        <v>1.6</v>
      </c>
      <c r="J84" s="501">
        <v>-2.2999999999999998</v>
      </c>
      <c r="K84" s="501">
        <v>0.6</v>
      </c>
      <c r="L84" s="857"/>
      <c r="M84" s="501">
        <v>0.67800000000000005</v>
      </c>
      <c r="N84" s="501">
        <v>-0.9</v>
      </c>
      <c r="O84" s="1145">
        <v>0</v>
      </c>
      <c r="P84" s="1145">
        <v>0.8</v>
      </c>
      <c r="Q84" s="1145">
        <v>1.6</v>
      </c>
      <c r="R84" s="1145">
        <v>1.9</v>
      </c>
      <c r="S84" s="1145">
        <v>1.6</v>
      </c>
      <c r="T84" s="1145">
        <v>-0.1</v>
      </c>
      <c r="U84" s="857"/>
      <c r="V84" s="648">
        <v>-0.15</v>
      </c>
      <c r="W84" s="1145">
        <v>0.1</v>
      </c>
      <c r="X84" s="1145">
        <v>0.5</v>
      </c>
      <c r="Y84" s="1145">
        <v>-0.67</v>
      </c>
      <c r="Z84" s="1145">
        <v>0.3</v>
      </c>
      <c r="AA84" s="1145">
        <v>0.4</v>
      </c>
      <c r="AB84" s="1145">
        <v>0.1</v>
      </c>
      <c r="AC84" s="1145">
        <v>-0.1</v>
      </c>
      <c r="AD84" s="214"/>
    </row>
    <row r="85" spans="1:30" ht="14.25">
      <c r="A85" s="498"/>
      <c r="B85" s="499" t="s">
        <v>141</v>
      </c>
      <c r="C85" s="500">
        <v>7</v>
      </c>
      <c r="D85" s="654">
        <v>-0.28000000000000003</v>
      </c>
      <c r="E85" s="501">
        <v>1.1000000000000001</v>
      </c>
      <c r="F85" s="501">
        <v>0.2</v>
      </c>
      <c r="G85" s="501">
        <v>1</v>
      </c>
      <c r="H85" s="501">
        <v>-0.4</v>
      </c>
      <c r="I85" s="501">
        <v>-1.3</v>
      </c>
      <c r="J85" s="501">
        <v>4.2</v>
      </c>
      <c r="K85" s="501">
        <v>1.1000000000000001</v>
      </c>
      <c r="L85" s="857"/>
      <c r="M85" s="501">
        <v>0.69199999999999995</v>
      </c>
      <c r="N85" s="501">
        <v>0.6</v>
      </c>
      <c r="O85" s="1145">
        <v>1.3</v>
      </c>
      <c r="P85" s="1145">
        <v>-0.4</v>
      </c>
      <c r="Q85" s="1145">
        <v>0.1</v>
      </c>
      <c r="R85" s="1145">
        <v>0</v>
      </c>
      <c r="S85" s="1145">
        <v>-0.1</v>
      </c>
      <c r="T85" s="1145">
        <v>-0.7</v>
      </c>
      <c r="U85" s="857"/>
      <c r="V85" s="648">
        <v>-0.18</v>
      </c>
      <c r="W85" s="1145">
        <v>-0.4</v>
      </c>
      <c r="X85" s="1145">
        <v>-0.5</v>
      </c>
      <c r="Y85" s="1145">
        <v>-0.14000000000000001</v>
      </c>
      <c r="Z85" s="1145">
        <v>0.2</v>
      </c>
      <c r="AA85" s="1145">
        <v>0.2</v>
      </c>
      <c r="AB85" s="1145">
        <v>0.6</v>
      </c>
      <c r="AC85" s="1145">
        <v>0.5</v>
      </c>
      <c r="AD85" s="214"/>
    </row>
    <row r="86" spans="1:30" ht="14.25">
      <c r="A86" s="498"/>
      <c r="B86" s="499" t="s">
        <v>141</v>
      </c>
      <c r="C86" s="500">
        <v>8</v>
      </c>
      <c r="D86" s="654">
        <v>-0.34</v>
      </c>
      <c r="E86" s="501">
        <v>-1.1000000000000001</v>
      </c>
      <c r="F86" s="501">
        <v>-2.9</v>
      </c>
      <c r="G86" s="501">
        <v>0.1</v>
      </c>
      <c r="H86" s="501">
        <v>0.8</v>
      </c>
      <c r="I86" s="501">
        <v>-0.6</v>
      </c>
      <c r="J86" s="501">
        <v>0.3</v>
      </c>
      <c r="K86" s="501">
        <v>1.1000000000000001</v>
      </c>
      <c r="L86" s="857"/>
      <c r="M86" s="501">
        <v>0.28499999999999998</v>
      </c>
      <c r="N86" s="501">
        <v>-0.1</v>
      </c>
      <c r="O86" s="1145">
        <v>0.3</v>
      </c>
      <c r="P86" s="1145">
        <v>-2</v>
      </c>
      <c r="Q86" s="1145">
        <v>-1.7</v>
      </c>
      <c r="R86" s="1145">
        <v>-1.4</v>
      </c>
      <c r="S86" s="1145">
        <v>-1.8</v>
      </c>
      <c r="T86" s="1145">
        <v>0.3</v>
      </c>
      <c r="U86" s="857"/>
      <c r="V86" s="648">
        <v>-0.15</v>
      </c>
      <c r="W86" s="1145">
        <v>-0.3</v>
      </c>
      <c r="X86" s="1145">
        <v>-0.8</v>
      </c>
      <c r="Y86" s="1145">
        <v>1.1399999999999999</v>
      </c>
      <c r="Z86" s="1145">
        <v>-0.5</v>
      </c>
      <c r="AA86" s="1145">
        <v>-0.4</v>
      </c>
      <c r="AB86" s="1145">
        <v>0.6</v>
      </c>
      <c r="AC86" s="1145">
        <v>-0.4</v>
      </c>
      <c r="AD86" s="214"/>
    </row>
    <row r="87" spans="1:30" ht="14.25">
      <c r="A87" s="498"/>
      <c r="B87" s="499" t="s">
        <v>141</v>
      </c>
      <c r="C87" s="500">
        <v>9</v>
      </c>
      <c r="D87" s="654">
        <v>-0.17</v>
      </c>
      <c r="E87" s="501">
        <v>0.4</v>
      </c>
      <c r="F87" s="501">
        <v>1.7</v>
      </c>
      <c r="G87" s="501">
        <v>1</v>
      </c>
      <c r="H87" s="501">
        <v>0.9</v>
      </c>
      <c r="I87" s="501">
        <v>-0.1</v>
      </c>
      <c r="J87" s="501">
        <v>-2.4</v>
      </c>
      <c r="K87" s="501">
        <v>1.1000000000000001</v>
      </c>
      <c r="L87" s="857"/>
      <c r="M87" s="501">
        <v>0.70299999999999996</v>
      </c>
      <c r="N87" s="501">
        <v>0.6</v>
      </c>
      <c r="O87" s="1145">
        <v>-0.7</v>
      </c>
      <c r="P87" s="1145">
        <v>1.4</v>
      </c>
      <c r="Q87" s="1145">
        <v>2.1</v>
      </c>
      <c r="R87" s="1145">
        <v>2.4</v>
      </c>
      <c r="S87" s="1145">
        <v>2.1</v>
      </c>
      <c r="T87" s="1145">
        <v>-0.2</v>
      </c>
      <c r="U87" s="857"/>
      <c r="V87" s="648">
        <v>-0.1</v>
      </c>
      <c r="W87" s="1145">
        <v>-0.3</v>
      </c>
      <c r="X87" s="1145">
        <v>0.2</v>
      </c>
      <c r="Y87" s="1145">
        <v>0.91</v>
      </c>
      <c r="Z87" s="1145">
        <v>1.3</v>
      </c>
      <c r="AA87" s="1145">
        <v>1.2</v>
      </c>
      <c r="AB87" s="1145">
        <v>-1.4</v>
      </c>
      <c r="AC87" s="1145">
        <v>0</v>
      </c>
      <c r="AD87" s="214"/>
    </row>
    <row r="88" spans="1:30" ht="14.25">
      <c r="A88" s="498"/>
      <c r="B88" s="499" t="s">
        <v>141</v>
      </c>
      <c r="C88" s="500">
        <v>10</v>
      </c>
      <c r="D88" s="654">
        <v>-0.28000000000000003</v>
      </c>
      <c r="E88" s="501">
        <v>0</v>
      </c>
      <c r="F88" s="501">
        <v>2.9</v>
      </c>
      <c r="G88" s="501">
        <v>0.2</v>
      </c>
      <c r="H88" s="501">
        <v>-1.2</v>
      </c>
      <c r="I88" s="501">
        <v>-0.7</v>
      </c>
      <c r="J88" s="501">
        <v>2</v>
      </c>
      <c r="K88" s="501">
        <v>0.4</v>
      </c>
      <c r="L88" s="857"/>
      <c r="M88" s="501">
        <v>0.30099999999999999</v>
      </c>
      <c r="N88" s="501">
        <v>-0.2</v>
      </c>
      <c r="O88" s="1145">
        <v>0.7</v>
      </c>
      <c r="P88" s="1145">
        <v>-0.2</v>
      </c>
      <c r="Q88" s="1145">
        <v>-0.4</v>
      </c>
      <c r="R88" s="1145">
        <v>-0.5</v>
      </c>
      <c r="S88" s="1145">
        <v>0</v>
      </c>
      <c r="T88" s="1145">
        <v>-0.7</v>
      </c>
      <c r="U88" s="857"/>
      <c r="V88" s="648">
        <v>-0.17</v>
      </c>
      <c r="W88" s="1145">
        <v>-0.3</v>
      </c>
      <c r="X88" s="1145">
        <v>0.5</v>
      </c>
      <c r="Y88" s="1145">
        <v>0.13</v>
      </c>
      <c r="Z88" s="1145">
        <v>-0.1</v>
      </c>
      <c r="AA88" s="1145">
        <v>-0.2</v>
      </c>
      <c r="AB88" s="1145">
        <v>-0.7</v>
      </c>
      <c r="AC88" s="1145">
        <v>0.6</v>
      </c>
      <c r="AD88" s="214"/>
    </row>
    <row r="89" spans="1:30" ht="14.25">
      <c r="A89" s="498"/>
      <c r="B89" s="499" t="s">
        <v>141</v>
      </c>
      <c r="C89" s="500">
        <v>11</v>
      </c>
      <c r="D89" s="654">
        <v>-0.17</v>
      </c>
      <c r="E89" s="501">
        <v>-0.2</v>
      </c>
      <c r="F89" s="501">
        <v>-1</v>
      </c>
      <c r="G89" s="501">
        <v>0.5</v>
      </c>
      <c r="H89" s="501">
        <v>0.4</v>
      </c>
      <c r="I89" s="501">
        <v>0.8</v>
      </c>
      <c r="J89" s="501">
        <v>0.3</v>
      </c>
      <c r="K89" s="501">
        <v>0.3</v>
      </c>
      <c r="L89" s="857"/>
      <c r="M89" s="501">
        <v>0.746</v>
      </c>
      <c r="N89" s="501">
        <v>0.3</v>
      </c>
      <c r="O89" s="1145">
        <v>1.4</v>
      </c>
      <c r="P89" s="1145">
        <v>-0.4</v>
      </c>
      <c r="Q89" s="1145">
        <v>0.3</v>
      </c>
      <c r="R89" s="1145">
        <v>0.4</v>
      </c>
      <c r="S89" s="1145">
        <v>0.2</v>
      </c>
      <c r="T89" s="1145">
        <v>-0.4</v>
      </c>
      <c r="U89" s="857"/>
      <c r="V89" s="648">
        <v>-0.1</v>
      </c>
      <c r="W89" s="1145">
        <v>-0.6</v>
      </c>
      <c r="X89" s="1145">
        <v>-1</v>
      </c>
      <c r="Y89" s="1145">
        <v>0.82</v>
      </c>
      <c r="Z89" s="1145">
        <v>-2</v>
      </c>
      <c r="AA89" s="1145">
        <v>-0.7</v>
      </c>
      <c r="AB89" s="1145">
        <v>0.3</v>
      </c>
      <c r="AC89" s="1145">
        <v>-0.6</v>
      </c>
      <c r="AD89" s="214"/>
    </row>
    <row r="90" spans="1:30" ht="14.25">
      <c r="A90" s="506"/>
      <c r="B90" s="507" t="s">
        <v>141</v>
      </c>
      <c r="C90" s="508">
        <v>12</v>
      </c>
      <c r="D90" s="655">
        <v>-0.15</v>
      </c>
      <c r="E90" s="509">
        <v>0</v>
      </c>
      <c r="F90" s="509">
        <v>-1.5</v>
      </c>
      <c r="G90" s="509">
        <v>0</v>
      </c>
      <c r="H90" s="509">
        <v>-0.1</v>
      </c>
      <c r="I90" s="509">
        <v>1.8</v>
      </c>
      <c r="J90" s="509">
        <v>-1.7</v>
      </c>
      <c r="K90" s="509">
        <v>0.4</v>
      </c>
      <c r="L90" s="858"/>
      <c r="M90" s="509">
        <v>-0.13200000000000001</v>
      </c>
      <c r="N90" s="509">
        <v>0</v>
      </c>
      <c r="O90" s="1147">
        <v>0</v>
      </c>
      <c r="P90" s="1147">
        <v>-0.7</v>
      </c>
      <c r="Q90" s="1147">
        <v>-0.9</v>
      </c>
      <c r="R90" s="1147">
        <v>-0.9</v>
      </c>
      <c r="S90" s="1147">
        <v>-0.9</v>
      </c>
      <c r="T90" s="1147">
        <v>1.7</v>
      </c>
      <c r="U90" s="858"/>
      <c r="V90" s="649">
        <v>-7.0000000000000007E-2</v>
      </c>
      <c r="W90" s="1147">
        <v>-0.8</v>
      </c>
      <c r="X90" s="1147">
        <v>-0.3</v>
      </c>
      <c r="Y90" s="1147">
        <v>-0.51</v>
      </c>
      <c r="Z90" s="1147">
        <v>1.3</v>
      </c>
      <c r="AA90" s="1147">
        <v>-0.5</v>
      </c>
      <c r="AB90" s="1147">
        <v>-0.6</v>
      </c>
      <c r="AC90" s="1147">
        <v>-0.4</v>
      </c>
      <c r="AD90" s="214"/>
    </row>
    <row r="91" spans="1:30" ht="14.25">
      <c r="A91" s="498" t="s">
        <v>367</v>
      </c>
      <c r="B91" s="499">
        <v>2000</v>
      </c>
      <c r="C91" s="500">
        <v>1</v>
      </c>
      <c r="D91" s="656">
        <v>-0.42</v>
      </c>
      <c r="E91" s="501">
        <v>2.4</v>
      </c>
      <c r="F91" s="501">
        <v>-2.9</v>
      </c>
      <c r="G91" s="501">
        <v>-1.7</v>
      </c>
      <c r="H91" s="501">
        <v>1.3</v>
      </c>
      <c r="I91" s="501">
        <v>-0.9</v>
      </c>
      <c r="J91" s="501">
        <v>0</v>
      </c>
      <c r="K91" s="501">
        <v>1.9</v>
      </c>
      <c r="L91" s="857"/>
      <c r="M91" s="501">
        <v>1.1240000000000001</v>
      </c>
      <c r="N91" s="501">
        <v>0.2</v>
      </c>
      <c r="O91" s="1145">
        <v>0.4</v>
      </c>
      <c r="P91" s="1145">
        <v>-0.3</v>
      </c>
      <c r="Q91" s="1145">
        <v>-1.6</v>
      </c>
      <c r="R91" s="1145">
        <v>-1</v>
      </c>
      <c r="S91" s="1145">
        <v>-1.7</v>
      </c>
      <c r="T91" s="1145">
        <v>-1.7</v>
      </c>
      <c r="U91" s="857"/>
      <c r="V91" s="650">
        <v>-0.18</v>
      </c>
      <c r="W91" s="1145">
        <v>0.5</v>
      </c>
      <c r="X91" s="1145">
        <v>-0.1</v>
      </c>
      <c r="Y91" s="1145">
        <v>-0.08</v>
      </c>
      <c r="Z91" s="1145">
        <v>0.1</v>
      </c>
      <c r="AA91" s="1145">
        <v>0.2</v>
      </c>
      <c r="AB91" s="1145">
        <v>0.4</v>
      </c>
      <c r="AC91" s="1145">
        <v>0.7</v>
      </c>
      <c r="AD91" s="214"/>
    </row>
    <row r="92" spans="1:30" ht="14.25">
      <c r="A92" s="498"/>
      <c r="B92" s="499" t="s">
        <v>141</v>
      </c>
      <c r="C92" s="500">
        <v>2</v>
      </c>
      <c r="D92" s="654">
        <v>-0.32</v>
      </c>
      <c r="E92" s="501">
        <v>-0.6</v>
      </c>
      <c r="F92" s="501">
        <v>3.2</v>
      </c>
      <c r="G92" s="501">
        <v>1.8</v>
      </c>
      <c r="H92" s="501">
        <v>-1</v>
      </c>
      <c r="I92" s="501">
        <v>-0.4</v>
      </c>
      <c r="J92" s="501">
        <v>2.4</v>
      </c>
      <c r="K92" s="501">
        <v>2</v>
      </c>
      <c r="L92" s="857"/>
      <c r="M92" s="501">
        <v>1.139</v>
      </c>
      <c r="N92" s="501">
        <v>-0.2</v>
      </c>
      <c r="O92" s="1145">
        <v>-0.4</v>
      </c>
      <c r="P92" s="1145">
        <v>1.7</v>
      </c>
      <c r="Q92" s="1145">
        <v>2.5</v>
      </c>
      <c r="R92" s="1145">
        <v>2.2000000000000002</v>
      </c>
      <c r="S92" s="1145">
        <v>2.2999999999999998</v>
      </c>
      <c r="T92" s="1145">
        <v>0.1</v>
      </c>
      <c r="U92" s="857"/>
      <c r="V92" s="648">
        <v>-0.17</v>
      </c>
      <c r="W92" s="1145">
        <v>0.1</v>
      </c>
      <c r="X92" s="1145">
        <v>0.6</v>
      </c>
      <c r="Y92" s="1145">
        <v>-0.95</v>
      </c>
      <c r="Z92" s="1145">
        <v>0</v>
      </c>
      <c r="AA92" s="1145">
        <v>-0.7</v>
      </c>
      <c r="AB92" s="1145">
        <v>0.4</v>
      </c>
      <c r="AC92" s="1145">
        <v>0.1</v>
      </c>
      <c r="AD92" s="214"/>
    </row>
    <row r="93" spans="1:30" ht="14.25">
      <c r="A93" s="498"/>
      <c r="B93" s="499" t="s">
        <v>141</v>
      </c>
      <c r="C93" s="500">
        <v>3</v>
      </c>
      <c r="D93" s="654">
        <v>-0.1</v>
      </c>
      <c r="E93" s="501">
        <v>0.9</v>
      </c>
      <c r="F93" s="501">
        <v>-0.5</v>
      </c>
      <c r="G93" s="501">
        <v>1.3</v>
      </c>
      <c r="H93" s="501">
        <v>-0.5</v>
      </c>
      <c r="I93" s="501">
        <v>0.5</v>
      </c>
      <c r="J93" s="501">
        <v>-1.2</v>
      </c>
      <c r="K93" s="501">
        <v>2</v>
      </c>
      <c r="L93" s="857"/>
      <c r="M93" s="501">
        <v>0.73099999999999998</v>
      </c>
      <c r="N93" s="501">
        <v>0.5</v>
      </c>
      <c r="O93" s="1145">
        <v>0.5</v>
      </c>
      <c r="P93" s="1145">
        <v>1.9</v>
      </c>
      <c r="Q93" s="1145">
        <v>2</v>
      </c>
      <c r="R93" s="1145">
        <v>1.1000000000000001</v>
      </c>
      <c r="S93" s="1145">
        <v>2.2000000000000002</v>
      </c>
      <c r="T93" s="1145">
        <v>0.6</v>
      </c>
      <c r="U93" s="857"/>
      <c r="V93" s="648">
        <v>-0.1</v>
      </c>
      <c r="W93" s="1145">
        <v>-0.2</v>
      </c>
      <c r="X93" s="1145">
        <v>0.6</v>
      </c>
      <c r="Y93" s="1145">
        <v>0.28999999999999998</v>
      </c>
      <c r="Z93" s="1145">
        <v>-1.1000000000000001</v>
      </c>
      <c r="AA93" s="1145">
        <v>0.7</v>
      </c>
      <c r="AB93" s="1145">
        <v>0</v>
      </c>
      <c r="AC93" s="1145">
        <v>-1.6</v>
      </c>
      <c r="AD93" s="214"/>
    </row>
    <row r="94" spans="1:30" ht="14.25">
      <c r="A94" s="498"/>
      <c r="B94" s="499" t="s">
        <v>141</v>
      </c>
      <c r="C94" s="500">
        <v>4</v>
      </c>
      <c r="D94" s="654">
        <v>-0.2</v>
      </c>
      <c r="E94" s="501">
        <v>-0.4</v>
      </c>
      <c r="F94" s="501">
        <v>-2.1</v>
      </c>
      <c r="G94" s="501">
        <v>-3.2</v>
      </c>
      <c r="H94" s="501">
        <v>0.3</v>
      </c>
      <c r="I94" s="501">
        <v>-1.7</v>
      </c>
      <c r="J94" s="501">
        <v>1.4</v>
      </c>
      <c r="K94" s="501">
        <v>-0.3</v>
      </c>
      <c r="L94" s="857"/>
      <c r="M94" s="501">
        <v>0.70299999999999996</v>
      </c>
      <c r="N94" s="501">
        <v>-1.7</v>
      </c>
      <c r="O94" s="1145">
        <v>-0.2</v>
      </c>
      <c r="P94" s="1145">
        <v>-3.5</v>
      </c>
      <c r="Q94" s="1145">
        <v>-2.9</v>
      </c>
      <c r="R94" s="1145">
        <v>-1.9</v>
      </c>
      <c r="S94" s="1145">
        <v>-3</v>
      </c>
      <c r="T94" s="1145">
        <v>-0.2</v>
      </c>
      <c r="U94" s="857"/>
      <c r="V94" s="648">
        <v>-0.08</v>
      </c>
      <c r="W94" s="1145">
        <v>-0.2</v>
      </c>
      <c r="X94" s="1145">
        <v>-1</v>
      </c>
      <c r="Y94" s="1145">
        <v>0.64</v>
      </c>
      <c r="Z94" s="1145">
        <v>0.5</v>
      </c>
      <c r="AA94" s="1145">
        <v>0.4</v>
      </c>
      <c r="AB94" s="1145">
        <v>-0.9</v>
      </c>
      <c r="AC94" s="1145">
        <v>1.7</v>
      </c>
      <c r="AD94" s="214"/>
    </row>
    <row r="95" spans="1:30" ht="14.25">
      <c r="A95" s="498"/>
      <c r="B95" s="499" t="s">
        <v>141</v>
      </c>
      <c r="C95" s="500">
        <v>5</v>
      </c>
      <c r="D95" s="654">
        <v>-0.19</v>
      </c>
      <c r="E95" s="501">
        <v>1.9</v>
      </c>
      <c r="F95" s="501">
        <v>0.2</v>
      </c>
      <c r="G95" s="501">
        <v>-1.6</v>
      </c>
      <c r="H95" s="501">
        <v>0.7</v>
      </c>
      <c r="I95" s="501">
        <v>1</v>
      </c>
      <c r="J95" s="501">
        <v>0.3</v>
      </c>
      <c r="K95" s="501">
        <v>-0.2</v>
      </c>
      <c r="L95" s="857"/>
      <c r="M95" s="501">
        <v>1.5640000000000001</v>
      </c>
      <c r="N95" s="501">
        <v>2.9</v>
      </c>
      <c r="O95" s="1145">
        <v>-0.2</v>
      </c>
      <c r="P95" s="1145">
        <v>2.4</v>
      </c>
      <c r="Q95" s="1145">
        <v>0.9</v>
      </c>
      <c r="R95" s="1145">
        <v>0.1</v>
      </c>
      <c r="S95" s="1145">
        <v>0.9</v>
      </c>
      <c r="T95" s="1145">
        <v>0.2</v>
      </c>
      <c r="U95" s="857"/>
      <c r="V95" s="648">
        <v>-0.09</v>
      </c>
      <c r="W95" s="1145">
        <v>-0.1</v>
      </c>
      <c r="X95" s="1145">
        <v>1.5</v>
      </c>
      <c r="Y95" s="1145">
        <v>1.39</v>
      </c>
      <c r="Z95" s="1145">
        <v>0.1</v>
      </c>
      <c r="AA95" s="1145">
        <v>0.1</v>
      </c>
      <c r="AB95" s="1145">
        <v>0</v>
      </c>
      <c r="AC95" s="1145">
        <v>-0.3</v>
      </c>
      <c r="AD95" s="214"/>
    </row>
    <row r="96" spans="1:30" ht="14.25">
      <c r="A96" s="498"/>
      <c r="B96" s="499" t="s">
        <v>141</v>
      </c>
      <c r="C96" s="500">
        <v>6</v>
      </c>
      <c r="D96" s="654">
        <v>-0.12</v>
      </c>
      <c r="E96" s="501">
        <v>-0.6</v>
      </c>
      <c r="F96" s="501">
        <v>2.1</v>
      </c>
      <c r="G96" s="501">
        <v>2.8</v>
      </c>
      <c r="H96" s="501">
        <v>0.1</v>
      </c>
      <c r="I96" s="501">
        <v>-0.8</v>
      </c>
      <c r="J96" s="501">
        <v>-1.8</v>
      </c>
      <c r="K96" s="501">
        <v>-0.3</v>
      </c>
      <c r="L96" s="857"/>
      <c r="M96" s="501">
        <v>0.68100000000000005</v>
      </c>
      <c r="N96" s="501">
        <v>-1.2</v>
      </c>
      <c r="O96" s="1145">
        <v>0.2</v>
      </c>
      <c r="P96" s="1145">
        <v>-0.1</v>
      </c>
      <c r="Q96" s="1145">
        <v>0.9</v>
      </c>
      <c r="R96" s="1145">
        <v>1.5</v>
      </c>
      <c r="S96" s="1145">
        <v>1</v>
      </c>
      <c r="T96" s="1145">
        <v>-0.4</v>
      </c>
      <c r="U96" s="857"/>
      <c r="V96" s="648">
        <v>-7.0000000000000007E-2</v>
      </c>
      <c r="W96" s="1145">
        <v>-1</v>
      </c>
      <c r="X96" s="1145">
        <v>-0.4</v>
      </c>
      <c r="Y96" s="1145">
        <v>-0.18</v>
      </c>
      <c r="Z96" s="1145">
        <v>0.4</v>
      </c>
      <c r="AA96" s="1145">
        <v>0.1</v>
      </c>
      <c r="AB96" s="1145">
        <v>0.6</v>
      </c>
      <c r="AC96" s="1145">
        <v>0</v>
      </c>
      <c r="AD96" s="214"/>
    </row>
    <row r="97" spans="1:30" ht="14.25">
      <c r="A97" s="498"/>
      <c r="B97" s="499" t="s">
        <v>141</v>
      </c>
      <c r="C97" s="500">
        <v>7</v>
      </c>
      <c r="D97" s="654">
        <v>-0.05</v>
      </c>
      <c r="E97" s="501">
        <v>-0.9</v>
      </c>
      <c r="F97" s="501">
        <v>0.3</v>
      </c>
      <c r="G97" s="501">
        <v>0.6</v>
      </c>
      <c r="H97" s="501">
        <v>-0.4</v>
      </c>
      <c r="I97" s="501">
        <v>-1</v>
      </c>
      <c r="J97" s="501">
        <v>-0.4</v>
      </c>
      <c r="K97" s="501">
        <v>-0.3</v>
      </c>
      <c r="L97" s="857"/>
      <c r="M97" s="501">
        <v>0.189</v>
      </c>
      <c r="N97" s="501">
        <v>0.2</v>
      </c>
      <c r="O97" s="1145">
        <v>-0.2</v>
      </c>
      <c r="P97" s="1145">
        <v>0.7</v>
      </c>
      <c r="Q97" s="1145">
        <v>0.1</v>
      </c>
      <c r="R97" s="1145">
        <v>-0.3</v>
      </c>
      <c r="S97" s="1145">
        <v>-0.1</v>
      </c>
      <c r="T97" s="1145">
        <v>1</v>
      </c>
      <c r="U97" s="857"/>
      <c r="V97" s="648">
        <v>-0.04</v>
      </c>
      <c r="W97" s="1145">
        <v>-0.5</v>
      </c>
      <c r="X97" s="1145">
        <v>0.8</v>
      </c>
      <c r="Y97" s="1145">
        <v>0.27</v>
      </c>
      <c r="Z97" s="1145">
        <v>-0.4</v>
      </c>
      <c r="AA97" s="1145">
        <v>0.3</v>
      </c>
      <c r="AB97" s="1145">
        <v>0.8</v>
      </c>
      <c r="AC97" s="1145">
        <v>0.1</v>
      </c>
      <c r="AD97" s="214"/>
    </row>
    <row r="98" spans="1:30" ht="14.25">
      <c r="A98" s="498"/>
      <c r="B98" s="499" t="s">
        <v>141</v>
      </c>
      <c r="C98" s="500">
        <v>8</v>
      </c>
      <c r="D98" s="654">
        <v>-0.15</v>
      </c>
      <c r="E98" s="501">
        <v>3.1</v>
      </c>
      <c r="F98" s="501">
        <v>-2.5</v>
      </c>
      <c r="G98" s="501">
        <v>1.1000000000000001</v>
      </c>
      <c r="H98" s="501">
        <v>0</v>
      </c>
      <c r="I98" s="501">
        <v>2</v>
      </c>
      <c r="J98" s="501">
        <v>0.6</v>
      </c>
      <c r="K98" s="501">
        <v>-0.3</v>
      </c>
      <c r="L98" s="857"/>
      <c r="M98" s="501">
        <v>1.159</v>
      </c>
      <c r="N98" s="501">
        <v>-0.3</v>
      </c>
      <c r="O98" s="1145">
        <v>0.5</v>
      </c>
      <c r="P98" s="1145">
        <v>-0.7</v>
      </c>
      <c r="Q98" s="1145">
        <v>-1.2</v>
      </c>
      <c r="R98" s="1145">
        <v>-1</v>
      </c>
      <c r="S98" s="1145">
        <v>-1.6</v>
      </c>
      <c r="T98" s="1145">
        <v>-0.9</v>
      </c>
      <c r="U98" s="857"/>
      <c r="V98" s="648">
        <v>-0.04</v>
      </c>
      <c r="W98" s="1145">
        <v>0.1</v>
      </c>
      <c r="X98" s="1145">
        <v>0.8</v>
      </c>
      <c r="Y98" s="1145">
        <v>0.49</v>
      </c>
      <c r="Z98" s="1145">
        <v>-0.2</v>
      </c>
      <c r="AA98" s="1145">
        <v>-0.5</v>
      </c>
      <c r="AB98" s="1145">
        <v>-0.3</v>
      </c>
      <c r="AC98" s="1145">
        <v>-0.2</v>
      </c>
      <c r="AD98" s="214"/>
    </row>
    <row r="99" spans="1:30" ht="14.25">
      <c r="A99" s="498"/>
      <c r="B99" s="499" t="s">
        <v>141</v>
      </c>
      <c r="C99" s="500">
        <v>9</v>
      </c>
      <c r="D99" s="654">
        <v>-0.16</v>
      </c>
      <c r="E99" s="501">
        <v>-3.1</v>
      </c>
      <c r="F99" s="501">
        <v>2.4</v>
      </c>
      <c r="G99" s="501">
        <v>1.3</v>
      </c>
      <c r="H99" s="501">
        <v>-1.5</v>
      </c>
      <c r="I99" s="501">
        <v>-0.8</v>
      </c>
      <c r="J99" s="501">
        <v>-1.5</v>
      </c>
      <c r="K99" s="501">
        <v>-0.3</v>
      </c>
      <c r="L99" s="857"/>
      <c r="M99" s="501">
        <v>-0.30499999999999999</v>
      </c>
      <c r="N99" s="501">
        <v>0.3</v>
      </c>
      <c r="O99" s="1145">
        <v>0</v>
      </c>
      <c r="P99" s="1145">
        <v>1</v>
      </c>
      <c r="Q99" s="1145">
        <v>1.6</v>
      </c>
      <c r="R99" s="1145">
        <v>1.1000000000000001</v>
      </c>
      <c r="S99" s="1145">
        <v>1.5</v>
      </c>
      <c r="T99" s="1145">
        <v>0.3</v>
      </c>
      <c r="U99" s="857"/>
      <c r="V99" s="648">
        <v>-0.11</v>
      </c>
      <c r="W99" s="1145">
        <v>0.1</v>
      </c>
      <c r="X99" s="1145">
        <v>-0.8</v>
      </c>
      <c r="Y99" s="1145">
        <v>-0.27</v>
      </c>
      <c r="Z99" s="1145">
        <v>-0.4</v>
      </c>
      <c r="AA99" s="1145">
        <v>0.2</v>
      </c>
      <c r="AB99" s="1145">
        <v>-0.1</v>
      </c>
      <c r="AC99" s="1145">
        <v>0</v>
      </c>
      <c r="AD99" s="214"/>
    </row>
    <row r="100" spans="1:30" ht="14.25">
      <c r="A100" s="498"/>
      <c r="B100" s="499" t="s">
        <v>141</v>
      </c>
      <c r="C100" s="500">
        <v>10</v>
      </c>
      <c r="D100" s="654">
        <v>-0.15</v>
      </c>
      <c r="E100" s="501">
        <v>0.2</v>
      </c>
      <c r="F100" s="501">
        <v>2.2999999999999998</v>
      </c>
      <c r="G100" s="501">
        <v>-0.5</v>
      </c>
      <c r="H100" s="501">
        <v>0.1</v>
      </c>
      <c r="I100" s="501">
        <v>-0.1</v>
      </c>
      <c r="J100" s="501">
        <v>0.7</v>
      </c>
      <c r="K100" s="501">
        <v>-1.6</v>
      </c>
      <c r="L100" s="857"/>
      <c r="M100" s="501">
        <v>0.19500000000000001</v>
      </c>
      <c r="N100" s="501">
        <v>-0.3</v>
      </c>
      <c r="O100" s="1145">
        <v>0.2</v>
      </c>
      <c r="P100" s="1145">
        <v>-0.4</v>
      </c>
      <c r="Q100" s="1145">
        <v>0.4</v>
      </c>
      <c r="R100" s="1145">
        <v>1</v>
      </c>
      <c r="S100" s="1145">
        <v>0.4</v>
      </c>
      <c r="T100" s="1145">
        <v>-0.2</v>
      </c>
      <c r="U100" s="857"/>
      <c r="V100" s="648">
        <v>-0.09</v>
      </c>
      <c r="W100" s="1145">
        <v>-0.1</v>
      </c>
      <c r="X100" s="1145">
        <v>0.8</v>
      </c>
      <c r="Y100" s="1145">
        <v>0.34</v>
      </c>
      <c r="Z100" s="1145">
        <v>1.8</v>
      </c>
      <c r="AA100" s="1145">
        <v>-0.6</v>
      </c>
      <c r="AB100" s="1145">
        <v>-0.6</v>
      </c>
      <c r="AC100" s="1145">
        <v>0.1</v>
      </c>
      <c r="AD100" s="214"/>
    </row>
    <row r="101" spans="1:30" ht="14.25">
      <c r="A101" s="498"/>
      <c r="B101" s="499" t="s">
        <v>141</v>
      </c>
      <c r="C101" s="500">
        <v>11</v>
      </c>
      <c r="D101" s="654">
        <v>-0.09</v>
      </c>
      <c r="E101" s="501">
        <v>1</v>
      </c>
      <c r="F101" s="501">
        <v>-0.3</v>
      </c>
      <c r="G101" s="501">
        <v>1.2</v>
      </c>
      <c r="H101" s="501">
        <v>0.3</v>
      </c>
      <c r="I101" s="501">
        <v>0.4</v>
      </c>
      <c r="J101" s="501">
        <v>3.6</v>
      </c>
      <c r="K101" s="501">
        <v>-1.6</v>
      </c>
      <c r="L101" s="857"/>
      <c r="M101" s="501">
        <v>-0.31900000000000001</v>
      </c>
      <c r="N101" s="501">
        <v>0.1</v>
      </c>
      <c r="O101" s="1145">
        <v>0</v>
      </c>
      <c r="P101" s="1145">
        <v>1.2</v>
      </c>
      <c r="Q101" s="1145">
        <v>0.7</v>
      </c>
      <c r="R101" s="1145">
        <v>-0.1</v>
      </c>
      <c r="S101" s="1145">
        <v>0.2</v>
      </c>
      <c r="T101" s="1145">
        <v>0</v>
      </c>
      <c r="U101" s="857"/>
      <c r="V101" s="648">
        <v>-7.0000000000000007E-2</v>
      </c>
      <c r="W101" s="1145">
        <v>0.1</v>
      </c>
      <c r="X101" s="1145">
        <v>0.5</v>
      </c>
      <c r="Y101" s="1145">
        <v>-0.37</v>
      </c>
      <c r="Z101" s="1145">
        <v>-0.3</v>
      </c>
      <c r="AA101" s="1145">
        <v>0.4</v>
      </c>
      <c r="AB101" s="1145">
        <v>0.3</v>
      </c>
      <c r="AC101" s="1145">
        <v>0</v>
      </c>
      <c r="AD101" s="214"/>
    </row>
    <row r="102" spans="1:30" ht="14.25">
      <c r="A102" s="498"/>
      <c r="B102" s="499" t="s">
        <v>141</v>
      </c>
      <c r="C102" s="500">
        <v>12</v>
      </c>
      <c r="D102" s="656">
        <v>-0.28000000000000003</v>
      </c>
      <c r="E102" s="501">
        <v>0</v>
      </c>
      <c r="F102" s="501">
        <v>-0.4</v>
      </c>
      <c r="G102" s="501">
        <v>0</v>
      </c>
      <c r="H102" s="501">
        <v>2.1</v>
      </c>
      <c r="I102" s="501">
        <v>-1</v>
      </c>
      <c r="J102" s="501">
        <v>-3</v>
      </c>
      <c r="K102" s="501">
        <v>-1.6</v>
      </c>
      <c r="L102" s="857"/>
      <c r="M102" s="501">
        <v>0.18099999999999999</v>
      </c>
      <c r="N102" s="501">
        <v>-0.5</v>
      </c>
      <c r="O102" s="1145">
        <v>-0.4</v>
      </c>
      <c r="P102" s="1145">
        <v>-0.2</v>
      </c>
      <c r="Q102" s="1145">
        <v>0.4</v>
      </c>
      <c r="R102" s="1145">
        <v>0.6</v>
      </c>
      <c r="S102" s="1145">
        <v>0.3</v>
      </c>
      <c r="T102" s="1145">
        <v>-0.8</v>
      </c>
      <c r="U102" s="857"/>
      <c r="V102" s="650">
        <v>-0.18</v>
      </c>
      <c r="W102" s="1145">
        <v>-0.8</v>
      </c>
      <c r="X102" s="1145">
        <v>-0.1</v>
      </c>
      <c r="Y102" s="1145">
        <v>-0.21</v>
      </c>
      <c r="Z102" s="1145">
        <v>-0.6</v>
      </c>
      <c r="AA102" s="1145">
        <v>1.7</v>
      </c>
      <c r="AB102" s="1145">
        <v>0.1</v>
      </c>
      <c r="AC102" s="1145">
        <v>-0.1</v>
      </c>
      <c r="AD102" s="214"/>
    </row>
    <row r="103" spans="1:30" ht="14.25">
      <c r="A103" s="502" t="s">
        <v>368</v>
      </c>
      <c r="B103" s="503">
        <v>2001</v>
      </c>
      <c r="C103" s="504">
        <v>1</v>
      </c>
      <c r="D103" s="653">
        <v>-0.12</v>
      </c>
      <c r="E103" s="505">
        <v>-1.6</v>
      </c>
      <c r="F103" s="505">
        <v>-4.5999999999999996</v>
      </c>
      <c r="G103" s="505">
        <v>-2.8</v>
      </c>
      <c r="H103" s="505">
        <v>-1.6</v>
      </c>
      <c r="I103" s="505">
        <v>0.7</v>
      </c>
      <c r="J103" s="505">
        <v>1.3</v>
      </c>
      <c r="K103" s="505">
        <v>-0.3</v>
      </c>
      <c r="L103" s="856"/>
      <c r="M103" s="505">
        <v>-0.314</v>
      </c>
      <c r="N103" s="505">
        <v>0.2</v>
      </c>
      <c r="O103" s="1146">
        <v>-0.7</v>
      </c>
      <c r="P103" s="1146">
        <v>1.4</v>
      </c>
      <c r="Q103" s="1146">
        <v>-1.7</v>
      </c>
      <c r="R103" s="1146">
        <v>-2.2000000000000002</v>
      </c>
      <c r="S103" s="1146">
        <v>-1.8</v>
      </c>
      <c r="T103" s="1146">
        <v>1.1000000000000001</v>
      </c>
      <c r="U103" s="856"/>
      <c r="V103" s="647">
        <v>-7.0000000000000007E-2</v>
      </c>
      <c r="W103" s="1146">
        <v>-0.2</v>
      </c>
      <c r="X103" s="1146">
        <v>1.3</v>
      </c>
      <c r="Y103" s="1146">
        <v>0.09</v>
      </c>
      <c r="Z103" s="1146">
        <v>0.4</v>
      </c>
      <c r="AA103" s="1146">
        <v>-1.4</v>
      </c>
      <c r="AB103" s="1146">
        <v>-0.4</v>
      </c>
      <c r="AC103" s="1146">
        <v>0</v>
      </c>
      <c r="AD103" s="214"/>
    </row>
    <row r="104" spans="1:30" ht="14.25">
      <c r="A104" s="498"/>
      <c r="B104" s="499" t="s">
        <v>141</v>
      </c>
      <c r="C104" s="500">
        <v>2</v>
      </c>
      <c r="D104" s="654">
        <v>-0.27</v>
      </c>
      <c r="E104" s="501">
        <v>-0.7</v>
      </c>
      <c r="F104" s="501">
        <v>2</v>
      </c>
      <c r="G104" s="501">
        <v>-2</v>
      </c>
      <c r="H104" s="501">
        <v>0.3</v>
      </c>
      <c r="I104" s="501">
        <v>0</v>
      </c>
      <c r="J104" s="501">
        <v>-0.4</v>
      </c>
      <c r="K104" s="501">
        <v>-0.2</v>
      </c>
      <c r="L104" s="857"/>
      <c r="M104" s="501">
        <v>-1.2949999999999999</v>
      </c>
      <c r="N104" s="501">
        <v>-0.9</v>
      </c>
      <c r="O104" s="1145">
        <v>0.2</v>
      </c>
      <c r="P104" s="1145">
        <v>1.7</v>
      </c>
      <c r="Q104" s="1145">
        <v>1.1000000000000001</v>
      </c>
      <c r="R104" s="1145">
        <v>-0.3</v>
      </c>
      <c r="S104" s="1145">
        <v>1.3</v>
      </c>
      <c r="T104" s="1145">
        <v>-1.2</v>
      </c>
      <c r="U104" s="857"/>
      <c r="V104" s="648">
        <v>-0.23</v>
      </c>
      <c r="W104" s="1145">
        <v>-1.1000000000000001</v>
      </c>
      <c r="X104" s="1145">
        <v>0.3</v>
      </c>
      <c r="Y104" s="1145">
        <v>0.93</v>
      </c>
      <c r="Z104" s="1145">
        <v>-0.5</v>
      </c>
      <c r="AA104" s="1145">
        <v>0.4</v>
      </c>
      <c r="AB104" s="1145">
        <v>-0.3</v>
      </c>
      <c r="AC104" s="1145">
        <v>0</v>
      </c>
      <c r="AD104" s="214"/>
    </row>
    <row r="105" spans="1:30" ht="14.25">
      <c r="A105" s="498"/>
      <c r="B105" s="499" t="s">
        <v>141</v>
      </c>
      <c r="C105" s="500">
        <v>3</v>
      </c>
      <c r="D105" s="654">
        <v>-0.11</v>
      </c>
      <c r="E105" s="501">
        <v>-0.2</v>
      </c>
      <c r="F105" s="501">
        <v>1.7</v>
      </c>
      <c r="G105" s="501">
        <v>-0.8</v>
      </c>
      <c r="H105" s="501">
        <v>0</v>
      </c>
      <c r="I105" s="501">
        <v>0.3</v>
      </c>
      <c r="J105" s="501">
        <v>-2.6</v>
      </c>
      <c r="K105" s="501">
        <v>-0.2</v>
      </c>
      <c r="L105" s="857"/>
      <c r="M105" s="501">
        <v>-1.2490000000000001</v>
      </c>
      <c r="N105" s="501">
        <v>-0.4</v>
      </c>
      <c r="O105" s="1145">
        <v>0.5</v>
      </c>
      <c r="P105" s="1145">
        <v>-0.8</v>
      </c>
      <c r="Q105" s="1145">
        <v>0.4</v>
      </c>
      <c r="R105" s="1145">
        <v>0.7</v>
      </c>
      <c r="S105" s="1145">
        <v>0.7</v>
      </c>
      <c r="T105" s="1145">
        <v>0.2</v>
      </c>
      <c r="U105" s="857"/>
      <c r="V105" s="648">
        <v>-0.19</v>
      </c>
      <c r="W105" s="1145">
        <v>-1.1000000000000001</v>
      </c>
      <c r="X105" s="1145">
        <v>-1.7</v>
      </c>
      <c r="Y105" s="1145">
        <v>-0.18</v>
      </c>
      <c r="Z105" s="1145">
        <v>1.3</v>
      </c>
      <c r="AA105" s="1145">
        <v>-1.5</v>
      </c>
      <c r="AB105" s="1145">
        <v>0</v>
      </c>
      <c r="AC105" s="1145">
        <v>0.5</v>
      </c>
      <c r="AD105" s="214"/>
    </row>
    <row r="106" spans="1:30" ht="14.25">
      <c r="A106" s="498"/>
      <c r="B106" s="499" t="s">
        <v>141</v>
      </c>
      <c r="C106" s="500">
        <v>4</v>
      </c>
      <c r="D106" s="654">
        <v>-0.16</v>
      </c>
      <c r="E106" s="501">
        <v>0.7</v>
      </c>
      <c r="F106" s="501">
        <v>-2.2000000000000002</v>
      </c>
      <c r="G106" s="501">
        <v>3.4</v>
      </c>
      <c r="H106" s="501">
        <v>0.7</v>
      </c>
      <c r="I106" s="501">
        <v>0</v>
      </c>
      <c r="J106" s="501">
        <v>1</v>
      </c>
      <c r="K106" s="501">
        <v>-1.1000000000000001</v>
      </c>
      <c r="L106" s="857"/>
      <c r="M106" s="501">
        <v>0.218</v>
      </c>
      <c r="N106" s="501">
        <v>-0.7</v>
      </c>
      <c r="O106" s="1145">
        <v>-1.9</v>
      </c>
      <c r="P106" s="1145">
        <v>-2.9</v>
      </c>
      <c r="Q106" s="1145">
        <v>-1.8</v>
      </c>
      <c r="R106" s="1145">
        <v>0.5</v>
      </c>
      <c r="S106" s="1145">
        <v>-1.6</v>
      </c>
      <c r="T106" s="1145">
        <v>0.8</v>
      </c>
      <c r="U106" s="857"/>
      <c r="V106" s="648">
        <v>-0.09</v>
      </c>
      <c r="W106" s="1145">
        <v>1.5</v>
      </c>
      <c r="X106" s="1145">
        <v>-0.3</v>
      </c>
      <c r="Y106" s="1145">
        <v>-0.4</v>
      </c>
      <c r="Z106" s="1145">
        <v>-0.3</v>
      </c>
      <c r="AA106" s="1145">
        <v>0.1</v>
      </c>
      <c r="AB106" s="1145">
        <v>0.2</v>
      </c>
      <c r="AC106" s="1145">
        <v>-2</v>
      </c>
      <c r="AD106" s="214"/>
    </row>
    <row r="107" spans="1:30" ht="14.25">
      <c r="A107" s="498"/>
      <c r="B107" s="499" t="s">
        <v>141</v>
      </c>
      <c r="C107" s="500">
        <v>5</v>
      </c>
      <c r="D107" s="654">
        <v>-0.24</v>
      </c>
      <c r="E107" s="501">
        <v>-1.4</v>
      </c>
      <c r="F107" s="501">
        <v>0.8</v>
      </c>
      <c r="G107" s="501">
        <v>0.5</v>
      </c>
      <c r="H107" s="501">
        <v>0.1</v>
      </c>
      <c r="I107" s="501">
        <v>-0.3</v>
      </c>
      <c r="J107" s="501">
        <v>-0.3</v>
      </c>
      <c r="K107" s="501">
        <v>-1.1000000000000001</v>
      </c>
      <c r="L107" s="857"/>
      <c r="M107" s="501">
        <v>-0.66800000000000004</v>
      </c>
      <c r="N107" s="501">
        <v>0.8</v>
      </c>
      <c r="O107" s="1145">
        <v>-0.5</v>
      </c>
      <c r="P107" s="1145">
        <v>1.1000000000000001</v>
      </c>
      <c r="Q107" s="1145">
        <v>-1.3</v>
      </c>
      <c r="R107" s="1145">
        <v>-2.1</v>
      </c>
      <c r="S107" s="1145">
        <v>-1.2</v>
      </c>
      <c r="T107" s="1145">
        <v>-0.1</v>
      </c>
      <c r="U107" s="857"/>
      <c r="V107" s="648">
        <v>-0.17</v>
      </c>
      <c r="W107" s="1145">
        <v>0.3</v>
      </c>
      <c r="X107" s="1145">
        <v>0.2</v>
      </c>
      <c r="Y107" s="1145">
        <v>-0.61</v>
      </c>
      <c r="Z107" s="1145">
        <v>-0.7</v>
      </c>
      <c r="AA107" s="1145">
        <v>-0.3</v>
      </c>
      <c r="AB107" s="1145">
        <v>-0.1</v>
      </c>
      <c r="AC107" s="1145">
        <v>1.8</v>
      </c>
      <c r="AD107" s="214"/>
    </row>
    <row r="108" spans="1:30" ht="14.25">
      <c r="A108" s="498"/>
      <c r="B108" s="499" t="s">
        <v>141</v>
      </c>
      <c r="C108" s="500">
        <v>6</v>
      </c>
      <c r="D108" s="654">
        <v>-0.16</v>
      </c>
      <c r="E108" s="501">
        <v>0.5</v>
      </c>
      <c r="F108" s="501">
        <v>0.3</v>
      </c>
      <c r="G108" s="501">
        <v>0.7</v>
      </c>
      <c r="H108" s="501">
        <v>-0.3</v>
      </c>
      <c r="I108" s="501">
        <v>0.2</v>
      </c>
      <c r="J108" s="501">
        <v>-0.7</v>
      </c>
      <c r="K108" s="501">
        <v>-1</v>
      </c>
      <c r="L108" s="857"/>
      <c r="M108" s="501">
        <v>-1.046</v>
      </c>
      <c r="N108" s="501">
        <v>-0.4</v>
      </c>
      <c r="O108" s="1145">
        <v>-0.5</v>
      </c>
      <c r="P108" s="1145">
        <v>-1.1000000000000001</v>
      </c>
      <c r="Q108" s="1145">
        <v>-0.8</v>
      </c>
      <c r="R108" s="1145">
        <v>0.3</v>
      </c>
      <c r="S108" s="1145">
        <v>-0.7</v>
      </c>
      <c r="T108" s="1145">
        <v>0.3</v>
      </c>
      <c r="U108" s="857"/>
      <c r="V108" s="648">
        <v>-0.14000000000000001</v>
      </c>
      <c r="W108" s="1145">
        <v>-0.5</v>
      </c>
      <c r="X108" s="1145">
        <v>-1.1000000000000001</v>
      </c>
      <c r="Y108" s="1145">
        <v>0.11</v>
      </c>
      <c r="Z108" s="1145">
        <v>0.1</v>
      </c>
      <c r="AA108" s="1145">
        <v>-0.3</v>
      </c>
      <c r="AB108" s="1145">
        <v>0.4</v>
      </c>
      <c r="AC108" s="1145">
        <v>-0.3</v>
      </c>
      <c r="AD108" s="214"/>
    </row>
    <row r="109" spans="1:30" ht="14.25">
      <c r="A109" s="498"/>
      <c r="B109" s="499" t="s">
        <v>141</v>
      </c>
      <c r="C109" s="500">
        <v>7</v>
      </c>
      <c r="D109" s="654">
        <v>-0.43</v>
      </c>
      <c r="E109" s="501">
        <v>-1.1000000000000001</v>
      </c>
      <c r="F109" s="501">
        <v>-2.2999999999999998</v>
      </c>
      <c r="G109" s="501">
        <v>-2.9</v>
      </c>
      <c r="H109" s="501">
        <v>0</v>
      </c>
      <c r="I109" s="501">
        <v>0.7</v>
      </c>
      <c r="J109" s="501">
        <v>2.1</v>
      </c>
      <c r="K109" s="501">
        <v>-3.2</v>
      </c>
      <c r="L109" s="857"/>
      <c r="M109" s="501">
        <v>-1.347</v>
      </c>
      <c r="N109" s="501">
        <v>-0.4</v>
      </c>
      <c r="O109" s="1145">
        <v>0.3</v>
      </c>
      <c r="P109" s="1145">
        <v>-2.8</v>
      </c>
      <c r="Q109" s="1145">
        <v>-2.2000000000000002</v>
      </c>
      <c r="R109" s="1145">
        <v>-0.3</v>
      </c>
      <c r="S109" s="1145">
        <v>-2.2999999999999998</v>
      </c>
      <c r="T109" s="1145">
        <v>-1.3</v>
      </c>
      <c r="U109" s="857"/>
      <c r="V109" s="648">
        <v>-0.27</v>
      </c>
      <c r="W109" s="1145">
        <v>-0.1</v>
      </c>
      <c r="X109" s="1145">
        <v>-1.7</v>
      </c>
      <c r="Y109" s="1145">
        <v>-0.23</v>
      </c>
      <c r="Z109" s="1145">
        <v>0.2</v>
      </c>
      <c r="AA109" s="1145">
        <v>-0.4</v>
      </c>
      <c r="AB109" s="1145">
        <v>-1.1000000000000001</v>
      </c>
      <c r="AC109" s="1145">
        <v>-0.8</v>
      </c>
      <c r="AD109" s="214"/>
    </row>
    <row r="110" spans="1:30" ht="14.25">
      <c r="A110" s="498"/>
      <c r="B110" s="499" t="s">
        <v>141</v>
      </c>
      <c r="C110" s="500">
        <v>8</v>
      </c>
      <c r="D110" s="654">
        <v>-0.43</v>
      </c>
      <c r="E110" s="501">
        <v>-0.2</v>
      </c>
      <c r="F110" s="501">
        <v>-1</v>
      </c>
      <c r="G110" s="501">
        <v>-0.5</v>
      </c>
      <c r="H110" s="501">
        <v>0</v>
      </c>
      <c r="I110" s="501">
        <v>-0.8</v>
      </c>
      <c r="J110" s="501">
        <v>-1.2</v>
      </c>
      <c r="K110" s="501">
        <v>-2.9</v>
      </c>
      <c r="L110" s="857"/>
      <c r="M110" s="501">
        <v>-0.83</v>
      </c>
      <c r="N110" s="501">
        <v>-0.8</v>
      </c>
      <c r="O110" s="1145">
        <v>-0.7</v>
      </c>
      <c r="P110" s="1145">
        <v>0.5</v>
      </c>
      <c r="Q110" s="1145">
        <v>-1</v>
      </c>
      <c r="R110" s="1145">
        <v>-2</v>
      </c>
      <c r="S110" s="1145">
        <v>-1.1000000000000001</v>
      </c>
      <c r="T110" s="1145">
        <v>0.3</v>
      </c>
      <c r="U110" s="857"/>
      <c r="V110" s="648">
        <v>-0.26</v>
      </c>
      <c r="W110" s="1145">
        <v>-0.5</v>
      </c>
      <c r="X110" s="1145">
        <v>1.3</v>
      </c>
      <c r="Y110" s="1145">
        <v>-7.0000000000000007E-2</v>
      </c>
      <c r="Z110" s="1145">
        <v>-0.4</v>
      </c>
      <c r="AA110" s="1145">
        <v>0</v>
      </c>
      <c r="AB110" s="1145">
        <v>-0.1</v>
      </c>
      <c r="AC110" s="1145">
        <v>0.5</v>
      </c>
      <c r="AD110" s="214"/>
    </row>
    <row r="111" spans="1:30" ht="14.25">
      <c r="A111" s="498"/>
      <c r="B111" s="499" t="s">
        <v>141</v>
      </c>
      <c r="C111" s="500">
        <v>9</v>
      </c>
      <c r="D111" s="654">
        <v>-0.2</v>
      </c>
      <c r="E111" s="501">
        <v>0</v>
      </c>
      <c r="F111" s="501">
        <v>2.6</v>
      </c>
      <c r="G111" s="501">
        <v>2.5</v>
      </c>
      <c r="H111" s="501">
        <v>-0.4</v>
      </c>
      <c r="I111" s="501">
        <v>-0.3</v>
      </c>
      <c r="J111" s="501">
        <v>0.5</v>
      </c>
      <c r="K111" s="501">
        <v>-2.1</v>
      </c>
      <c r="L111" s="857"/>
      <c r="M111" s="501">
        <v>-0.44500000000000001</v>
      </c>
      <c r="N111" s="501">
        <v>-0.5</v>
      </c>
      <c r="O111" s="1145">
        <v>-0.3</v>
      </c>
      <c r="P111" s="1145">
        <v>1.3</v>
      </c>
      <c r="Q111" s="1145">
        <v>1.9</v>
      </c>
      <c r="R111" s="1145">
        <v>1.1000000000000001</v>
      </c>
      <c r="S111" s="1145">
        <v>2.2999999999999998</v>
      </c>
      <c r="T111" s="1145">
        <v>1.9</v>
      </c>
      <c r="U111" s="857"/>
      <c r="V111" s="648">
        <v>-0.17</v>
      </c>
      <c r="W111" s="1145">
        <v>-0.1</v>
      </c>
      <c r="X111" s="1145">
        <v>-0.5</v>
      </c>
      <c r="Y111" s="1145">
        <v>-1.17</v>
      </c>
      <c r="Z111" s="1145">
        <v>0.3</v>
      </c>
      <c r="AA111" s="1145">
        <v>0.1</v>
      </c>
      <c r="AB111" s="1145">
        <v>0</v>
      </c>
      <c r="AC111" s="1145">
        <v>-0.6</v>
      </c>
      <c r="AD111" s="214"/>
    </row>
    <row r="112" spans="1:30" ht="14.25">
      <c r="A112" s="498"/>
      <c r="B112" s="499" t="s">
        <v>141</v>
      </c>
      <c r="C112" s="500">
        <v>10</v>
      </c>
      <c r="D112" s="654">
        <v>-0.44</v>
      </c>
      <c r="E112" s="501">
        <v>0.4</v>
      </c>
      <c r="F112" s="501">
        <v>0.8</v>
      </c>
      <c r="G112" s="501">
        <v>-1.9</v>
      </c>
      <c r="H112" s="501">
        <v>-0.7</v>
      </c>
      <c r="I112" s="501">
        <v>1.7</v>
      </c>
      <c r="J112" s="501">
        <v>-0.6</v>
      </c>
      <c r="K112" s="501">
        <v>0.9</v>
      </c>
      <c r="L112" s="857"/>
      <c r="M112" s="501">
        <v>-0.41799999999999998</v>
      </c>
      <c r="N112" s="501">
        <v>-0.7</v>
      </c>
      <c r="O112" s="1145">
        <v>-0.9</v>
      </c>
      <c r="P112" s="1145">
        <v>-2.2999999999999998</v>
      </c>
      <c r="Q112" s="1145">
        <v>-0.8</v>
      </c>
      <c r="R112" s="1145">
        <v>0.4</v>
      </c>
      <c r="S112" s="1145">
        <v>-1.2</v>
      </c>
      <c r="T112" s="1145">
        <v>-1.9</v>
      </c>
      <c r="U112" s="857"/>
      <c r="V112" s="648">
        <v>-0.28000000000000003</v>
      </c>
      <c r="W112" s="1145">
        <v>0.1</v>
      </c>
      <c r="X112" s="1145">
        <v>-1.2</v>
      </c>
      <c r="Y112" s="1145">
        <v>0.27</v>
      </c>
      <c r="Z112" s="1145">
        <v>-1.5</v>
      </c>
      <c r="AA112" s="1145">
        <v>0.5</v>
      </c>
      <c r="AB112" s="1145">
        <v>0.8</v>
      </c>
      <c r="AC112" s="1145">
        <v>0</v>
      </c>
      <c r="AD112" s="214"/>
    </row>
    <row r="113" spans="1:30" ht="14.25">
      <c r="A113" s="498"/>
      <c r="B113" s="499" t="s">
        <v>141</v>
      </c>
      <c r="C113" s="500">
        <v>11</v>
      </c>
      <c r="D113" s="654">
        <v>-0.45</v>
      </c>
      <c r="E113" s="501">
        <v>-0.6</v>
      </c>
      <c r="F113" s="501">
        <v>0.2</v>
      </c>
      <c r="G113" s="501">
        <v>-1.4</v>
      </c>
      <c r="H113" s="501">
        <v>-0.3</v>
      </c>
      <c r="I113" s="501">
        <v>-1.8</v>
      </c>
      <c r="J113" s="501">
        <v>-0.8</v>
      </c>
      <c r="K113" s="501">
        <v>0.9</v>
      </c>
      <c r="L113" s="857"/>
      <c r="M113" s="501">
        <v>-3.5999999999999997E-2</v>
      </c>
      <c r="N113" s="501">
        <v>-1</v>
      </c>
      <c r="O113" s="1145">
        <v>0.6</v>
      </c>
      <c r="P113" s="1145">
        <v>-0.5</v>
      </c>
      <c r="Q113" s="1145">
        <v>-0.6</v>
      </c>
      <c r="R113" s="1145">
        <v>-0.9</v>
      </c>
      <c r="S113" s="1145">
        <v>-0.4</v>
      </c>
      <c r="T113" s="1145">
        <v>0.3</v>
      </c>
      <c r="U113" s="857"/>
      <c r="V113" s="648">
        <v>-0.28000000000000003</v>
      </c>
      <c r="W113" s="1145">
        <v>-0.6</v>
      </c>
      <c r="X113" s="1145">
        <v>-1</v>
      </c>
      <c r="Y113" s="1145">
        <v>-0.6</v>
      </c>
      <c r="Z113" s="1145">
        <v>1</v>
      </c>
      <c r="AA113" s="1145">
        <v>-0.1</v>
      </c>
      <c r="AB113" s="1145">
        <v>-1</v>
      </c>
      <c r="AC113" s="1145">
        <v>0.4</v>
      </c>
      <c r="AD113" s="214"/>
    </row>
    <row r="114" spans="1:30" ht="14.25">
      <c r="A114" s="506"/>
      <c r="B114" s="507" t="s">
        <v>141</v>
      </c>
      <c r="C114" s="508">
        <v>12</v>
      </c>
      <c r="D114" s="655">
        <v>-0.5</v>
      </c>
      <c r="E114" s="509">
        <v>0.6</v>
      </c>
      <c r="F114" s="509">
        <v>-1.1000000000000001</v>
      </c>
      <c r="G114" s="509">
        <v>-1.3</v>
      </c>
      <c r="H114" s="509">
        <v>1.5</v>
      </c>
      <c r="I114" s="509">
        <v>1.2</v>
      </c>
      <c r="J114" s="509">
        <v>1.9</v>
      </c>
      <c r="K114" s="509">
        <v>0.8</v>
      </c>
      <c r="L114" s="858"/>
      <c r="M114" s="509">
        <v>-2.3E-2</v>
      </c>
      <c r="N114" s="509">
        <v>-0.5</v>
      </c>
      <c r="O114" s="1147">
        <v>0.6</v>
      </c>
      <c r="P114" s="1147">
        <v>-0.5</v>
      </c>
      <c r="Q114" s="1147">
        <v>-1.2</v>
      </c>
      <c r="R114" s="1147">
        <v>-1.2</v>
      </c>
      <c r="S114" s="1147">
        <v>-1.2</v>
      </c>
      <c r="T114" s="1147">
        <v>-0.4</v>
      </c>
      <c r="U114" s="858"/>
      <c r="V114" s="649">
        <v>-0.3</v>
      </c>
      <c r="W114" s="1147">
        <v>-0.4</v>
      </c>
      <c r="X114" s="1147">
        <v>-0.5</v>
      </c>
      <c r="Y114" s="1147">
        <v>-0.1</v>
      </c>
      <c r="Z114" s="1147">
        <v>-0.2</v>
      </c>
      <c r="AA114" s="1147">
        <v>0.5</v>
      </c>
      <c r="AB114" s="1147">
        <v>0.4</v>
      </c>
      <c r="AC114" s="1147">
        <v>0.5</v>
      </c>
      <c r="AD114" s="214"/>
    </row>
    <row r="115" spans="1:30" ht="14.25">
      <c r="A115" s="498" t="s">
        <v>369</v>
      </c>
      <c r="B115" s="499">
        <v>2002</v>
      </c>
      <c r="C115" s="500">
        <v>1</v>
      </c>
      <c r="D115" s="656">
        <v>-0.51</v>
      </c>
      <c r="E115" s="501">
        <v>0</v>
      </c>
      <c r="F115" s="501">
        <v>-3.1</v>
      </c>
      <c r="G115" s="501">
        <v>-2.8</v>
      </c>
      <c r="H115" s="501">
        <v>-1.6</v>
      </c>
      <c r="I115" s="501">
        <v>-0.8</v>
      </c>
      <c r="J115" s="501">
        <v>-0.8</v>
      </c>
      <c r="K115" s="501">
        <v>0.8</v>
      </c>
      <c r="L115" s="857"/>
      <c r="M115" s="501">
        <v>0.30599999999999999</v>
      </c>
      <c r="N115" s="501">
        <v>-0.2</v>
      </c>
      <c r="O115" s="1145">
        <v>1.3</v>
      </c>
      <c r="P115" s="1145">
        <v>-0.3</v>
      </c>
      <c r="Q115" s="1145">
        <v>-0.8</v>
      </c>
      <c r="R115" s="1145">
        <v>-0.3</v>
      </c>
      <c r="S115" s="1145">
        <v>-0.1</v>
      </c>
      <c r="T115" s="1145">
        <v>0</v>
      </c>
      <c r="U115" s="857"/>
      <c r="V115" s="650">
        <v>-0.27</v>
      </c>
      <c r="W115" s="1145">
        <v>-1.1000000000000001</v>
      </c>
      <c r="X115" s="1145">
        <v>0.6</v>
      </c>
      <c r="Y115" s="1145">
        <v>1.43</v>
      </c>
      <c r="Z115" s="1145">
        <v>0</v>
      </c>
      <c r="AA115" s="1145">
        <v>-0.3</v>
      </c>
      <c r="AB115" s="1145">
        <v>0</v>
      </c>
      <c r="AC115" s="1145">
        <v>0.1</v>
      </c>
      <c r="AD115" s="214"/>
    </row>
    <row r="116" spans="1:30" ht="14.25">
      <c r="A116" s="498"/>
      <c r="B116" s="499" t="s">
        <v>141</v>
      </c>
      <c r="C116" s="500">
        <v>2</v>
      </c>
      <c r="D116" s="654">
        <v>-0.45</v>
      </c>
      <c r="E116" s="501">
        <v>0.6</v>
      </c>
      <c r="F116" s="501">
        <v>2.4</v>
      </c>
      <c r="G116" s="501">
        <v>1.9</v>
      </c>
      <c r="H116" s="501">
        <v>0.5</v>
      </c>
      <c r="I116" s="501">
        <v>-0.2</v>
      </c>
      <c r="J116" s="501">
        <v>-0.8</v>
      </c>
      <c r="K116" s="501">
        <v>0.8</v>
      </c>
      <c r="L116" s="857"/>
      <c r="M116" s="501">
        <v>0.30099999999999999</v>
      </c>
      <c r="N116" s="501">
        <v>0.1</v>
      </c>
      <c r="O116" s="1145">
        <v>0.6</v>
      </c>
      <c r="P116" s="1145">
        <v>1</v>
      </c>
      <c r="Q116" s="1145">
        <v>1.2</v>
      </c>
      <c r="R116" s="1145">
        <v>0.8</v>
      </c>
      <c r="S116" s="1145">
        <v>1.6</v>
      </c>
      <c r="T116" s="1145">
        <v>-0.2</v>
      </c>
      <c r="U116" s="857"/>
      <c r="V116" s="648">
        <v>-0.28999999999999998</v>
      </c>
      <c r="W116" s="1145">
        <v>-0.3</v>
      </c>
      <c r="X116" s="1145">
        <v>0.2</v>
      </c>
      <c r="Y116" s="1145">
        <v>-0.3</v>
      </c>
      <c r="Z116" s="1145">
        <v>0.1</v>
      </c>
      <c r="AA116" s="1145">
        <v>0.1</v>
      </c>
      <c r="AB116" s="1145">
        <v>0.2</v>
      </c>
      <c r="AC116" s="1145">
        <v>-0.8</v>
      </c>
      <c r="AD116" s="214"/>
    </row>
    <row r="117" spans="1:30" ht="14.25">
      <c r="A117" s="498"/>
      <c r="B117" s="499" t="s">
        <v>141</v>
      </c>
      <c r="C117" s="500">
        <v>3</v>
      </c>
      <c r="D117" s="654">
        <v>-0.44</v>
      </c>
      <c r="E117" s="501">
        <v>1.4</v>
      </c>
      <c r="F117" s="501">
        <v>0.3</v>
      </c>
      <c r="G117" s="501">
        <v>2.2000000000000002</v>
      </c>
      <c r="H117" s="501">
        <v>0.6</v>
      </c>
      <c r="I117" s="501">
        <v>0.5</v>
      </c>
      <c r="J117" s="501">
        <v>-0.3</v>
      </c>
      <c r="K117" s="501">
        <v>0.8</v>
      </c>
      <c r="L117" s="857"/>
      <c r="M117" s="501">
        <v>1.046</v>
      </c>
      <c r="N117" s="501">
        <v>0.4</v>
      </c>
      <c r="O117" s="1145">
        <v>-0.2</v>
      </c>
      <c r="P117" s="1145">
        <v>1</v>
      </c>
      <c r="Q117" s="1145">
        <v>2</v>
      </c>
      <c r="R117" s="1145">
        <v>2.2999999999999998</v>
      </c>
      <c r="S117" s="1145">
        <v>2.1</v>
      </c>
      <c r="T117" s="1145">
        <v>-0.3</v>
      </c>
      <c r="U117" s="857"/>
      <c r="V117" s="648">
        <v>-0.28999999999999998</v>
      </c>
      <c r="W117" s="1145">
        <v>-0.5</v>
      </c>
      <c r="X117" s="1145">
        <v>0.3</v>
      </c>
      <c r="Y117" s="1145">
        <v>0.21</v>
      </c>
      <c r="Z117" s="1145">
        <v>-0.1</v>
      </c>
      <c r="AA117" s="1145">
        <v>0.3</v>
      </c>
      <c r="AB117" s="1145">
        <v>0</v>
      </c>
      <c r="AC117" s="1145">
        <v>0.1</v>
      </c>
      <c r="AD117" s="214"/>
    </row>
    <row r="118" spans="1:30" ht="14.25">
      <c r="A118" s="498"/>
      <c r="B118" s="499" t="s">
        <v>141</v>
      </c>
      <c r="C118" s="500">
        <v>4</v>
      </c>
      <c r="D118" s="654">
        <v>-0.5</v>
      </c>
      <c r="E118" s="501">
        <v>-0.3</v>
      </c>
      <c r="F118" s="501">
        <v>-1.8</v>
      </c>
      <c r="G118" s="501">
        <v>0</v>
      </c>
      <c r="H118" s="501">
        <v>-1</v>
      </c>
      <c r="I118" s="501">
        <v>0.1</v>
      </c>
      <c r="J118" s="501">
        <v>0</v>
      </c>
      <c r="K118" s="501">
        <v>2.2999999999999998</v>
      </c>
      <c r="L118" s="857"/>
      <c r="M118" s="501">
        <v>0.309</v>
      </c>
      <c r="N118" s="501">
        <v>-0.1</v>
      </c>
      <c r="O118" s="1145">
        <v>0.8</v>
      </c>
      <c r="P118" s="1145">
        <v>-1.6</v>
      </c>
      <c r="Q118" s="1145">
        <v>-1.7</v>
      </c>
      <c r="R118" s="1145">
        <v>-2</v>
      </c>
      <c r="S118" s="1145">
        <v>-1.8</v>
      </c>
      <c r="T118" s="1145">
        <v>-0.3</v>
      </c>
      <c r="U118" s="857"/>
      <c r="V118" s="648">
        <v>-0.28000000000000003</v>
      </c>
      <c r="W118" s="1145">
        <v>-0.5</v>
      </c>
      <c r="X118" s="1145">
        <v>0.7</v>
      </c>
      <c r="Y118" s="1145">
        <v>0.39</v>
      </c>
      <c r="Z118" s="1145">
        <v>0.5</v>
      </c>
      <c r="AA118" s="1145">
        <v>-0.2</v>
      </c>
      <c r="AB118" s="1145">
        <v>0.3</v>
      </c>
      <c r="AC118" s="1145">
        <v>0.7</v>
      </c>
      <c r="AD118" s="214"/>
    </row>
    <row r="119" spans="1:30" ht="14.25">
      <c r="A119" s="498"/>
      <c r="B119" s="499" t="s">
        <v>141</v>
      </c>
      <c r="C119" s="500">
        <v>5</v>
      </c>
      <c r="D119" s="654">
        <v>-0.42</v>
      </c>
      <c r="E119" s="501">
        <v>-0.2</v>
      </c>
      <c r="F119" s="501">
        <v>2.1</v>
      </c>
      <c r="G119" s="501">
        <v>-0.1</v>
      </c>
      <c r="H119" s="501">
        <v>0.4</v>
      </c>
      <c r="I119" s="501">
        <v>-0.3</v>
      </c>
      <c r="J119" s="501">
        <v>2.2999999999999998</v>
      </c>
      <c r="K119" s="501">
        <v>2.2999999999999998</v>
      </c>
      <c r="L119" s="857"/>
      <c r="M119" s="501">
        <v>0.33900000000000002</v>
      </c>
      <c r="N119" s="501">
        <v>0.5</v>
      </c>
      <c r="O119" s="1145">
        <v>0.3</v>
      </c>
      <c r="P119" s="1145">
        <v>1.5</v>
      </c>
      <c r="Q119" s="1145">
        <v>1.3</v>
      </c>
      <c r="R119" s="1145">
        <v>0.4</v>
      </c>
      <c r="S119" s="1145">
        <v>1.5</v>
      </c>
      <c r="T119" s="1145">
        <v>0.4</v>
      </c>
      <c r="U119" s="857"/>
      <c r="V119" s="648">
        <v>-0.23</v>
      </c>
      <c r="W119" s="1145">
        <v>-0.1</v>
      </c>
      <c r="X119" s="1145">
        <v>0.7</v>
      </c>
      <c r="Y119" s="1145">
        <v>-0.61</v>
      </c>
      <c r="Z119" s="1145">
        <v>0.9</v>
      </c>
      <c r="AA119" s="1145">
        <v>0.4</v>
      </c>
      <c r="AB119" s="1145">
        <v>0.3</v>
      </c>
      <c r="AC119" s="1145">
        <v>-0.4</v>
      </c>
      <c r="AD119" s="214"/>
    </row>
    <row r="120" spans="1:30" ht="14.25">
      <c r="A120" s="498"/>
      <c r="B120" s="499" t="s">
        <v>141</v>
      </c>
      <c r="C120" s="500">
        <v>6</v>
      </c>
      <c r="D120" s="654">
        <v>-0.47</v>
      </c>
      <c r="E120" s="501">
        <v>0</v>
      </c>
      <c r="F120" s="501">
        <v>0.7</v>
      </c>
      <c r="G120" s="501">
        <v>2.9</v>
      </c>
      <c r="H120" s="501">
        <v>0.2</v>
      </c>
      <c r="I120" s="501">
        <v>0.1</v>
      </c>
      <c r="J120" s="501">
        <v>-1.5</v>
      </c>
      <c r="K120" s="501">
        <v>2.4</v>
      </c>
      <c r="L120" s="857"/>
      <c r="M120" s="501">
        <v>0.35499999999999998</v>
      </c>
      <c r="N120" s="501">
        <v>0.4</v>
      </c>
      <c r="O120" s="1145">
        <v>-0.1</v>
      </c>
      <c r="P120" s="1145">
        <v>-0.3</v>
      </c>
      <c r="Q120" s="1145">
        <v>0.1</v>
      </c>
      <c r="R120" s="1145">
        <v>0.9</v>
      </c>
      <c r="S120" s="1145">
        <v>0.1</v>
      </c>
      <c r="T120" s="1145">
        <v>-0.5</v>
      </c>
      <c r="U120" s="857"/>
      <c r="V120" s="648">
        <v>-0.27</v>
      </c>
      <c r="W120" s="1145">
        <v>0.4</v>
      </c>
      <c r="X120" s="1145">
        <v>-0.5</v>
      </c>
      <c r="Y120" s="1145">
        <v>-0.15</v>
      </c>
      <c r="Z120" s="1145">
        <v>-0.4</v>
      </c>
      <c r="AA120" s="1145">
        <v>0</v>
      </c>
      <c r="AB120" s="1145">
        <v>0.2</v>
      </c>
      <c r="AC120" s="1145">
        <v>-0.4</v>
      </c>
      <c r="AD120" s="214"/>
    </row>
    <row r="121" spans="1:30" ht="14.25">
      <c r="A121" s="498"/>
      <c r="B121" s="499" t="s">
        <v>141</v>
      </c>
      <c r="C121" s="500">
        <v>7</v>
      </c>
      <c r="D121" s="654">
        <v>-0.47</v>
      </c>
      <c r="E121" s="501">
        <v>0.9</v>
      </c>
      <c r="F121" s="501">
        <v>-0.3</v>
      </c>
      <c r="G121" s="501">
        <v>0</v>
      </c>
      <c r="H121" s="501">
        <v>0.2</v>
      </c>
      <c r="I121" s="501">
        <v>-0.5</v>
      </c>
      <c r="J121" s="501">
        <v>-1.5</v>
      </c>
      <c r="K121" s="501">
        <v>1</v>
      </c>
      <c r="L121" s="857"/>
      <c r="M121" s="501">
        <v>0.73599999999999999</v>
      </c>
      <c r="N121" s="501">
        <v>0.7</v>
      </c>
      <c r="O121" s="1145">
        <v>0.4</v>
      </c>
      <c r="P121" s="1145">
        <v>-1.2</v>
      </c>
      <c r="Q121" s="1145">
        <v>0</v>
      </c>
      <c r="R121" s="1145">
        <v>1.1000000000000001</v>
      </c>
      <c r="S121" s="1145">
        <v>0.2</v>
      </c>
      <c r="T121" s="1145">
        <v>0</v>
      </c>
      <c r="U121" s="857"/>
      <c r="V121" s="648">
        <v>-0.25</v>
      </c>
      <c r="W121" s="1145">
        <v>0.4</v>
      </c>
      <c r="X121" s="1145">
        <v>-0.7</v>
      </c>
      <c r="Y121" s="1145">
        <v>0.83</v>
      </c>
      <c r="Z121" s="1145">
        <v>-0.7</v>
      </c>
      <c r="AA121" s="1145">
        <v>-0.1</v>
      </c>
      <c r="AB121" s="1145">
        <v>-0.3</v>
      </c>
      <c r="AC121" s="1145">
        <v>0.9</v>
      </c>
      <c r="AD121" s="214"/>
    </row>
    <row r="122" spans="1:30" ht="14.25">
      <c r="A122" s="498"/>
      <c r="B122" s="499" t="s">
        <v>141</v>
      </c>
      <c r="C122" s="500">
        <v>8</v>
      </c>
      <c r="D122" s="654">
        <v>-0.48</v>
      </c>
      <c r="E122" s="501">
        <v>0</v>
      </c>
      <c r="F122" s="501">
        <v>-2.6</v>
      </c>
      <c r="G122" s="501">
        <v>-0.8</v>
      </c>
      <c r="H122" s="501">
        <v>0.9</v>
      </c>
      <c r="I122" s="501">
        <v>0.1</v>
      </c>
      <c r="J122" s="501">
        <v>0.3</v>
      </c>
      <c r="K122" s="501">
        <v>1</v>
      </c>
      <c r="L122" s="857"/>
      <c r="M122" s="501">
        <v>1.0880000000000001</v>
      </c>
      <c r="N122" s="501">
        <v>0.6</v>
      </c>
      <c r="O122" s="1145">
        <v>-1</v>
      </c>
      <c r="P122" s="1145">
        <v>-1.2</v>
      </c>
      <c r="Q122" s="1145">
        <v>-1.6</v>
      </c>
      <c r="R122" s="1145">
        <v>-1.2</v>
      </c>
      <c r="S122" s="1145">
        <v>-2</v>
      </c>
      <c r="T122" s="1145">
        <v>0.6</v>
      </c>
      <c r="U122" s="857"/>
      <c r="V122" s="648">
        <v>-0.21</v>
      </c>
      <c r="W122" s="1145">
        <v>0.2</v>
      </c>
      <c r="X122" s="1145">
        <v>0.3</v>
      </c>
      <c r="Y122" s="1145">
        <v>-0.53</v>
      </c>
      <c r="Z122" s="1145">
        <v>1</v>
      </c>
      <c r="AA122" s="1145">
        <v>0.4</v>
      </c>
      <c r="AB122" s="1145">
        <v>0.4</v>
      </c>
      <c r="AC122" s="1145">
        <v>-0.3</v>
      </c>
      <c r="AD122" s="214"/>
    </row>
    <row r="123" spans="1:30" ht="14.25">
      <c r="A123" s="498"/>
      <c r="B123" s="499" t="s">
        <v>141</v>
      </c>
      <c r="C123" s="500">
        <v>9</v>
      </c>
      <c r="D123" s="654">
        <v>-0.4</v>
      </c>
      <c r="E123" s="501">
        <v>0.4</v>
      </c>
      <c r="F123" s="501">
        <v>3.9</v>
      </c>
      <c r="G123" s="501">
        <v>3.8</v>
      </c>
      <c r="H123" s="501">
        <v>0.3</v>
      </c>
      <c r="I123" s="501">
        <v>0.7</v>
      </c>
      <c r="J123" s="501">
        <v>1.6</v>
      </c>
      <c r="K123" s="501">
        <v>1</v>
      </c>
      <c r="L123" s="857"/>
      <c r="M123" s="501">
        <v>0.69899999999999995</v>
      </c>
      <c r="N123" s="501">
        <v>0.8</v>
      </c>
      <c r="O123" s="1145">
        <v>1.4</v>
      </c>
      <c r="P123" s="1145">
        <v>2.6</v>
      </c>
      <c r="Q123" s="1145">
        <v>2.4</v>
      </c>
      <c r="R123" s="1145">
        <v>1.4</v>
      </c>
      <c r="S123" s="1145">
        <v>2.5</v>
      </c>
      <c r="T123" s="1145">
        <v>-0.7</v>
      </c>
      <c r="U123" s="857"/>
      <c r="V123" s="648">
        <v>-0.22</v>
      </c>
      <c r="W123" s="1145">
        <v>0.1</v>
      </c>
      <c r="X123" s="1145">
        <v>0.5</v>
      </c>
      <c r="Y123" s="1145">
        <v>0.65</v>
      </c>
      <c r="Z123" s="1145">
        <v>-0.2</v>
      </c>
      <c r="AA123" s="1145">
        <v>-0.4</v>
      </c>
      <c r="AB123" s="1145">
        <v>-0.1</v>
      </c>
      <c r="AC123" s="1145">
        <v>-0.3</v>
      </c>
      <c r="AD123" s="214"/>
    </row>
    <row r="124" spans="1:30" ht="14.25">
      <c r="A124" s="498"/>
      <c r="B124" s="499" t="s">
        <v>141</v>
      </c>
      <c r="C124" s="500">
        <v>10</v>
      </c>
      <c r="D124" s="654">
        <v>-0.34</v>
      </c>
      <c r="E124" s="501">
        <v>-0.1</v>
      </c>
      <c r="F124" s="501">
        <v>1.3</v>
      </c>
      <c r="G124" s="501">
        <v>-1.1000000000000001</v>
      </c>
      <c r="H124" s="501">
        <v>0.1</v>
      </c>
      <c r="I124" s="501">
        <v>-1.4</v>
      </c>
      <c r="J124" s="501">
        <v>-0.4</v>
      </c>
      <c r="K124" s="501">
        <v>0.7</v>
      </c>
      <c r="L124" s="857"/>
      <c r="M124" s="501">
        <v>0.71499999999999997</v>
      </c>
      <c r="N124" s="501">
        <v>0.9</v>
      </c>
      <c r="O124" s="1145">
        <v>0.1</v>
      </c>
      <c r="P124" s="1145">
        <v>-1</v>
      </c>
      <c r="Q124" s="1145">
        <v>-1</v>
      </c>
      <c r="R124" s="1145">
        <v>-1.3</v>
      </c>
      <c r="S124" s="1145">
        <v>-1</v>
      </c>
      <c r="T124" s="1145">
        <v>0.6</v>
      </c>
      <c r="U124" s="857"/>
      <c r="V124" s="648">
        <v>-0.15</v>
      </c>
      <c r="W124" s="1145">
        <v>-0.3</v>
      </c>
      <c r="X124" s="1145">
        <v>0.5</v>
      </c>
      <c r="Y124" s="1145">
        <v>0.39</v>
      </c>
      <c r="Z124" s="1145">
        <v>-0.2</v>
      </c>
      <c r="AA124" s="1145">
        <v>-0.2</v>
      </c>
      <c r="AB124" s="1145">
        <v>0.3</v>
      </c>
      <c r="AC124" s="1145">
        <v>0.6</v>
      </c>
      <c r="AD124" s="214"/>
    </row>
    <row r="125" spans="1:30" ht="14.25">
      <c r="A125" s="498"/>
      <c r="B125" s="499" t="s">
        <v>141</v>
      </c>
      <c r="C125" s="500">
        <v>11</v>
      </c>
      <c r="D125" s="654">
        <v>-0.34</v>
      </c>
      <c r="E125" s="501">
        <v>0.4</v>
      </c>
      <c r="F125" s="501">
        <v>0</v>
      </c>
      <c r="G125" s="501">
        <v>0.2</v>
      </c>
      <c r="H125" s="501">
        <v>0.5</v>
      </c>
      <c r="I125" s="501">
        <v>1.3</v>
      </c>
      <c r="J125" s="501">
        <v>1</v>
      </c>
      <c r="K125" s="501">
        <v>0.7</v>
      </c>
      <c r="L125" s="857"/>
      <c r="M125" s="501">
        <v>1.129</v>
      </c>
      <c r="N125" s="501">
        <v>1.8</v>
      </c>
      <c r="O125" s="1145">
        <v>0.2</v>
      </c>
      <c r="P125" s="1145">
        <v>0.5</v>
      </c>
      <c r="Q125" s="1145">
        <v>-0.1</v>
      </c>
      <c r="R125" s="1145">
        <v>0</v>
      </c>
      <c r="S125" s="1145">
        <v>0</v>
      </c>
      <c r="T125" s="1145">
        <v>0.1</v>
      </c>
      <c r="U125" s="857"/>
      <c r="V125" s="648">
        <v>-0.15</v>
      </c>
      <c r="W125" s="1145">
        <v>0.5</v>
      </c>
      <c r="X125" s="1145">
        <v>0.3</v>
      </c>
      <c r="Y125" s="1145">
        <v>1.25</v>
      </c>
      <c r="Z125" s="1145">
        <v>0.4</v>
      </c>
      <c r="AA125" s="1145">
        <v>0.7</v>
      </c>
      <c r="AB125" s="1145">
        <v>1</v>
      </c>
      <c r="AC125" s="1145">
        <v>-0.2</v>
      </c>
      <c r="AD125" s="214"/>
    </row>
    <row r="126" spans="1:30" ht="14.25">
      <c r="A126" s="498"/>
      <c r="B126" s="499" t="s">
        <v>141</v>
      </c>
      <c r="C126" s="500">
        <v>12</v>
      </c>
      <c r="D126" s="657">
        <v>-0.31</v>
      </c>
      <c r="E126" s="501">
        <v>-2.4</v>
      </c>
      <c r="F126" s="501">
        <v>-1.7</v>
      </c>
      <c r="G126" s="501">
        <v>-1.8</v>
      </c>
      <c r="H126" s="501">
        <v>-1.4</v>
      </c>
      <c r="I126" s="501">
        <v>1.3</v>
      </c>
      <c r="J126" s="501">
        <v>-0.7</v>
      </c>
      <c r="K126" s="501">
        <v>0.6</v>
      </c>
      <c r="L126" s="857"/>
      <c r="M126" s="501">
        <v>0.26200000000000001</v>
      </c>
      <c r="N126" s="501">
        <v>0.3</v>
      </c>
      <c r="O126" s="1145">
        <v>-0.5</v>
      </c>
      <c r="P126" s="1145">
        <v>0.1</v>
      </c>
      <c r="Q126" s="1145">
        <v>0</v>
      </c>
      <c r="R126" s="1145">
        <v>-0.5</v>
      </c>
      <c r="S126" s="1145">
        <v>0</v>
      </c>
      <c r="T126" s="1145">
        <v>0</v>
      </c>
      <c r="U126" s="857"/>
      <c r="V126" s="650">
        <v>-0.15</v>
      </c>
      <c r="W126" s="1145">
        <v>0.7</v>
      </c>
      <c r="X126" s="1145">
        <v>-0.1</v>
      </c>
      <c r="Y126" s="1145">
        <v>-0.87</v>
      </c>
      <c r="Z126" s="1145">
        <v>-0.9</v>
      </c>
      <c r="AA126" s="1145">
        <v>-0.5</v>
      </c>
      <c r="AB126" s="1145">
        <v>0.4</v>
      </c>
      <c r="AC126" s="1145">
        <v>-0.5</v>
      </c>
      <c r="AD126" s="214"/>
    </row>
    <row r="127" spans="1:30" ht="14.25">
      <c r="A127" s="502" t="s">
        <v>370</v>
      </c>
      <c r="B127" s="503">
        <v>2003</v>
      </c>
      <c r="C127" s="504">
        <v>1</v>
      </c>
      <c r="D127" s="656">
        <v>-0.19</v>
      </c>
      <c r="E127" s="505">
        <v>0.8</v>
      </c>
      <c r="F127" s="505">
        <v>-2.2000000000000002</v>
      </c>
      <c r="G127" s="505">
        <v>-2.7</v>
      </c>
      <c r="H127" s="505">
        <v>-1.4</v>
      </c>
      <c r="I127" s="505">
        <v>-1.8</v>
      </c>
      <c r="J127" s="505">
        <v>0.9</v>
      </c>
      <c r="K127" s="505">
        <v>-1</v>
      </c>
      <c r="L127" s="856"/>
      <c r="M127" s="505">
        <v>0.217</v>
      </c>
      <c r="N127" s="505">
        <v>0.9</v>
      </c>
      <c r="O127" s="1146">
        <v>-1.5</v>
      </c>
      <c r="P127" s="1146">
        <v>-0.3</v>
      </c>
      <c r="Q127" s="1146">
        <v>-0.1</v>
      </c>
      <c r="R127" s="1146">
        <v>0.6</v>
      </c>
      <c r="S127" s="1146">
        <v>-0.2</v>
      </c>
      <c r="T127" s="1146">
        <v>-0.4</v>
      </c>
      <c r="U127" s="856"/>
      <c r="V127" s="647">
        <v>-0.1</v>
      </c>
      <c r="W127" s="1146">
        <v>0.8</v>
      </c>
      <c r="X127" s="1146">
        <v>-1.1000000000000001</v>
      </c>
      <c r="Y127" s="1146">
        <v>-0.13</v>
      </c>
      <c r="Z127" s="1146">
        <v>0.2</v>
      </c>
      <c r="AA127" s="1146">
        <v>0.4</v>
      </c>
      <c r="AB127" s="1146">
        <v>-0.2</v>
      </c>
      <c r="AC127" s="1146">
        <v>0.8</v>
      </c>
      <c r="AD127" s="214"/>
    </row>
    <row r="128" spans="1:30" ht="14.25">
      <c r="A128" s="498"/>
      <c r="B128" s="499" t="s">
        <v>141</v>
      </c>
      <c r="C128" s="500">
        <v>2</v>
      </c>
      <c r="D128" s="654">
        <v>-0.27</v>
      </c>
      <c r="E128" s="501">
        <v>1.2</v>
      </c>
      <c r="F128" s="501">
        <v>-0.5</v>
      </c>
      <c r="G128" s="501">
        <v>-0.3</v>
      </c>
      <c r="H128" s="501">
        <v>1.6</v>
      </c>
      <c r="I128" s="501">
        <v>-0.5</v>
      </c>
      <c r="J128" s="501">
        <v>-1.9</v>
      </c>
      <c r="K128" s="501">
        <v>-1</v>
      </c>
      <c r="L128" s="857"/>
      <c r="M128" s="501">
        <v>1.0329999999999999</v>
      </c>
      <c r="N128" s="501">
        <v>0.2</v>
      </c>
      <c r="O128" s="1145">
        <v>1.1000000000000001</v>
      </c>
      <c r="P128" s="1145">
        <v>-0.7</v>
      </c>
      <c r="Q128" s="1145">
        <v>-0.6</v>
      </c>
      <c r="R128" s="1145">
        <v>0</v>
      </c>
      <c r="S128" s="1145">
        <v>-0.5</v>
      </c>
      <c r="T128" s="1145">
        <v>-0.2</v>
      </c>
      <c r="U128" s="857"/>
      <c r="V128" s="648">
        <v>-0.13</v>
      </c>
      <c r="W128" s="1145">
        <v>-0.1</v>
      </c>
      <c r="X128" s="1145">
        <v>-1</v>
      </c>
      <c r="Y128" s="1145">
        <v>1.52</v>
      </c>
      <c r="Z128" s="1145">
        <v>0.4</v>
      </c>
      <c r="AA128" s="1145">
        <v>-1.1000000000000001</v>
      </c>
      <c r="AB128" s="1145">
        <v>0.2</v>
      </c>
      <c r="AC128" s="1145">
        <v>1</v>
      </c>
      <c r="AD128" s="214"/>
    </row>
    <row r="129" spans="1:30" ht="14.25">
      <c r="A129" s="498"/>
      <c r="B129" s="499" t="s">
        <v>141</v>
      </c>
      <c r="C129" s="500">
        <v>3</v>
      </c>
      <c r="D129" s="654">
        <v>-0.17</v>
      </c>
      <c r="E129" s="501">
        <v>-1.8</v>
      </c>
      <c r="F129" s="501">
        <v>0.6</v>
      </c>
      <c r="G129" s="501">
        <v>0.6</v>
      </c>
      <c r="H129" s="501">
        <v>-0.5</v>
      </c>
      <c r="I129" s="501">
        <v>-0.1</v>
      </c>
      <c r="J129" s="501">
        <v>0.8</v>
      </c>
      <c r="K129" s="501">
        <v>-1</v>
      </c>
      <c r="L129" s="857"/>
      <c r="M129" s="501">
        <v>0.14899999999999999</v>
      </c>
      <c r="N129" s="501">
        <v>0.7</v>
      </c>
      <c r="O129" s="1145">
        <v>0.1</v>
      </c>
      <c r="P129" s="1145">
        <v>1.6</v>
      </c>
      <c r="Q129" s="1145">
        <v>0.8</v>
      </c>
      <c r="R129" s="1145">
        <v>0.8</v>
      </c>
      <c r="S129" s="1145">
        <v>1.3</v>
      </c>
      <c r="T129" s="1145">
        <v>0.5</v>
      </c>
      <c r="U129" s="857"/>
      <c r="V129" s="648">
        <v>-0.06</v>
      </c>
      <c r="W129" s="1145">
        <v>-0.5</v>
      </c>
      <c r="X129" s="1145">
        <v>1.1000000000000001</v>
      </c>
      <c r="Y129" s="1145">
        <v>-1.1000000000000001</v>
      </c>
      <c r="Z129" s="1145">
        <v>-0.3</v>
      </c>
      <c r="AA129" s="1145">
        <v>1.1000000000000001</v>
      </c>
      <c r="AB129" s="1145">
        <v>0.3</v>
      </c>
      <c r="AC129" s="1145">
        <v>-1.6</v>
      </c>
      <c r="AD129" s="214"/>
    </row>
    <row r="130" spans="1:30" ht="14.25">
      <c r="A130" s="498"/>
      <c r="B130" s="499" t="s">
        <v>141</v>
      </c>
      <c r="C130" s="500">
        <v>4</v>
      </c>
      <c r="D130" s="654">
        <v>-0.16</v>
      </c>
      <c r="E130" s="501">
        <v>0.5</v>
      </c>
      <c r="F130" s="501">
        <v>0</v>
      </c>
      <c r="G130" s="501">
        <v>-0.5</v>
      </c>
      <c r="H130" s="501">
        <v>-0.4</v>
      </c>
      <c r="I130" s="501">
        <v>1</v>
      </c>
      <c r="J130" s="501">
        <v>0.2</v>
      </c>
      <c r="K130" s="501">
        <v>0</v>
      </c>
      <c r="L130" s="857"/>
      <c r="M130" s="501">
        <v>0.56799999999999995</v>
      </c>
      <c r="N130" s="501">
        <v>0.3</v>
      </c>
      <c r="O130" s="1145">
        <v>-1.2</v>
      </c>
      <c r="P130" s="1145">
        <v>-2.4</v>
      </c>
      <c r="Q130" s="1145">
        <v>-0.7</v>
      </c>
      <c r="R130" s="1145">
        <v>-0.8</v>
      </c>
      <c r="S130" s="1145">
        <v>-0.9</v>
      </c>
      <c r="T130" s="1145">
        <v>-0.4</v>
      </c>
      <c r="U130" s="857"/>
      <c r="V130" s="648">
        <v>-0.09</v>
      </c>
      <c r="W130" s="1145">
        <v>-0.8</v>
      </c>
      <c r="X130" s="1145">
        <v>-1.3</v>
      </c>
      <c r="Y130" s="1145">
        <v>-0.04</v>
      </c>
      <c r="Z130" s="1145">
        <v>0.2</v>
      </c>
      <c r="AA130" s="1145">
        <v>1.5</v>
      </c>
      <c r="AB130" s="1145">
        <v>-0.1</v>
      </c>
      <c r="AC130" s="1145">
        <v>0.5</v>
      </c>
      <c r="AD130" s="214"/>
    </row>
    <row r="131" spans="1:30" ht="14.25">
      <c r="A131" s="498"/>
      <c r="B131" s="499" t="s">
        <v>141</v>
      </c>
      <c r="C131" s="500">
        <v>5</v>
      </c>
      <c r="D131" s="654">
        <v>7.0000000000000007E-2</v>
      </c>
      <c r="E131" s="501">
        <v>1.7</v>
      </c>
      <c r="F131" s="501">
        <v>-1</v>
      </c>
      <c r="G131" s="501">
        <v>0.9</v>
      </c>
      <c r="H131" s="501">
        <v>-0.1</v>
      </c>
      <c r="I131" s="501">
        <v>0.3</v>
      </c>
      <c r="J131" s="501">
        <v>-0.6</v>
      </c>
      <c r="K131" s="501">
        <v>0</v>
      </c>
      <c r="L131" s="857"/>
      <c r="M131" s="501">
        <v>1.4179999999999999</v>
      </c>
      <c r="N131" s="501">
        <v>-0.1</v>
      </c>
      <c r="O131" s="1145">
        <v>0.3</v>
      </c>
      <c r="P131" s="1145">
        <v>0.6</v>
      </c>
      <c r="Q131" s="1145">
        <v>0.3</v>
      </c>
      <c r="R131" s="1145">
        <v>0.7</v>
      </c>
      <c r="S131" s="1145">
        <v>0.2</v>
      </c>
      <c r="T131" s="1145">
        <v>1.6</v>
      </c>
      <c r="U131" s="857"/>
      <c r="V131" s="648">
        <v>0.05</v>
      </c>
      <c r="W131" s="1145">
        <v>0</v>
      </c>
      <c r="X131" s="1145">
        <v>1.1000000000000001</v>
      </c>
      <c r="Y131" s="1145">
        <v>0.34</v>
      </c>
      <c r="Z131" s="1145">
        <v>-0.2</v>
      </c>
      <c r="AA131" s="1145">
        <v>-1.9</v>
      </c>
      <c r="AB131" s="1145">
        <v>-0.4</v>
      </c>
      <c r="AC131" s="1145">
        <v>-1.1000000000000001</v>
      </c>
      <c r="AD131" s="214"/>
    </row>
    <row r="132" spans="1:30" ht="14.25">
      <c r="A132" s="498"/>
      <c r="B132" s="499" t="s">
        <v>141</v>
      </c>
      <c r="C132" s="500">
        <v>6</v>
      </c>
      <c r="D132" s="654">
        <v>-0.03</v>
      </c>
      <c r="E132" s="501">
        <v>0</v>
      </c>
      <c r="F132" s="501">
        <v>0</v>
      </c>
      <c r="G132" s="501">
        <v>0</v>
      </c>
      <c r="H132" s="501">
        <v>0.8</v>
      </c>
      <c r="I132" s="501">
        <v>-0.3</v>
      </c>
      <c r="J132" s="501">
        <v>0.5</v>
      </c>
      <c r="K132" s="501">
        <v>-0.1</v>
      </c>
      <c r="L132" s="857"/>
      <c r="M132" s="501">
        <v>0.51400000000000001</v>
      </c>
      <c r="N132" s="501">
        <v>0.9</v>
      </c>
      <c r="O132" s="1145">
        <v>2.2999999999999998</v>
      </c>
      <c r="P132" s="1145">
        <v>1.1000000000000001</v>
      </c>
      <c r="Q132" s="1145">
        <v>0.1</v>
      </c>
      <c r="R132" s="1145">
        <v>-0.5</v>
      </c>
      <c r="S132" s="1145">
        <v>0</v>
      </c>
      <c r="T132" s="1145">
        <v>-1.2</v>
      </c>
      <c r="U132" s="857"/>
      <c r="V132" s="648">
        <v>-0.02</v>
      </c>
      <c r="W132" s="1145">
        <v>0.2</v>
      </c>
      <c r="X132" s="1145">
        <v>1.2</v>
      </c>
      <c r="Y132" s="1145">
        <v>0.47</v>
      </c>
      <c r="Z132" s="1145">
        <v>0.2</v>
      </c>
      <c r="AA132" s="1145">
        <v>1.2</v>
      </c>
      <c r="AB132" s="1145">
        <v>-0.5</v>
      </c>
      <c r="AC132" s="1145">
        <v>1.6</v>
      </c>
      <c r="AD132" s="214"/>
    </row>
    <row r="133" spans="1:30" ht="14.25">
      <c r="A133" s="498"/>
      <c r="B133" s="499" t="s">
        <v>141</v>
      </c>
      <c r="C133" s="500">
        <v>7</v>
      </c>
      <c r="D133" s="654">
        <v>-7.0000000000000007E-2</v>
      </c>
      <c r="E133" s="501">
        <v>0.2</v>
      </c>
      <c r="F133" s="501">
        <v>0.5</v>
      </c>
      <c r="G133" s="501">
        <v>1.1000000000000001</v>
      </c>
      <c r="H133" s="501">
        <v>-1</v>
      </c>
      <c r="I133" s="501">
        <v>-0.6</v>
      </c>
      <c r="J133" s="501">
        <v>-0.4</v>
      </c>
      <c r="K133" s="501">
        <v>1.6</v>
      </c>
      <c r="L133" s="857"/>
      <c r="M133" s="501">
        <v>1.4259999999999999</v>
      </c>
      <c r="N133" s="501">
        <v>0.5</v>
      </c>
      <c r="O133" s="1145">
        <v>-1.4</v>
      </c>
      <c r="P133" s="1145">
        <v>0.2</v>
      </c>
      <c r="Q133" s="1145">
        <v>0.2</v>
      </c>
      <c r="R133" s="1145">
        <v>0.8</v>
      </c>
      <c r="S133" s="1145">
        <v>0</v>
      </c>
      <c r="T133" s="1145">
        <v>-0.4</v>
      </c>
      <c r="U133" s="857"/>
      <c r="V133" s="648">
        <v>-0.02</v>
      </c>
      <c r="W133" s="1145">
        <v>0</v>
      </c>
      <c r="X133" s="1145">
        <v>0.4</v>
      </c>
      <c r="Y133" s="1145">
        <v>1.34</v>
      </c>
      <c r="Z133" s="1145">
        <v>0</v>
      </c>
      <c r="AA133" s="1145">
        <v>-0.5</v>
      </c>
      <c r="AB133" s="1145">
        <v>1</v>
      </c>
      <c r="AC133" s="1145">
        <v>2.2999999999999998</v>
      </c>
      <c r="AD133" s="214"/>
    </row>
    <row r="134" spans="1:30" ht="14.25">
      <c r="A134" s="498"/>
      <c r="B134" s="499" t="s">
        <v>141</v>
      </c>
      <c r="C134" s="500">
        <v>8</v>
      </c>
      <c r="D134" s="654">
        <v>0.18</v>
      </c>
      <c r="E134" s="501">
        <v>0.5</v>
      </c>
      <c r="F134" s="501">
        <v>-0.4</v>
      </c>
      <c r="G134" s="501">
        <v>1</v>
      </c>
      <c r="H134" s="501">
        <v>-0.3</v>
      </c>
      <c r="I134" s="501">
        <v>0.6</v>
      </c>
      <c r="J134" s="501">
        <v>-1.3</v>
      </c>
      <c r="K134" s="501">
        <v>1.6</v>
      </c>
      <c r="L134" s="857"/>
      <c r="M134" s="501">
        <v>-0.49199999999999999</v>
      </c>
      <c r="N134" s="501">
        <v>0.4</v>
      </c>
      <c r="O134" s="1145">
        <v>-0.8</v>
      </c>
      <c r="P134" s="1145">
        <v>-0.5</v>
      </c>
      <c r="Q134" s="1145">
        <v>0.1</v>
      </c>
      <c r="R134" s="1145">
        <v>0.9</v>
      </c>
      <c r="S134" s="1145">
        <v>0.4</v>
      </c>
      <c r="T134" s="1145">
        <v>1.1000000000000001</v>
      </c>
      <c r="U134" s="857"/>
      <c r="V134" s="648">
        <v>0.09</v>
      </c>
      <c r="W134" s="1145">
        <v>0.7</v>
      </c>
      <c r="X134" s="1145">
        <v>-0.6</v>
      </c>
      <c r="Y134" s="1145">
        <v>0.96</v>
      </c>
      <c r="Z134" s="1145">
        <v>-0.6</v>
      </c>
      <c r="AA134" s="1145">
        <v>0.6</v>
      </c>
      <c r="AB134" s="1145">
        <v>-0.6</v>
      </c>
      <c r="AC134" s="1145">
        <v>-2.4</v>
      </c>
      <c r="AD134" s="214"/>
    </row>
    <row r="135" spans="1:30" ht="14.25">
      <c r="A135" s="498"/>
      <c r="B135" s="499" t="s">
        <v>141</v>
      </c>
      <c r="C135" s="500">
        <v>9</v>
      </c>
      <c r="D135" s="654">
        <v>0.14000000000000001</v>
      </c>
      <c r="E135" s="501">
        <v>0.2</v>
      </c>
      <c r="F135" s="501">
        <v>-0.1</v>
      </c>
      <c r="G135" s="501">
        <v>-0.6</v>
      </c>
      <c r="H135" s="501">
        <v>0.5</v>
      </c>
      <c r="I135" s="501">
        <v>0.1</v>
      </c>
      <c r="J135" s="501">
        <v>1.9</v>
      </c>
      <c r="K135" s="501">
        <v>1.6</v>
      </c>
      <c r="L135" s="857"/>
      <c r="M135" s="501">
        <v>0.46500000000000002</v>
      </c>
      <c r="N135" s="501">
        <v>0.6</v>
      </c>
      <c r="O135" s="1145">
        <v>0.1</v>
      </c>
      <c r="P135" s="1145">
        <v>1.1000000000000001</v>
      </c>
      <c r="Q135" s="1145">
        <v>0.9</v>
      </c>
      <c r="R135" s="1145">
        <v>0.3</v>
      </c>
      <c r="S135" s="1145">
        <v>1.1000000000000001</v>
      </c>
      <c r="T135" s="1145">
        <v>0.4</v>
      </c>
      <c r="U135" s="857"/>
      <c r="V135" s="648">
        <v>0.16</v>
      </c>
      <c r="W135" s="1145">
        <v>-0.4</v>
      </c>
      <c r="X135" s="1145">
        <v>1.3</v>
      </c>
      <c r="Y135" s="1145">
        <v>-0.4</v>
      </c>
      <c r="Z135" s="1145">
        <v>0.3</v>
      </c>
      <c r="AA135" s="1145">
        <v>-0.3</v>
      </c>
      <c r="AB135" s="1145">
        <v>1</v>
      </c>
      <c r="AC135" s="1145">
        <v>0.2</v>
      </c>
      <c r="AD135" s="214"/>
    </row>
    <row r="136" spans="1:30" ht="14.25">
      <c r="A136" s="498"/>
      <c r="B136" s="499" t="s">
        <v>141</v>
      </c>
      <c r="C136" s="500">
        <v>10</v>
      </c>
      <c r="D136" s="654">
        <v>7.0000000000000007E-2</v>
      </c>
      <c r="E136" s="501">
        <v>0.3</v>
      </c>
      <c r="F136" s="501">
        <v>0.9</v>
      </c>
      <c r="G136" s="501">
        <v>1</v>
      </c>
      <c r="H136" s="501">
        <v>0.9</v>
      </c>
      <c r="I136" s="501">
        <v>-0.2</v>
      </c>
      <c r="J136" s="501">
        <v>-1.4</v>
      </c>
      <c r="K136" s="501">
        <v>2.4</v>
      </c>
      <c r="L136" s="857"/>
      <c r="M136" s="501">
        <v>0.46400000000000002</v>
      </c>
      <c r="N136" s="501">
        <v>0</v>
      </c>
      <c r="O136" s="1145">
        <v>0.9</v>
      </c>
      <c r="P136" s="1145">
        <v>-0.2</v>
      </c>
      <c r="Q136" s="1145">
        <v>0.4</v>
      </c>
      <c r="R136" s="1145">
        <v>0.4</v>
      </c>
      <c r="S136" s="1145">
        <v>0.7</v>
      </c>
      <c r="T136" s="1145">
        <v>0</v>
      </c>
      <c r="U136" s="857"/>
      <c r="V136" s="648">
        <v>0.08</v>
      </c>
      <c r="W136" s="1145">
        <v>0.6</v>
      </c>
      <c r="X136" s="1145">
        <v>-0.7</v>
      </c>
      <c r="Y136" s="1145">
        <v>0.61</v>
      </c>
      <c r="Z136" s="1145">
        <v>0.6</v>
      </c>
      <c r="AA136" s="1145">
        <v>0.2</v>
      </c>
      <c r="AB136" s="1145">
        <v>-0.9</v>
      </c>
      <c r="AC136" s="1145">
        <v>-0.2</v>
      </c>
      <c r="AD136" s="214"/>
    </row>
    <row r="137" spans="1:30" ht="14.25">
      <c r="A137" s="498"/>
      <c r="B137" s="499" t="s">
        <v>141</v>
      </c>
      <c r="C137" s="500">
        <v>11</v>
      </c>
      <c r="D137" s="654">
        <v>0.17</v>
      </c>
      <c r="E137" s="501">
        <v>-0.3</v>
      </c>
      <c r="F137" s="501">
        <v>-0.5</v>
      </c>
      <c r="G137" s="501">
        <v>-0.8</v>
      </c>
      <c r="H137" s="501">
        <v>-1.3</v>
      </c>
      <c r="I137" s="501">
        <v>0.1</v>
      </c>
      <c r="J137" s="501">
        <v>0.6</v>
      </c>
      <c r="K137" s="501">
        <v>2.5</v>
      </c>
      <c r="L137" s="857"/>
      <c r="M137" s="501">
        <v>0.97399999999999998</v>
      </c>
      <c r="N137" s="501">
        <v>1</v>
      </c>
      <c r="O137" s="1145">
        <v>0.9</v>
      </c>
      <c r="P137" s="1145">
        <v>-0.3</v>
      </c>
      <c r="Q137" s="1145">
        <v>0.1</v>
      </c>
      <c r="R137" s="1145">
        <v>-0.4</v>
      </c>
      <c r="S137" s="1145">
        <v>0.1</v>
      </c>
      <c r="T137" s="1145">
        <v>-0.5</v>
      </c>
      <c r="U137" s="857"/>
      <c r="V137" s="648">
        <v>0.17</v>
      </c>
      <c r="W137" s="1145">
        <v>0.3</v>
      </c>
      <c r="X137" s="1145">
        <v>-0.2</v>
      </c>
      <c r="Y137" s="1145">
        <v>-7.0000000000000007E-2</v>
      </c>
      <c r="Z137" s="1145">
        <v>-0.8</v>
      </c>
      <c r="AA137" s="1145">
        <v>-0.2</v>
      </c>
      <c r="AB137" s="1145">
        <v>-0.3</v>
      </c>
      <c r="AC137" s="1145">
        <v>0.3</v>
      </c>
      <c r="AD137" s="214"/>
    </row>
    <row r="138" spans="1:30" ht="14.25">
      <c r="A138" s="506"/>
      <c r="B138" s="507" t="s">
        <v>141</v>
      </c>
      <c r="C138" s="508">
        <v>12</v>
      </c>
      <c r="D138" s="655">
        <v>0.12</v>
      </c>
      <c r="E138" s="509">
        <v>-1.4</v>
      </c>
      <c r="F138" s="509">
        <v>-0.7</v>
      </c>
      <c r="G138" s="509">
        <v>0.4</v>
      </c>
      <c r="H138" s="509">
        <v>0.8</v>
      </c>
      <c r="I138" s="509">
        <v>0.8</v>
      </c>
      <c r="J138" s="509">
        <v>1.7</v>
      </c>
      <c r="K138" s="509">
        <v>2.4</v>
      </c>
      <c r="L138" s="858"/>
      <c r="M138" s="509">
        <v>-0.61299999999999999</v>
      </c>
      <c r="N138" s="509">
        <v>-0.2</v>
      </c>
      <c r="O138" s="1147">
        <v>-1.9</v>
      </c>
      <c r="P138" s="1147">
        <v>0.6</v>
      </c>
      <c r="Q138" s="1147">
        <v>0.5</v>
      </c>
      <c r="R138" s="1147">
        <v>1.5</v>
      </c>
      <c r="S138" s="1147">
        <v>0.3</v>
      </c>
      <c r="T138" s="1147">
        <v>1</v>
      </c>
      <c r="U138" s="858"/>
      <c r="V138" s="649">
        <v>0.15</v>
      </c>
      <c r="W138" s="1147">
        <v>0.2</v>
      </c>
      <c r="X138" s="1147">
        <v>0.7</v>
      </c>
      <c r="Y138" s="1147">
        <v>1.53</v>
      </c>
      <c r="Z138" s="1147">
        <v>0.1</v>
      </c>
      <c r="AA138" s="1147">
        <v>-0.6</v>
      </c>
      <c r="AB138" s="1147">
        <v>-0.3</v>
      </c>
      <c r="AC138" s="1147">
        <v>-0.1</v>
      </c>
      <c r="AD138" s="214"/>
    </row>
    <row r="139" spans="1:30" ht="14.25">
      <c r="A139" s="498" t="s">
        <v>371</v>
      </c>
      <c r="B139" s="499">
        <v>2004</v>
      </c>
      <c r="C139" s="500">
        <v>1</v>
      </c>
      <c r="D139" s="656">
        <v>0.19</v>
      </c>
      <c r="E139" s="501">
        <v>0.3</v>
      </c>
      <c r="F139" s="501">
        <v>1.8</v>
      </c>
      <c r="G139" s="501">
        <v>-0.7</v>
      </c>
      <c r="H139" s="501">
        <v>0.3</v>
      </c>
      <c r="I139" s="501">
        <v>-2.1</v>
      </c>
      <c r="J139" s="501">
        <v>-0.8</v>
      </c>
      <c r="K139" s="501">
        <v>1.1000000000000001</v>
      </c>
      <c r="L139" s="857"/>
      <c r="M139" s="501">
        <v>-0.59799999999999998</v>
      </c>
      <c r="N139" s="501">
        <v>0.5</v>
      </c>
      <c r="O139" s="1145">
        <v>-2.1</v>
      </c>
      <c r="P139" s="1145">
        <v>1.4</v>
      </c>
      <c r="Q139" s="1145">
        <v>-0.8</v>
      </c>
      <c r="R139" s="1145">
        <v>-2.1</v>
      </c>
      <c r="S139" s="1145">
        <v>0</v>
      </c>
      <c r="T139" s="1145">
        <v>0</v>
      </c>
      <c r="U139" s="857"/>
      <c r="V139" s="650">
        <v>0.17</v>
      </c>
      <c r="W139" s="1145">
        <v>-1.1000000000000001</v>
      </c>
      <c r="X139" s="1145">
        <v>0.8</v>
      </c>
      <c r="Y139" s="1145">
        <v>0.12</v>
      </c>
      <c r="Z139" s="1145">
        <v>0.4</v>
      </c>
      <c r="AA139" s="1145">
        <v>0.2</v>
      </c>
      <c r="AB139" s="1145">
        <v>0.7</v>
      </c>
      <c r="AC139" s="1145">
        <v>-0.4</v>
      </c>
      <c r="AD139" s="214"/>
    </row>
    <row r="140" spans="1:30" ht="14.25">
      <c r="A140" s="498"/>
      <c r="B140" s="499" t="s">
        <v>141</v>
      </c>
      <c r="C140" s="500">
        <v>2</v>
      </c>
      <c r="D140" s="654">
        <v>0.19</v>
      </c>
      <c r="E140" s="501">
        <v>0.8</v>
      </c>
      <c r="F140" s="501">
        <v>-3.4</v>
      </c>
      <c r="G140" s="501">
        <v>-1</v>
      </c>
      <c r="H140" s="501">
        <v>-0.5</v>
      </c>
      <c r="I140" s="501">
        <v>3</v>
      </c>
      <c r="J140" s="501">
        <v>-1.4</v>
      </c>
      <c r="K140" s="501">
        <v>1.2</v>
      </c>
      <c r="L140" s="857"/>
      <c r="M140" s="501">
        <v>-5.1999999999999998E-2</v>
      </c>
      <c r="N140" s="501">
        <v>-0.4</v>
      </c>
      <c r="O140" s="1145">
        <v>-1.1000000000000001</v>
      </c>
      <c r="P140" s="1145">
        <v>0</v>
      </c>
      <c r="Q140" s="1145">
        <v>0.5</v>
      </c>
      <c r="R140" s="1145">
        <v>1.3</v>
      </c>
      <c r="S140" s="1145">
        <v>0.8</v>
      </c>
      <c r="T140" s="1145">
        <v>-0.1</v>
      </c>
      <c r="U140" s="857"/>
      <c r="V140" s="648">
        <v>0.21</v>
      </c>
      <c r="W140" s="1145">
        <v>-0.8</v>
      </c>
      <c r="X140" s="1145">
        <v>0.3</v>
      </c>
      <c r="Y140" s="1145">
        <v>-0.34</v>
      </c>
      <c r="Z140" s="1145">
        <v>0.3</v>
      </c>
      <c r="AA140" s="1145">
        <v>0.9</v>
      </c>
      <c r="AB140" s="1145">
        <v>-0.2</v>
      </c>
      <c r="AC140" s="1145">
        <v>0.9</v>
      </c>
      <c r="AD140" s="214"/>
    </row>
    <row r="141" spans="1:30" ht="14.25">
      <c r="A141" s="498"/>
      <c r="B141" s="499" t="s">
        <v>141</v>
      </c>
      <c r="C141" s="500">
        <v>3</v>
      </c>
      <c r="D141" s="654">
        <v>0</v>
      </c>
      <c r="E141" s="501">
        <v>-1.7</v>
      </c>
      <c r="F141" s="501">
        <v>1.9</v>
      </c>
      <c r="G141" s="501">
        <v>0.9</v>
      </c>
      <c r="H141" s="501">
        <v>0.5</v>
      </c>
      <c r="I141" s="501">
        <v>-2.8</v>
      </c>
      <c r="J141" s="501">
        <v>-1.1000000000000001</v>
      </c>
      <c r="K141" s="501">
        <v>1.1000000000000001</v>
      </c>
      <c r="L141" s="857"/>
      <c r="M141" s="501">
        <v>-6.0999999999999999E-2</v>
      </c>
      <c r="N141" s="501">
        <v>-0.1</v>
      </c>
      <c r="O141" s="1145">
        <v>0.6</v>
      </c>
      <c r="P141" s="1145">
        <v>0.9</v>
      </c>
      <c r="Q141" s="1145">
        <v>0.1</v>
      </c>
      <c r="R141" s="1145">
        <v>0</v>
      </c>
      <c r="S141" s="1145">
        <v>-0.1</v>
      </c>
      <c r="T141" s="1145">
        <v>0.1</v>
      </c>
      <c r="U141" s="857"/>
      <c r="V141" s="648">
        <v>0.13</v>
      </c>
      <c r="W141" s="1145">
        <v>1</v>
      </c>
      <c r="X141" s="1145">
        <v>0.4</v>
      </c>
      <c r="Y141" s="1145">
        <v>1.55</v>
      </c>
      <c r="Z141" s="1145">
        <v>-1.1000000000000001</v>
      </c>
      <c r="AA141" s="1145">
        <v>-0.8</v>
      </c>
      <c r="AB141" s="1145">
        <v>-0.5</v>
      </c>
      <c r="AC141" s="1145">
        <v>0.6</v>
      </c>
      <c r="AD141" s="214"/>
    </row>
    <row r="142" spans="1:30" ht="14.25">
      <c r="A142" s="498"/>
      <c r="B142" s="499" t="s">
        <v>141</v>
      </c>
      <c r="C142" s="500">
        <v>4</v>
      </c>
      <c r="D142" s="654">
        <v>0.2</v>
      </c>
      <c r="E142" s="501">
        <v>0.3</v>
      </c>
      <c r="F142" s="501">
        <v>-0.1</v>
      </c>
      <c r="G142" s="501">
        <v>1.7</v>
      </c>
      <c r="H142" s="501">
        <v>-0.2</v>
      </c>
      <c r="I142" s="501">
        <v>0.8</v>
      </c>
      <c r="J142" s="501">
        <v>1</v>
      </c>
      <c r="K142" s="501">
        <v>-1.5</v>
      </c>
      <c r="L142" s="857"/>
      <c r="M142" s="501">
        <v>-1.105</v>
      </c>
      <c r="N142" s="501">
        <v>-1.3</v>
      </c>
      <c r="O142" s="1145">
        <v>1.1000000000000001</v>
      </c>
      <c r="P142" s="1145">
        <v>-0.4</v>
      </c>
      <c r="Q142" s="1145">
        <v>1.2</v>
      </c>
      <c r="R142" s="1145">
        <v>0.1</v>
      </c>
      <c r="S142" s="1145">
        <v>0.5</v>
      </c>
      <c r="T142" s="1145">
        <v>0.5</v>
      </c>
      <c r="U142" s="857"/>
      <c r="V142" s="648">
        <v>0.21</v>
      </c>
      <c r="W142" s="1145">
        <v>1.2</v>
      </c>
      <c r="X142" s="1145">
        <v>0.1</v>
      </c>
      <c r="Y142" s="1145">
        <v>-0.23</v>
      </c>
      <c r="Z142" s="1145">
        <v>0</v>
      </c>
      <c r="AA142" s="1145">
        <v>0.6</v>
      </c>
      <c r="AB142" s="1145">
        <v>-0.3</v>
      </c>
      <c r="AC142" s="1145">
        <v>-1.2</v>
      </c>
      <c r="AD142" s="214"/>
    </row>
    <row r="143" spans="1:30" ht="14.25">
      <c r="A143" s="498"/>
      <c r="B143" s="499" t="s">
        <v>141</v>
      </c>
      <c r="C143" s="500">
        <v>5</v>
      </c>
      <c r="D143" s="654">
        <v>0.24</v>
      </c>
      <c r="E143" s="501">
        <v>0.1</v>
      </c>
      <c r="F143" s="501">
        <v>-0.6</v>
      </c>
      <c r="G143" s="501">
        <v>-0.8</v>
      </c>
      <c r="H143" s="501">
        <v>-0.1</v>
      </c>
      <c r="I143" s="501">
        <v>0.6</v>
      </c>
      <c r="J143" s="501">
        <v>0</v>
      </c>
      <c r="K143" s="501">
        <v>-1.4</v>
      </c>
      <c r="L143" s="857"/>
      <c r="M143" s="501">
        <v>-0.57599999999999996</v>
      </c>
      <c r="N143" s="501">
        <v>1.5</v>
      </c>
      <c r="O143" s="1145">
        <v>-0.6</v>
      </c>
      <c r="P143" s="1145">
        <v>-0.1</v>
      </c>
      <c r="Q143" s="1145">
        <v>-0.3</v>
      </c>
      <c r="R143" s="1145">
        <v>-0.5</v>
      </c>
      <c r="S143" s="1145">
        <v>0.3</v>
      </c>
      <c r="T143" s="1145">
        <v>0.2</v>
      </c>
      <c r="U143" s="857"/>
      <c r="V143" s="648">
        <v>0.21</v>
      </c>
      <c r="W143" s="1145">
        <v>0.7</v>
      </c>
      <c r="X143" s="1145">
        <v>-0.2</v>
      </c>
      <c r="Y143" s="1145">
        <v>0.95</v>
      </c>
      <c r="Z143" s="1145">
        <v>-0.1</v>
      </c>
      <c r="AA143" s="1145">
        <v>-0.2</v>
      </c>
      <c r="AB143" s="1145">
        <v>0.6</v>
      </c>
      <c r="AC143" s="1145">
        <v>-0.3</v>
      </c>
      <c r="AD143" s="214"/>
    </row>
    <row r="144" spans="1:30" ht="14.25">
      <c r="A144" s="498"/>
      <c r="B144" s="499" t="s">
        <v>141</v>
      </c>
      <c r="C144" s="500">
        <v>6</v>
      </c>
      <c r="D144" s="654">
        <v>0.16</v>
      </c>
      <c r="E144" s="501">
        <v>0.6</v>
      </c>
      <c r="F144" s="501">
        <v>0.5</v>
      </c>
      <c r="G144" s="501">
        <v>0.8</v>
      </c>
      <c r="H144" s="501">
        <v>-0.5</v>
      </c>
      <c r="I144" s="501">
        <v>-0.2</v>
      </c>
      <c r="J144" s="501">
        <v>1.3</v>
      </c>
      <c r="K144" s="501">
        <v>-1.4</v>
      </c>
      <c r="L144" s="857"/>
      <c r="M144" s="501">
        <v>-3.5000000000000003E-2</v>
      </c>
      <c r="N144" s="501">
        <v>-0.7</v>
      </c>
      <c r="O144" s="1145">
        <v>0.3</v>
      </c>
      <c r="P144" s="1145">
        <v>-0.2</v>
      </c>
      <c r="Q144" s="1145">
        <v>0.3</v>
      </c>
      <c r="R144" s="1145">
        <v>1.1000000000000001</v>
      </c>
      <c r="S144" s="1145">
        <v>-0.3</v>
      </c>
      <c r="T144" s="1145">
        <v>-0.1</v>
      </c>
      <c r="U144" s="857"/>
      <c r="V144" s="648">
        <v>0.2</v>
      </c>
      <c r="W144" s="1145">
        <v>-0.4</v>
      </c>
      <c r="X144" s="1145">
        <v>0</v>
      </c>
      <c r="Y144" s="1145">
        <v>-0.33</v>
      </c>
      <c r="Z144" s="1145">
        <v>0.1</v>
      </c>
      <c r="AA144" s="1145">
        <v>-1.6</v>
      </c>
      <c r="AB144" s="1145">
        <v>1.1000000000000001</v>
      </c>
      <c r="AC144" s="1145">
        <v>0.7</v>
      </c>
      <c r="AD144" s="214"/>
    </row>
    <row r="145" spans="1:30" ht="14.25">
      <c r="A145" s="498"/>
      <c r="B145" s="499" t="s">
        <v>141</v>
      </c>
      <c r="C145" s="500">
        <v>7</v>
      </c>
      <c r="D145" s="654">
        <v>0.22</v>
      </c>
      <c r="E145" s="501">
        <v>1.3</v>
      </c>
      <c r="F145" s="501">
        <v>0.6</v>
      </c>
      <c r="G145" s="501">
        <v>0.4</v>
      </c>
      <c r="H145" s="501">
        <v>0.3</v>
      </c>
      <c r="I145" s="501">
        <v>0.9</v>
      </c>
      <c r="J145" s="501">
        <v>-1.1000000000000001</v>
      </c>
      <c r="K145" s="501">
        <v>-0.2</v>
      </c>
      <c r="L145" s="857"/>
      <c r="M145" s="501">
        <v>2.0950000000000002</v>
      </c>
      <c r="N145" s="501">
        <v>0.6</v>
      </c>
      <c r="O145" s="1145">
        <v>-0.6</v>
      </c>
      <c r="P145" s="1145">
        <v>0.5</v>
      </c>
      <c r="Q145" s="1145">
        <v>0.2</v>
      </c>
      <c r="R145" s="1145">
        <v>-0.8</v>
      </c>
      <c r="S145" s="1145">
        <v>0.5</v>
      </c>
      <c r="T145" s="1145">
        <v>0.3</v>
      </c>
      <c r="U145" s="857"/>
      <c r="V145" s="648">
        <v>0.25</v>
      </c>
      <c r="W145" s="1145">
        <v>0.1</v>
      </c>
      <c r="X145" s="1145">
        <v>0.6</v>
      </c>
      <c r="Y145" s="1145">
        <v>-1.36</v>
      </c>
      <c r="Z145" s="1145">
        <v>1.3</v>
      </c>
      <c r="AA145" s="1145">
        <v>1.1000000000000001</v>
      </c>
      <c r="AB145" s="1145">
        <v>-0.5</v>
      </c>
      <c r="AC145" s="1145">
        <v>-0.1</v>
      </c>
      <c r="AD145" s="214"/>
    </row>
    <row r="146" spans="1:30" ht="14.25">
      <c r="A146" s="498"/>
      <c r="B146" s="499" t="s">
        <v>141</v>
      </c>
      <c r="C146" s="500">
        <v>8</v>
      </c>
      <c r="D146" s="654">
        <v>0.27</v>
      </c>
      <c r="E146" s="501">
        <v>-0.9</v>
      </c>
      <c r="F146" s="501">
        <v>-0.3</v>
      </c>
      <c r="G146" s="501">
        <v>1.3</v>
      </c>
      <c r="H146" s="501">
        <v>0.6</v>
      </c>
      <c r="I146" s="501">
        <v>0.2</v>
      </c>
      <c r="J146" s="501">
        <v>1.5</v>
      </c>
      <c r="K146" s="501">
        <v>-0.2</v>
      </c>
      <c r="L146" s="857"/>
      <c r="M146" s="501">
        <v>1.012</v>
      </c>
      <c r="N146" s="501">
        <v>0.2</v>
      </c>
      <c r="O146" s="1145">
        <v>0.7</v>
      </c>
      <c r="P146" s="1145">
        <v>0.2</v>
      </c>
      <c r="Q146" s="1145">
        <v>-0.2</v>
      </c>
      <c r="R146" s="1145">
        <v>-1.2</v>
      </c>
      <c r="S146" s="1145">
        <v>-0.2</v>
      </c>
      <c r="T146" s="1145">
        <v>-0.2</v>
      </c>
      <c r="U146" s="857"/>
      <c r="V146" s="648">
        <v>0.2</v>
      </c>
      <c r="W146" s="1145">
        <v>-0.7</v>
      </c>
      <c r="X146" s="1145">
        <v>0.1</v>
      </c>
      <c r="Y146" s="1145">
        <v>0.74</v>
      </c>
      <c r="Z146" s="1145">
        <v>0</v>
      </c>
      <c r="AA146" s="1145">
        <v>0</v>
      </c>
      <c r="AB146" s="1145">
        <v>0.2</v>
      </c>
      <c r="AC146" s="1145">
        <v>0.5</v>
      </c>
      <c r="AD146" s="214"/>
    </row>
    <row r="147" spans="1:30" ht="14.25">
      <c r="A147" s="498"/>
      <c r="B147" s="499" t="s">
        <v>141</v>
      </c>
      <c r="C147" s="500">
        <v>9</v>
      </c>
      <c r="D147" s="654">
        <v>0.13</v>
      </c>
      <c r="E147" s="501">
        <v>2.2000000000000002</v>
      </c>
      <c r="F147" s="501">
        <v>0.2</v>
      </c>
      <c r="G147" s="501">
        <v>0.4</v>
      </c>
      <c r="H147" s="501">
        <v>-0.8</v>
      </c>
      <c r="I147" s="501">
        <v>-0.9</v>
      </c>
      <c r="J147" s="501">
        <v>-1.2</v>
      </c>
      <c r="K147" s="501">
        <v>-0.2</v>
      </c>
      <c r="L147" s="857"/>
      <c r="M147" s="501">
        <v>1.0009999999999999</v>
      </c>
      <c r="N147" s="501">
        <v>0.9</v>
      </c>
      <c r="O147" s="1145">
        <v>-0.7</v>
      </c>
      <c r="P147" s="1145">
        <v>-0.8</v>
      </c>
      <c r="Q147" s="1145">
        <v>-0.6</v>
      </c>
      <c r="R147" s="1145">
        <v>0.4</v>
      </c>
      <c r="S147" s="1145">
        <v>-0.8</v>
      </c>
      <c r="T147" s="1145">
        <v>-0.3</v>
      </c>
      <c r="U147" s="857"/>
      <c r="V147" s="648">
        <v>0.16</v>
      </c>
      <c r="W147" s="1145">
        <v>0.8</v>
      </c>
      <c r="X147" s="1145">
        <v>-0.9</v>
      </c>
      <c r="Y147" s="1145">
        <v>1.4</v>
      </c>
      <c r="Z147" s="1145">
        <v>-0.2</v>
      </c>
      <c r="AA147" s="1145">
        <v>-0.3</v>
      </c>
      <c r="AB147" s="1145">
        <v>0</v>
      </c>
      <c r="AC147" s="1145">
        <v>0</v>
      </c>
      <c r="AD147" s="214"/>
    </row>
    <row r="148" spans="1:30" ht="14.25">
      <c r="A148" s="498"/>
      <c r="B148" s="499" t="s">
        <v>141</v>
      </c>
      <c r="C148" s="500">
        <v>10</v>
      </c>
      <c r="D148" s="654">
        <v>0.11</v>
      </c>
      <c r="E148" s="501">
        <v>-2.2000000000000002</v>
      </c>
      <c r="F148" s="501">
        <v>-2.1</v>
      </c>
      <c r="G148" s="501">
        <v>0</v>
      </c>
      <c r="H148" s="501">
        <v>0.1</v>
      </c>
      <c r="I148" s="501">
        <v>0</v>
      </c>
      <c r="J148" s="501">
        <v>-0.7</v>
      </c>
      <c r="K148" s="501">
        <v>-0.5</v>
      </c>
      <c r="L148" s="857"/>
      <c r="M148" s="501">
        <v>-8.7999999999999995E-2</v>
      </c>
      <c r="N148" s="501">
        <v>0.5</v>
      </c>
      <c r="O148" s="1145">
        <v>-0.6</v>
      </c>
      <c r="P148" s="1145">
        <v>-0.9</v>
      </c>
      <c r="Q148" s="1145">
        <v>-1.7</v>
      </c>
      <c r="R148" s="1145">
        <v>-0.7</v>
      </c>
      <c r="S148" s="1145">
        <v>-1.7</v>
      </c>
      <c r="T148" s="1145">
        <v>-0.1</v>
      </c>
      <c r="U148" s="857"/>
      <c r="V148" s="648">
        <v>0.13</v>
      </c>
      <c r="W148" s="1145">
        <v>-0.5</v>
      </c>
      <c r="X148" s="1145">
        <v>-0.5</v>
      </c>
      <c r="Y148" s="1145">
        <v>0.24</v>
      </c>
      <c r="Z148" s="1145">
        <v>0.2</v>
      </c>
      <c r="AA148" s="1145">
        <v>-0.1</v>
      </c>
      <c r="AB148" s="1145">
        <v>0.5</v>
      </c>
      <c r="AC148" s="1145">
        <v>-0.3</v>
      </c>
      <c r="AD148" s="214"/>
    </row>
    <row r="149" spans="1:30" ht="14.25">
      <c r="A149" s="498"/>
      <c r="B149" s="499" t="s">
        <v>141</v>
      </c>
      <c r="C149" s="500">
        <v>11</v>
      </c>
      <c r="D149" s="654">
        <v>0.13</v>
      </c>
      <c r="E149" s="501">
        <v>-2.4</v>
      </c>
      <c r="F149" s="501">
        <v>-0.4</v>
      </c>
      <c r="G149" s="501">
        <v>1</v>
      </c>
      <c r="H149" s="501">
        <v>0.6</v>
      </c>
      <c r="I149" s="501">
        <v>-0.1</v>
      </c>
      <c r="J149" s="501">
        <v>1.8</v>
      </c>
      <c r="K149" s="501">
        <v>-0.4</v>
      </c>
      <c r="L149" s="857"/>
      <c r="M149" s="501">
        <v>-1.6160000000000001</v>
      </c>
      <c r="N149" s="501">
        <v>0.6</v>
      </c>
      <c r="O149" s="1145">
        <v>-0.4</v>
      </c>
      <c r="P149" s="1145">
        <v>-1</v>
      </c>
      <c r="Q149" s="1145">
        <v>0.9</v>
      </c>
      <c r="R149" s="1145">
        <v>1</v>
      </c>
      <c r="S149" s="1145">
        <v>1.3</v>
      </c>
      <c r="T149" s="1145">
        <v>0.1</v>
      </c>
      <c r="U149" s="857"/>
      <c r="V149" s="648">
        <v>0.15</v>
      </c>
      <c r="W149" s="1145">
        <v>-0.4</v>
      </c>
      <c r="X149" s="1145">
        <v>-0.7</v>
      </c>
      <c r="Y149" s="1145">
        <v>0.65</v>
      </c>
      <c r="Z149" s="1145">
        <v>-1</v>
      </c>
      <c r="AA149" s="1145">
        <v>-0.3</v>
      </c>
      <c r="AB149" s="1145">
        <v>0.6</v>
      </c>
      <c r="AC149" s="1145">
        <v>-0.5</v>
      </c>
      <c r="AD149" s="214"/>
    </row>
    <row r="150" spans="1:30" ht="14.25">
      <c r="A150" s="498"/>
      <c r="B150" s="499" t="s">
        <v>141</v>
      </c>
      <c r="C150" s="500">
        <v>12</v>
      </c>
      <c r="D150" s="656">
        <v>0.12</v>
      </c>
      <c r="E150" s="501">
        <v>1.5</v>
      </c>
      <c r="F150" s="501">
        <v>1.1000000000000001</v>
      </c>
      <c r="G150" s="501">
        <v>-0.5</v>
      </c>
      <c r="H150" s="501">
        <v>0.4</v>
      </c>
      <c r="I150" s="501">
        <v>-0.3</v>
      </c>
      <c r="J150" s="501">
        <v>-2.1</v>
      </c>
      <c r="K150" s="501">
        <v>-0.4</v>
      </c>
      <c r="L150" s="857"/>
      <c r="M150" s="501">
        <v>-1.099</v>
      </c>
      <c r="N150" s="501">
        <v>-0.9</v>
      </c>
      <c r="O150" s="1145">
        <v>0.6</v>
      </c>
      <c r="P150" s="1145">
        <v>2.1</v>
      </c>
      <c r="Q150" s="1145">
        <v>0.2</v>
      </c>
      <c r="R150" s="1145">
        <v>-0.2</v>
      </c>
      <c r="S150" s="1145">
        <v>0.1</v>
      </c>
      <c r="T150" s="1145">
        <v>0.8</v>
      </c>
      <c r="U150" s="857"/>
      <c r="V150" s="650">
        <v>0.12</v>
      </c>
      <c r="W150" s="1145">
        <v>-0.9</v>
      </c>
      <c r="X150" s="1145">
        <v>1.3</v>
      </c>
      <c r="Y150" s="1145">
        <v>0.3</v>
      </c>
      <c r="Z150" s="1145">
        <v>1</v>
      </c>
      <c r="AA150" s="1145">
        <v>0.3</v>
      </c>
      <c r="AB150" s="1145">
        <v>-0.9</v>
      </c>
      <c r="AC150" s="1145">
        <v>0.2</v>
      </c>
      <c r="AD150" s="214"/>
    </row>
    <row r="151" spans="1:30" ht="14.25">
      <c r="A151" s="502" t="s">
        <v>372</v>
      </c>
      <c r="B151" s="503">
        <v>2005</v>
      </c>
      <c r="C151" s="504">
        <v>1</v>
      </c>
      <c r="D151" s="653">
        <v>0.24</v>
      </c>
      <c r="E151" s="505">
        <v>0.6</v>
      </c>
      <c r="F151" s="505">
        <v>0.5</v>
      </c>
      <c r="G151" s="505">
        <v>-0.2</v>
      </c>
      <c r="H151" s="505">
        <v>-0.8</v>
      </c>
      <c r="I151" s="505">
        <v>-0.6</v>
      </c>
      <c r="J151" s="505">
        <v>3.1</v>
      </c>
      <c r="K151" s="505">
        <v>-2.8</v>
      </c>
      <c r="L151" s="856"/>
      <c r="M151" s="505">
        <v>0.495</v>
      </c>
      <c r="N151" s="505">
        <v>0</v>
      </c>
      <c r="O151" s="1146">
        <v>0.4</v>
      </c>
      <c r="P151" s="1146">
        <v>-1</v>
      </c>
      <c r="Q151" s="1146">
        <v>0.8</v>
      </c>
      <c r="R151" s="1146">
        <v>0</v>
      </c>
      <c r="S151" s="1146">
        <v>-0.6</v>
      </c>
      <c r="T151" s="1146">
        <v>-0.6</v>
      </c>
      <c r="U151" s="856"/>
      <c r="V151" s="647">
        <v>0.17</v>
      </c>
      <c r="W151" s="1146">
        <v>2.1</v>
      </c>
      <c r="X151" s="1146">
        <v>-0.6</v>
      </c>
      <c r="Y151" s="1146">
        <v>-0.03</v>
      </c>
      <c r="Z151" s="1146">
        <v>0.1</v>
      </c>
      <c r="AA151" s="1146">
        <v>-0.5</v>
      </c>
      <c r="AB151" s="1146">
        <v>-0.9</v>
      </c>
      <c r="AC151" s="1146">
        <v>2.1</v>
      </c>
      <c r="AD151" s="214"/>
    </row>
    <row r="152" spans="1:30" ht="14.25">
      <c r="A152" s="498"/>
      <c r="B152" s="499" t="s">
        <v>141</v>
      </c>
      <c r="C152" s="500">
        <v>2</v>
      </c>
      <c r="D152" s="654">
        <v>0.14000000000000001</v>
      </c>
      <c r="E152" s="501">
        <v>-0.2</v>
      </c>
      <c r="F152" s="501">
        <v>0.4</v>
      </c>
      <c r="G152" s="501">
        <v>-0.2</v>
      </c>
      <c r="H152" s="501">
        <v>-0.3</v>
      </c>
      <c r="I152" s="501">
        <v>0.7</v>
      </c>
      <c r="J152" s="501">
        <v>-1.7</v>
      </c>
      <c r="K152" s="501">
        <v>-2.8</v>
      </c>
      <c r="L152" s="857"/>
      <c r="M152" s="501">
        <v>-1.7999999999999999E-2</v>
      </c>
      <c r="N152" s="501">
        <v>-0.3</v>
      </c>
      <c r="O152" s="1145">
        <v>-0.9</v>
      </c>
      <c r="P152" s="1145">
        <v>0</v>
      </c>
      <c r="Q152" s="1145">
        <v>-0.1</v>
      </c>
      <c r="R152" s="1145">
        <v>0.1</v>
      </c>
      <c r="S152" s="1145">
        <v>0</v>
      </c>
      <c r="T152" s="1145">
        <v>0.6</v>
      </c>
      <c r="U152" s="857"/>
      <c r="V152" s="648">
        <v>0.15</v>
      </c>
      <c r="W152" s="1145">
        <v>0.1</v>
      </c>
      <c r="X152" s="1145">
        <v>1</v>
      </c>
      <c r="Y152" s="1145">
        <v>-1.2</v>
      </c>
      <c r="Z152" s="1145">
        <v>-0.6</v>
      </c>
      <c r="AA152" s="1145">
        <v>0.3</v>
      </c>
      <c r="AB152" s="1145">
        <v>-0.3</v>
      </c>
      <c r="AC152" s="1145">
        <v>-2.5</v>
      </c>
      <c r="AD152" s="214"/>
    </row>
    <row r="153" spans="1:30" ht="14.25">
      <c r="A153" s="498"/>
      <c r="B153" s="499" t="s">
        <v>141</v>
      </c>
      <c r="C153" s="500">
        <v>3</v>
      </c>
      <c r="D153" s="654">
        <v>-0.02</v>
      </c>
      <c r="E153" s="501">
        <v>-0.1</v>
      </c>
      <c r="F153" s="501">
        <v>-0.3</v>
      </c>
      <c r="G153" s="501">
        <v>-0.2</v>
      </c>
      <c r="H153" s="501">
        <v>-0.3</v>
      </c>
      <c r="I153" s="501">
        <v>1.1000000000000001</v>
      </c>
      <c r="J153" s="501">
        <v>1.3</v>
      </c>
      <c r="K153" s="501">
        <v>-2.6</v>
      </c>
      <c r="L153" s="857"/>
      <c r="M153" s="501">
        <v>-8.9999999999999993E-3</v>
      </c>
      <c r="N153" s="501">
        <v>0</v>
      </c>
      <c r="O153" s="1145">
        <v>0.7</v>
      </c>
      <c r="P153" s="1145">
        <v>-0.4</v>
      </c>
      <c r="Q153" s="1145">
        <v>-1.4</v>
      </c>
      <c r="R153" s="1145">
        <v>-0.7</v>
      </c>
      <c r="S153" s="1145">
        <v>-1.5</v>
      </c>
      <c r="T153" s="1145">
        <v>0.5</v>
      </c>
      <c r="U153" s="857"/>
      <c r="V153" s="648">
        <v>0.13</v>
      </c>
      <c r="W153" s="1145">
        <v>-0.6</v>
      </c>
      <c r="X153" s="1145">
        <v>-0.6</v>
      </c>
      <c r="Y153" s="1145">
        <v>0.77</v>
      </c>
      <c r="Z153" s="1145">
        <v>0.3</v>
      </c>
      <c r="AA153" s="1145">
        <v>0.5</v>
      </c>
      <c r="AB153" s="1145">
        <v>0.2</v>
      </c>
      <c r="AC153" s="1145">
        <v>0</v>
      </c>
      <c r="AD153" s="214"/>
    </row>
    <row r="154" spans="1:30" ht="14.25">
      <c r="A154" s="498"/>
      <c r="B154" s="499" t="s">
        <v>141</v>
      </c>
      <c r="C154" s="500">
        <v>4</v>
      </c>
      <c r="D154" s="654">
        <v>0.12</v>
      </c>
      <c r="E154" s="501">
        <v>-0.1</v>
      </c>
      <c r="F154" s="501">
        <v>0.7</v>
      </c>
      <c r="G154" s="501">
        <v>0.2</v>
      </c>
      <c r="H154" s="501">
        <v>0.5</v>
      </c>
      <c r="I154" s="501">
        <v>-0.8</v>
      </c>
      <c r="J154" s="501">
        <v>-3</v>
      </c>
      <c r="K154" s="501">
        <v>0.8</v>
      </c>
      <c r="L154" s="857"/>
      <c r="M154" s="501">
        <v>0</v>
      </c>
      <c r="N154" s="501">
        <v>-1.9</v>
      </c>
      <c r="O154" s="1145">
        <v>0.4</v>
      </c>
      <c r="P154" s="1145">
        <v>-0.1</v>
      </c>
      <c r="Q154" s="1145">
        <v>-0.2</v>
      </c>
      <c r="R154" s="1145">
        <v>0.3</v>
      </c>
      <c r="S154" s="1145">
        <v>-0.2</v>
      </c>
      <c r="T154" s="1145">
        <v>-0.1</v>
      </c>
      <c r="U154" s="857"/>
      <c r="V154" s="648">
        <v>0.12</v>
      </c>
      <c r="W154" s="1145">
        <v>0.7</v>
      </c>
      <c r="X154" s="1145">
        <v>-0.4</v>
      </c>
      <c r="Y154" s="1145">
        <v>0.28999999999999998</v>
      </c>
      <c r="Z154" s="1145">
        <v>0.6</v>
      </c>
      <c r="AA154" s="1145">
        <v>-0.8</v>
      </c>
      <c r="AB154" s="1145">
        <v>0.8</v>
      </c>
      <c r="AC154" s="1145">
        <v>-0.4</v>
      </c>
      <c r="AD154" s="214"/>
    </row>
    <row r="155" spans="1:30" ht="14.25">
      <c r="A155" s="498"/>
      <c r="B155" s="499" t="s">
        <v>141</v>
      </c>
      <c r="C155" s="500">
        <v>5</v>
      </c>
      <c r="D155" s="654">
        <v>0.02</v>
      </c>
      <c r="E155" s="501">
        <v>-0.1</v>
      </c>
      <c r="F155" s="501">
        <v>-0.6</v>
      </c>
      <c r="G155" s="501">
        <v>-0.4</v>
      </c>
      <c r="H155" s="501">
        <v>1.5</v>
      </c>
      <c r="I155" s="501">
        <v>0.4</v>
      </c>
      <c r="J155" s="501">
        <v>1.7</v>
      </c>
      <c r="K155" s="501">
        <v>0.7</v>
      </c>
      <c r="L155" s="857"/>
      <c r="M155" s="501">
        <v>2.5999999999999999E-2</v>
      </c>
      <c r="N155" s="501">
        <v>2.9</v>
      </c>
      <c r="O155" s="1145">
        <v>0.9</v>
      </c>
      <c r="P155" s="1145">
        <v>0.4</v>
      </c>
      <c r="Q155" s="1145">
        <v>0.4</v>
      </c>
      <c r="R155" s="1145">
        <v>0.2</v>
      </c>
      <c r="S155" s="1145">
        <v>0.4</v>
      </c>
      <c r="T155" s="1145">
        <v>-0.7</v>
      </c>
      <c r="U155" s="857"/>
      <c r="V155" s="648">
        <v>0.03</v>
      </c>
      <c r="W155" s="1145">
        <v>-0.4</v>
      </c>
      <c r="X155" s="1145">
        <v>0</v>
      </c>
      <c r="Y155" s="1145">
        <v>-0.35</v>
      </c>
      <c r="Z155" s="1145">
        <v>0</v>
      </c>
      <c r="AA155" s="1145">
        <v>0.5</v>
      </c>
      <c r="AB155" s="1145">
        <v>-0.9</v>
      </c>
      <c r="AC155" s="1145">
        <v>0.7</v>
      </c>
      <c r="AD155" s="214"/>
    </row>
    <row r="156" spans="1:30" ht="14.25">
      <c r="A156" s="498"/>
      <c r="B156" s="499" t="s">
        <v>141</v>
      </c>
      <c r="C156" s="500">
        <v>6</v>
      </c>
      <c r="D156" s="654">
        <v>7.0000000000000007E-2</v>
      </c>
      <c r="E156" s="501">
        <v>0.4</v>
      </c>
      <c r="F156" s="501">
        <v>0.6</v>
      </c>
      <c r="G156" s="501">
        <v>-1.3</v>
      </c>
      <c r="H156" s="501">
        <v>-1.7</v>
      </c>
      <c r="I156" s="501">
        <v>0.2</v>
      </c>
      <c r="J156" s="501">
        <v>-0.3</v>
      </c>
      <c r="K156" s="501">
        <v>0.8</v>
      </c>
      <c r="L156" s="857"/>
      <c r="M156" s="501">
        <v>3.5000000000000003E-2</v>
      </c>
      <c r="N156" s="501">
        <v>-1.7</v>
      </c>
      <c r="O156" s="1145">
        <v>-0.3</v>
      </c>
      <c r="P156" s="1145">
        <v>0.3</v>
      </c>
      <c r="Q156" s="1145">
        <v>-0.3</v>
      </c>
      <c r="R156" s="1145">
        <v>-0.9</v>
      </c>
      <c r="S156" s="1145">
        <v>-0.3</v>
      </c>
      <c r="T156" s="1145">
        <v>1.5</v>
      </c>
      <c r="U156" s="857"/>
      <c r="V156" s="648">
        <v>0.13</v>
      </c>
      <c r="W156" s="1145">
        <v>-0.2</v>
      </c>
      <c r="X156" s="1145">
        <v>1.4</v>
      </c>
      <c r="Y156" s="1145">
        <v>1.87</v>
      </c>
      <c r="Z156" s="1145">
        <v>-0.2</v>
      </c>
      <c r="AA156" s="1145">
        <v>-0.2</v>
      </c>
      <c r="AB156" s="1145">
        <v>-0.7</v>
      </c>
      <c r="AC156" s="1145">
        <v>-0.5</v>
      </c>
      <c r="AD156" s="214"/>
    </row>
    <row r="157" spans="1:30" ht="14.25">
      <c r="A157" s="498"/>
      <c r="B157" s="499" t="s">
        <v>141</v>
      </c>
      <c r="C157" s="500">
        <v>7</v>
      </c>
      <c r="D157" s="654">
        <v>-0.05</v>
      </c>
      <c r="E157" s="501">
        <v>0.1</v>
      </c>
      <c r="F157" s="501">
        <v>-0.3</v>
      </c>
      <c r="G157" s="501">
        <v>0.1</v>
      </c>
      <c r="H157" s="501">
        <v>0.3</v>
      </c>
      <c r="I157" s="501">
        <v>-0.3</v>
      </c>
      <c r="J157" s="501">
        <v>-1</v>
      </c>
      <c r="K157" s="501">
        <v>1</v>
      </c>
      <c r="L157" s="857"/>
      <c r="M157" s="501">
        <v>-0.47099999999999997</v>
      </c>
      <c r="N157" s="501">
        <v>0.3</v>
      </c>
      <c r="O157" s="1145">
        <v>0.3</v>
      </c>
      <c r="P157" s="1145">
        <v>-0.5</v>
      </c>
      <c r="Q157" s="1145">
        <v>0</v>
      </c>
      <c r="R157" s="1145">
        <v>-0.4</v>
      </c>
      <c r="S157" s="1145">
        <v>0</v>
      </c>
      <c r="T157" s="1145">
        <v>-0.6</v>
      </c>
      <c r="U157" s="857"/>
      <c r="V157" s="648">
        <v>0</v>
      </c>
      <c r="W157" s="1145">
        <v>0</v>
      </c>
      <c r="X157" s="1145">
        <v>-1.8</v>
      </c>
      <c r="Y157" s="1145">
        <v>-1.37</v>
      </c>
      <c r="Z157" s="1145">
        <v>-0.1</v>
      </c>
      <c r="AA157" s="1145">
        <v>0</v>
      </c>
      <c r="AB157" s="1145">
        <v>0.5</v>
      </c>
      <c r="AC157" s="1145">
        <v>0.2</v>
      </c>
      <c r="AD157" s="214"/>
    </row>
    <row r="158" spans="1:30" ht="14.25">
      <c r="A158" s="498"/>
      <c r="B158" s="499" t="s">
        <v>141</v>
      </c>
      <c r="C158" s="500">
        <v>8</v>
      </c>
      <c r="D158" s="654">
        <v>0.1</v>
      </c>
      <c r="E158" s="501">
        <v>1.8</v>
      </c>
      <c r="F158" s="501">
        <v>0.1</v>
      </c>
      <c r="G158" s="501">
        <v>-1.1000000000000001</v>
      </c>
      <c r="H158" s="501">
        <v>-0.3</v>
      </c>
      <c r="I158" s="501">
        <v>-0.3</v>
      </c>
      <c r="J158" s="501">
        <v>2</v>
      </c>
      <c r="K158" s="501">
        <v>1</v>
      </c>
      <c r="L158" s="857"/>
      <c r="M158" s="501">
        <v>1.603</v>
      </c>
      <c r="N158" s="501">
        <v>0</v>
      </c>
      <c r="O158" s="1145">
        <v>0.3</v>
      </c>
      <c r="P158" s="1145">
        <v>0.4</v>
      </c>
      <c r="Q158" s="1145">
        <v>0.7</v>
      </c>
      <c r="R158" s="1145">
        <v>1.1000000000000001</v>
      </c>
      <c r="S158" s="1145">
        <v>0.9</v>
      </c>
      <c r="T158" s="1145">
        <v>0.2</v>
      </c>
      <c r="U158" s="857"/>
      <c r="V158" s="648">
        <v>0.05</v>
      </c>
      <c r="W158" s="1145">
        <v>0.7</v>
      </c>
      <c r="X158" s="1145">
        <v>0.7</v>
      </c>
      <c r="Y158" s="1145">
        <v>0.95</v>
      </c>
      <c r="Z158" s="1145">
        <v>0.2</v>
      </c>
      <c r="AA158" s="1145">
        <v>-0.3</v>
      </c>
      <c r="AB158" s="1145">
        <v>0</v>
      </c>
      <c r="AC158" s="1145">
        <v>-0.4</v>
      </c>
      <c r="AD158" s="214"/>
    </row>
    <row r="159" spans="1:30" ht="14.25">
      <c r="A159" s="498"/>
      <c r="B159" s="499" t="s">
        <v>141</v>
      </c>
      <c r="C159" s="500">
        <v>9</v>
      </c>
      <c r="D159" s="654">
        <v>-0.03</v>
      </c>
      <c r="E159" s="501">
        <v>-0.8</v>
      </c>
      <c r="F159" s="501">
        <v>0.3</v>
      </c>
      <c r="G159" s="501">
        <v>0.7</v>
      </c>
      <c r="H159" s="501">
        <v>0.6</v>
      </c>
      <c r="I159" s="501">
        <v>1.9</v>
      </c>
      <c r="J159" s="501">
        <v>-0.4</v>
      </c>
      <c r="K159" s="501">
        <v>1</v>
      </c>
      <c r="L159" s="857"/>
      <c r="M159" s="501">
        <v>1.071</v>
      </c>
      <c r="N159" s="501">
        <v>0.9</v>
      </c>
      <c r="O159" s="1145">
        <v>0.2</v>
      </c>
      <c r="P159" s="1145">
        <v>-0.5</v>
      </c>
      <c r="Q159" s="1145">
        <v>-1.5</v>
      </c>
      <c r="R159" s="1145">
        <v>-0.2</v>
      </c>
      <c r="S159" s="1145">
        <v>-1.5</v>
      </c>
      <c r="T159" s="1145">
        <v>-0.2</v>
      </c>
      <c r="U159" s="857"/>
      <c r="V159" s="648">
        <v>0.04</v>
      </c>
      <c r="W159" s="1145">
        <v>-0.7</v>
      </c>
      <c r="X159" s="1145">
        <v>-0.7</v>
      </c>
      <c r="Y159" s="1145">
        <v>0.86</v>
      </c>
      <c r="Z159" s="1145">
        <v>-0.1</v>
      </c>
      <c r="AA159" s="1145">
        <v>0.6</v>
      </c>
      <c r="AB159" s="1145">
        <v>0.2</v>
      </c>
      <c r="AC159" s="1145">
        <v>-0.2</v>
      </c>
      <c r="AD159" s="214"/>
    </row>
    <row r="160" spans="1:30" ht="14.25">
      <c r="A160" s="498"/>
      <c r="B160" s="499" t="s">
        <v>141</v>
      </c>
      <c r="C160" s="500">
        <v>10</v>
      </c>
      <c r="D160" s="654">
        <v>-0.01</v>
      </c>
      <c r="E160" s="501">
        <v>0.1</v>
      </c>
      <c r="F160" s="501">
        <v>0.3</v>
      </c>
      <c r="G160" s="501">
        <v>0.6</v>
      </c>
      <c r="H160" s="501">
        <v>-0.9</v>
      </c>
      <c r="I160" s="501">
        <v>-1</v>
      </c>
      <c r="J160" s="501">
        <v>0</v>
      </c>
      <c r="K160" s="501">
        <v>1.4</v>
      </c>
      <c r="L160" s="857"/>
      <c r="M160" s="501">
        <v>0.54</v>
      </c>
      <c r="N160" s="501">
        <v>0.2</v>
      </c>
      <c r="O160" s="1145">
        <v>0.2</v>
      </c>
      <c r="P160" s="1145">
        <v>1.3</v>
      </c>
      <c r="Q160" s="1145">
        <v>1.8</v>
      </c>
      <c r="R160" s="1145">
        <v>0.4</v>
      </c>
      <c r="S160" s="1145">
        <v>2</v>
      </c>
      <c r="T160" s="1145">
        <v>-0.6</v>
      </c>
      <c r="U160" s="857"/>
      <c r="V160" s="648">
        <v>0</v>
      </c>
      <c r="W160" s="1145">
        <v>0.5</v>
      </c>
      <c r="X160" s="1145">
        <v>0.4</v>
      </c>
      <c r="Y160" s="1145">
        <v>-1.87</v>
      </c>
      <c r="Z160" s="1145">
        <v>-0.3</v>
      </c>
      <c r="AA160" s="1145">
        <v>-0.1</v>
      </c>
      <c r="AB160" s="1145">
        <v>0.1</v>
      </c>
      <c r="AC160" s="1145">
        <v>0.3</v>
      </c>
      <c r="AD160" s="214"/>
    </row>
    <row r="161" spans="1:30" ht="14.25">
      <c r="A161" s="498"/>
      <c r="B161" s="499" t="s">
        <v>141</v>
      </c>
      <c r="C161" s="500">
        <v>11</v>
      </c>
      <c r="D161" s="654">
        <v>7.0000000000000007E-2</v>
      </c>
      <c r="E161" s="501">
        <v>0.8</v>
      </c>
      <c r="F161" s="501">
        <v>0.3</v>
      </c>
      <c r="G161" s="501">
        <v>1.5</v>
      </c>
      <c r="H161" s="501">
        <v>-0.2</v>
      </c>
      <c r="I161" s="501">
        <v>0.1</v>
      </c>
      <c r="J161" s="501">
        <v>0</v>
      </c>
      <c r="K161" s="501">
        <v>1.4</v>
      </c>
      <c r="L161" s="857"/>
      <c r="M161" s="501">
        <v>1.101</v>
      </c>
      <c r="N161" s="501">
        <v>0.4</v>
      </c>
      <c r="O161" s="1145">
        <v>-0.4</v>
      </c>
      <c r="P161" s="1145">
        <v>-0.4</v>
      </c>
      <c r="Q161" s="1145">
        <v>0.8</v>
      </c>
      <c r="R161" s="1145">
        <v>0.7</v>
      </c>
      <c r="S161" s="1145">
        <v>0.6</v>
      </c>
      <c r="T161" s="1145">
        <v>1.8</v>
      </c>
      <c r="U161" s="857"/>
      <c r="V161" s="648">
        <v>0.12</v>
      </c>
      <c r="W161" s="1145">
        <v>-0.5</v>
      </c>
      <c r="X161" s="1145">
        <v>1.2</v>
      </c>
      <c r="Y161" s="1145">
        <v>-0.87</v>
      </c>
      <c r="Z161" s="1145">
        <v>1.6</v>
      </c>
      <c r="AA161" s="1145">
        <v>-0.5</v>
      </c>
      <c r="AB161" s="1145">
        <v>-0.5</v>
      </c>
      <c r="AC161" s="1145">
        <v>0.5</v>
      </c>
      <c r="AD161" s="214"/>
    </row>
    <row r="162" spans="1:30" ht="14.25">
      <c r="A162" s="506"/>
      <c r="B162" s="507" t="s">
        <v>141</v>
      </c>
      <c r="C162" s="508">
        <v>12</v>
      </c>
      <c r="D162" s="655">
        <v>0.04</v>
      </c>
      <c r="E162" s="509">
        <v>1.3</v>
      </c>
      <c r="F162" s="509">
        <v>-0.5</v>
      </c>
      <c r="G162" s="509">
        <v>2.8</v>
      </c>
      <c r="H162" s="509">
        <v>-1.6</v>
      </c>
      <c r="I162" s="509">
        <v>-2</v>
      </c>
      <c r="J162" s="509">
        <v>-0.4</v>
      </c>
      <c r="K162" s="509">
        <v>1.4</v>
      </c>
      <c r="L162" s="858"/>
      <c r="M162" s="509">
        <v>2.6869999999999998</v>
      </c>
      <c r="N162" s="509">
        <v>0.4</v>
      </c>
      <c r="O162" s="1147">
        <v>-0.6</v>
      </c>
      <c r="P162" s="1147">
        <v>-0.6</v>
      </c>
      <c r="Q162" s="1147">
        <v>-0.5</v>
      </c>
      <c r="R162" s="1147">
        <v>-0.4</v>
      </c>
      <c r="S162" s="1147">
        <v>-0.7</v>
      </c>
      <c r="T162" s="1147">
        <v>-0.7</v>
      </c>
      <c r="U162" s="858"/>
      <c r="V162" s="649">
        <v>0.09</v>
      </c>
      <c r="W162" s="1147">
        <v>-0.3</v>
      </c>
      <c r="X162" s="1147">
        <v>-1.5</v>
      </c>
      <c r="Y162" s="1147">
        <v>1.2</v>
      </c>
      <c r="Z162" s="1147">
        <v>-0.6</v>
      </c>
      <c r="AA162" s="1147">
        <v>0.4</v>
      </c>
      <c r="AB162" s="1147">
        <v>0.8</v>
      </c>
      <c r="AC162" s="1147">
        <v>-0.2</v>
      </c>
      <c r="AD162" s="214"/>
    </row>
    <row r="163" spans="1:30" ht="14.25">
      <c r="A163" s="498" t="s">
        <v>373</v>
      </c>
      <c r="B163" s="499">
        <v>2006</v>
      </c>
      <c r="C163" s="500">
        <v>1</v>
      </c>
      <c r="D163" s="656">
        <v>0.05</v>
      </c>
      <c r="E163" s="501">
        <v>0.2</v>
      </c>
      <c r="F163" s="501">
        <v>-0.3</v>
      </c>
      <c r="G163" s="501">
        <v>-0.9</v>
      </c>
      <c r="H163" s="501">
        <v>2.7</v>
      </c>
      <c r="I163" s="501">
        <v>2.8</v>
      </c>
      <c r="J163" s="501">
        <v>1.2</v>
      </c>
      <c r="K163" s="501">
        <v>-0.2</v>
      </c>
      <c r="L163" s="857"/>
      <c r="M163" s="501">
        <v>1.6319999999999999</v>
      </c>
      <c r="N163" s="501">
        <v>0.4</v>
      </c>
      <c r="O163" s="1145">
        <v>0.6</v>
      </c>
      <c r="P163" s="1145">
        <v>0.2</v>
      </c>
      <c r="Q163" s="1145">
        <v>0.4</v>
      </c>
      <c r="R163" s="1145">
        <v>-0.7</v>
      </c>
      <c r="S163" s="1145">
        <v>0</v>
      </c>
      <c r="T163" s="1145">
        <v>0.8</v>
      </c>
      <c r="U163" s="857"/>
      <c r="V163" s="650">
        <v>0.1</v>
      </c>
      <c r="W163" s="1145">
        <v>0.9</v>
      </c>
      <c r="X163" s="1145">
        <v>0.5</v>
      </c>
      <c r="Y163" s="1145">
        <v>-0.4</v>
      </c>
      <c r="Z163" s="1145">
        <v>-0.2</v>
      </c>
      <c r="AA163" s="1145">
        <v>0.3</v>
      </c>
      <c r="AB163" s="1145">
        <v>1</v>
      </c>
      <c r="AC163" s="1145">
        <v>-0.2</v>
      </c>
      <c r="AD163" s="214"/>
    </row>
    <row r="164" spans="1:30" ht="14.25">
      <c r="A164" s="498"/>
      <c r="B164" s="499" t="s">
        <v>141</v>
      </c>
      <c r="C164" s="500">
        <v>2</v>
      </c>
      <c r="D164" s="654">
        <v>0.12</v>
      </c>
      <c r="E164" s="501">
        <v>-1.5</v>
      </c>
      <c r="F164" s="501">
        <v>-0.7</v>
      </c>
      <c r="G164" s="501">
        <v>0.3</v>
      </c>
      <c r="H164" s="501">
        <v>-0.3</v>
      </c>
      <c r="I164" s="501">
        <v>-1.9</v>
      </c>
      <c r="J164" s="501">
        <v>-0.4</v>
      </c>
      <c r="K164" s="501">
        <v>-0.2</v>
      </c>
      <c r="L164" s="857"/>
      <c r="M164" s="501">
        <v>0.437</v>
      </c>
      <c r="N164" s="501">
        <v>0</v>
      </c>
      <c r="O164" s="1145">
        <v>-0.2</v>
      </c>
      <c r="P164" s="1145">
        <v>-0.4</v>
      </c>
      <c r="Q164" s="1145">
        <v>0.1</v>
      </c>
      <c r="R164" s="1145">
        <v>0.8</v>
      </c>
      <c r="S164" s="1145">
        <v>-0.1</v>
      </c>
      <c r="T164" s="1145">
        <v>0.7</v>
      </c>
      <c r="U164" s="857"/>
      <c r="V164" s="648">
        <v>0.21</v>
      </c>
      <c r="W164" s="1145">
        <v>1</v>
      </c>
      <c r="X164" s="1145">
        <v>-0.9</v>
      </c>
      <c r="Y164" s="1145">
        <v>2.44</v>
      </c>
      <c r="Z164" s="1145">
        <v>0.2</v>
      </c>
      <c r="AA164" s="1145">
        <v>-1.1000000000000001</v>
      </c>
      <c r="AB164" s="1145">
        <v>0.3</v>
      </c>
      <c r="AC164" s="1145">
        <v>-0.3</v>
      </c>
      <c r="AD164" s="214"/>
    </row>
    <row r="165" spans="1:30" ht="14.25">
      <c r="A165" s="498"/>
      <c r="B165" s="499" t="s">
        <v>141</v>
      </c>
      <c r="C165" s="500">
        <v>3</v>
      </c>
      <c r="D165" s="654">
        <v>0.05</v>
      </c>
      <c r="E165" s="501">
        <v>-0.4</v>
      </c>
      <c r="F165" s="501">
        <v>0.6</v>
      </c>
      <c r="G165" s="501">
        <v>2.2000000000000002</v>
      </c>
      <c r="H165" s="501">
        <v>1</v>
      </c>
      <c r="I165" s="501">
        <v>-0.5</v>
      </c>
      <c r="J165" s="501">
        <v>-1.6</v>
      </c>
      <c r="K165" s="501">
        <v>-0.2</v>
      </c>
      <c r="L165" s="857"/>
      <c r="M165" s="501">
        <v>-0.187</v>
      </c>
      <c r="N165" s="501">
        <v>0.7</v>
      </c>
      <c r="O165" s="1145">
        <v>0</v>
      </c>
      <c r="P165" s="1145">
        <v>0.4</v>
      </c>
      <c r="Q165" s="1145">
        <v>0.4</v>
      </c>
      <c r="R165" s="1145">
        <v>0</v>
      </c>
      <c r="S165" s="1145">
        <v>0.2</v>
      </c>
      <c r="T165" s="1145">
        <v>-0.7</v>
      </c>
      <c r="U165" s="857"/>
      <c r="V165" s="648">
        <v>0.27</v>
      </c>
      <c r="W165" s="1145">
        <v>-0.2</v>
      </c>
      <c r="X165" s="1145">
        <v>0.6</v>
      </c>
      <c r="Y165" s="1145">
        <v>-0.27</v>
      </c>
      <c r="Z165" s="1145">
        <v>0.8</v>
      </c>
      <c r="AA165" s="1145">
        <v>0.3</v>
      </c>
      <c r="AB165" s="1145">
        <v>-0.1</v>
      </c>
      <c r="AC165" s="1145">
        <v>0.5</v>
      </c>
      <c r="AD165" s="214"/>
    </row>
    <row r="166" spans="1:30" ht="14.25">
      <c r="A166" s="498"/>
      <c r="B166" s="499" t="s">
        <v>141</v>
      </c>
      <c r="C166" s="500">
        <v>4</v>
      </c>
      <c r="D166" s="654">
        <v>0.17</v>
      </c>
      <c r="E166" s="501">
        <v>1.7</v>
      </c>
      <c r="F166" s="501">
        <v>0</v>
      </c>
      <c r="G166" s="501">
        <v>-1.3</v>
      </c>
      <c r="H166" s="501">
        <v>-0.7</v>
      </c>
      <c r="I166" s="501">
        <v>1</v>
      </c>
      <c r="J166" s="501">
        <v>0.4</v>
      </c>
      <c r="K166" s="501">
        <v>0.2</v>
      </c>
      <c r="L166" s="857"/>
      <c r="M166" s="501">
        <v>1.0129999999999999</v>
      </c>
      <c r="N166" s="501">
        <v>0.1</v>
      </c>
      <c r="O166" s="1145">
        <v>-0.4</v>
      </c>
      <c r="P166" s="1145">
        <v>1.1000000000000001</v>
      </c>
      <c r="Q166" s="1145">
        <v>0.6</v>
      </c>
      <c r="R166" s="1145">
        <v>1.3</v>
      </c>
      <c r="S166" s="1145">
        <v>0.7</v>
      </c>
      <c r="T166" s="1145">
        <v>0.7</v>
      </c>
      <c r="U166" s="857"/>
      <c r="V166" s="648">
        <v>0.19</v>
      </c>
      <c r="W166" s="1145">
        <v>-0.4</v>
      </c>
      <c r="X166" s="1145">
        <v>0.3</v>
      </c>
      <c r="Y166" s="1145">
        <v>0.16</v>
      </c>
      <c r="Z166" s="1145">
        <v>-0.7</v>
      </c>
      <c r="AA166" s="1145">
        <v>1</v>
      </c>
      <c r="AB166" s="1145">
        <v>-0.6</v>
      </c>
      <c r="AC166" s="1145">
        <v>0.2</v>
      </c>
      <c r="AD166" s="214"/>
    </row>
    <row r="167" spans="1:30" ht="14.25">
      <c r="A167" s="498"/>
      <c r="B167" s="499" t="s">
        <v>141</v>
      </c>
      <c r="C167" s="500">
        <v>5</v>
      </c>
      <c r="D167" s="654">
        <v>0.1</v>
      </c>
      <c r="E167" s="501">
        <v>0.1</v>
      </c>
      <c r="F167" s="501">
        <v>1.2</v>
      </c>
      <c r="G167" s="501">
        <v>0</v>
      </c>
      <c r="H167" s="501">
        <v>-0.4</v>
      </c>
      <c r="I167" s="501">
        <v>-0.3</v>
      </c>
      <c r="J167" s="501">
        <v>0</v>
      </c>
      <c r="K167" s="501">
        <v>0.2</v>
      </c>
      <c r="L167" s="857"/>
      <c r="M167" s="501">
        <v>0.374</v>
      </c>
      <c r="N167" s="501">
        <v>0.7</v>
      </c>
      <c r="O167" s="1145">
        <v>0.2</v>
      </c>
      <c r="P167" s="1145">
        <v>-0.3</v>
      </c>
      <c r="Q167" s="1145">
        <v>-0.7</v>
      </c>
      <c r="R167" s="1145">
        <v>-0.4</v>
      </c>
      <c r="S167" s="1145">
        <v>-0.7</v>
      </c>
      <c r="T167" s="1145">
        <v>-1.4</v>
      </c>
      <c r="U167" s="857"/>
      <c r="V167" s="648">
        <v>0.2</v>
      </c>
      <c r="W167" s="1145">
        <v>0.4</v>
      </c>
      <c r="X167" s="1145">
        <v>0.3</v>
      </c>
      <c r="Y167" s="1145">
        <v>0.14000000000000001</v>
      </c>
      <c r="Z167" s="1145">
        <v>0.5</v>
      </c>
      <c r="AA167" s="1145">
        <v>-0.8</v>
      </c>
      <c r="AB167" s="1145">
        <v>0.3</v>
      </c>
      <c r="AC167" s="1145">
        <v>1.2</v>
      </c>
      <c r="AD167" s="214"/>
    </row>
    <row r="168" spans="1:30" ht="14.25">
      <c r="A168" s="498"/>
      <c r="B168" s="499" t="s">
        <v>141</v>
      </c>
      <c r="C168" s="500">
        <v>6</v>
      </c>
      <c r="D168" s="654">
        <v>0.19</v>
      </c>
      <c r="E168" s="501">
        <v>-0.7</v>
      </c>
      <c r="F168" s="501">
        <v>-1.2</v>
      </c>
      <c r="G168" s="501">
        <v>1.2</v>
      </c>
      <c r="H168" s="501">
        <v>0.4</v>
      </c>
      <c r="I168" s="501">
        <v>1.7</v>
      </c>
      <c r="J168" s="501">
        <v>0</v>
      </c>
      <c r="K168" s="501">
        <v>0.2</v>
      </c>
      <c r="L168" s="857"/>
      <c r="M168" s="501">
        <v>0.94399999999999995</v>
      </c>
      <c r="N168" s="501">
        <v>-0.9</v>
      </c>
      <c r="O168" s="1145">
        <v>0</v>
      </c>
      <c r="P168" s="1145">
        <v>0</v>
      </c>
      <c r="Q168" s="1145">
        <v>0.7</v>
      </c>
      <c r="R168" s="1145">
        <v>0.8</v>
      </c>
      <c r="S168" s="1145">
        <v>1</v>
      </c>
      <c r="T168" s="1145">
        <v>0.9</v>
      </c>
      <c r="U168" s="857"/>
      <c r="V168" s="648">
        <v>0.27</v>
      </c>
      <c r="W168" s="1145">
        <v>-0.9</v>
      </c>
      <c r="X168" s="1145">
        <v>0.1</v>
      </c>
      <c r="Y168" s="1145">
        <v>-1.55</v>
      </c>
      <c r="Z168" s="1145">
        <v>-0.8</v>
      </c>
      <c r="AA168" s="1145">
        <v>-0.2</v>
      </c>
      <c r="AB168" s="1145">
        <v>0.3</v>
      </c>
      <c r="AC168" s="1145">
        <v>-0.7</v>
      </c>
      <c r="AD168" s="214"/>
    </row>
    <row r="169" spans="1:30" ht="14.25">
      <c r="A169" s="498"/>
      <c r="B169" s="499" t="s">
        <v>141</v>
      </c>
      <c r="C169" s="500">
        <v>7</v>
      </c>
      <c r="D169" s="654">
        <v>0.48</v>
      </c>
      <c r="E169" s="501">
        <v>-0.5</v>
      </c>
      <c r="F169" s="501">
        <v>1.2</v>
      </c>
      <c r="G169" s="501">
        <v>0.3</v>
      </c>
      <c r="H169" s="501">
        <v>0.1</v>
      </c>
      <c r="I169" s="501">
        <v>-0.4</v>
      </c>
      <c r="J169" s="501">
        <v>-0.8</v>
      </c>
      <c r="K169" s="501">
        <v>0.2</v>
      </c>
      <c r="L169" s="857"/>
      <c r="M169" s="501">
        <v>0.27800000000000002</v>
      </c>
      <c r="N169" s="501">
        <v>0.6</v>
      </c>
      <c r="O169" s="1145">
        <v>0.6</v>
      </c>
      <c r="P169" s="1145">
        <v>0.1</v>
      </c>
      <c r="Q169" s="1145">
        <v>0</v>
      </c>
      <c r="R169" s="1145">
        <v>-0.1</v>
      </c>
      <c r="S169" s="1145">
        <v>0.2</v>
      </c>
      <c r="T169" s="1145">
        <v>0.6</v>
      </c>
      <c r="U169" s="857"/>
      <c r="V169" s="648">
        <v>0.44</v>
      </c>
      <c r="W169" s="1145">
        <v>-0.2</v>
      </c>
      <c r="X169" s="1145">
        <v>-0.3</v>
      </c>
      <c r="Y169" s="1145">
        <v>0.94</v>
      </c>
      <c r="Z169" s="1145">
        <v>0.6</v>
      </c>
      <c r="AA169" s="1145">
        <v>0.6</v>
      </c>
      <c r="AB169" s="1145">
        <v>-1</v>
      </c>
      <c r="AC169" s="1145">
        <v>-0.3</v>
      </c>
      <c r="AD169" s="214"/>
    </row>
    <row r="170" spans="1:30" ht="14.25">
      <c r="A170" s="498"/>
      <c r="B170" s="499" t="s">
        <v>141</v>
      </c>
      <c r="C170" s="500">
        <v>8</v>
      </c>
      <c r="D170" s="654">
        <v>0.53</v>
      </c>
      <c r="E170" s="501">
        <v>1</v>
      </c>
      <c r="F170" s="501">
        <v>0.8</v>
      </c>
      <c r="G170" s="501">
        <v>-0.8</v>
      </c>
      <c r="H170" s="501">
        <v>-1.3</v>
      </c>
      <c r="I170" s="501">
        <v>-0.5</v>
      </c>
      <c r="J170" s="501">
        <v>-0.4</v>
      </c>
      <c r="K170" s="501">
        <v>0.2</v>
      </c>
      <c r="L170" s="857"/>
      <c r="M170" s="501">
        <v>-1.6339999999999999</v>
      </c>
      <c r="N170" s="501">
        <v>-0.7</v>
      </c>
      <c r="O170" s="1145">
        <v>-0.8</v>
      </c>
      <c r="P170" s="1145">
        <v>0.5</v>
      </c>
      <c r="Q170" s="1145">
        <v>-0.1</v>
      </c>
      <c r="R170" s="1145">
        <v>0.4</v>
      </c>
      <c r="S170" s="1145">
        <v>-0.3</v>
      </c>
      <c r="T170" s="1145">
        <v>0.5</v>
      </c>
      <c r="U170" s="857"/>
      <c r="V170" s="648">
        <v>0.44</v>
      </c>
      <c r="W170" s="1145">
        <v>-0.1</v>
      </c>
      <c r="X170" s="1145">
        <v>0.3</v>
      </c>
      <c r="Y170" s="1145">
        <v>0.04</v>
      </c>
      <c r="Z170" s="1145">
        <v>0.2</v>
      </c>
      <c r="AA170" s="1145">
        <v>0.6</v>
      </c>
      <c r="AB170" s="1145">
        <v>0.6</v>
      </c>
      <c r="AC170" s="1145">
        <v>-0.4</v>
      </c>
      <c r="AD170" s="214"/>
    </row>
    <row r="171" spans="1:30" ht="14.25">
      <c r="A171" s="498"/>
      <c r="B171" s="499" t="s">
        <v>141</v>
      </c>
      <c r="C171" s="500">
        <v>9</v>
      </c>
      <c r="D171" s="654">
        <v>0.2</v>
      </c>
      <c r="E171" s="501">
        <v>-0.2</v>
      </c>
      <c r="F171" s="501">
        <v>-0.3</v>
      </c>
      <c r="G171" s="501">
        <v>-1</v>
      </c>
      <c r="H171" s="501">
        <v>1.1000000000000001</v>
      </c>
      <c r="I171" s="501">
        <v>0.8</v>
      </c>
      <c r="J171" s="501">
        <v>-1.2</v>
      </c>
      <c r="K171" s="501">
        <v>0.1</v>
      </c>
      <c r="L171" s="857"/>
      <c r="M171" s="501">
        <v>0.85099999999999998</v>
      </c>
      <c r="N171" s="501">
        <v>1.3</v>
      </c>
      <c r="O171" s="1145">
        <v>-0.9</v>
      </c>
      <c r="P171" s="1145">
        <v>0.4</v>
      </c>
      <c r="Q171" s="1145">
        <v>-0.6</v>
      </c>
      <c r="R171" s="1145">
        <v>-0.3</v>
      </c>
      <c r="S171" s="1145">
        <v>-0.4</v>
      </c>
      <c r="T171" s="1145">
        <v>-0.6</v>
      </c>
      <c r="U171" s="857"/>
      <c r="V171" s="648">
        <v>0.28999999999999998</v>
      </c>
      <c r="W171" s="1145">
        <v>1.2</v>
      </c>
      <c r="X171" s="1145">
        <v>0</v>
      </c>
      <c r="Y171" s="1145">
        <v>-0.18</v>
      </c>
      <c r="Z171" s="1145">
        <v>-1</v>
      </c>
      <c r="AA171" s="1145">
        <v>1.3</v>
      </c>
      <c r="AB171" s="1145">
        <v>-0.6</v>
      </c>
      <c r="AC171" s="1145">
        <v>0.5</v>
      </c>
      <c r="AD171" s="214"/>
    </row>
    <row r="172" spans="1:30" ht="14.25">
      <c r="A172" s="498"/>
      <c r="B172" s="499" t="s">
        <v>141</v>
      </c>
      <c r="C172" s="500">
        <v>10</v>
      </c>
      <c r="D172" s="654">
        <v>0.6</v>
      </c>
      <c r="E172" s="501">
        <v>-0.3</v>
      </c>
      <c r="F172" s="501">
        <v>0.1</v>
      </c>
      <c r="G172" s="501">
        <v>1.5</v>
      </c>
      <c r="H172" s="501">
        <v>-1.2</v>
      </c>
      <c r="I172" s="501">
        <v>0.4</v>
      </c>
      <c r="J172" s="501">
        <v>2.4</v>
      </c>
      <c r="K172" s="501">
        <v>0.1</v>
      </c>
      <c r="L172" s="857"/>
      <c r="M172" s="501">
        <v>0.82599999999999996</v>
      </c>
      <c r="N172" s="501">
        <v>-0.1</v>
      </c>
      <c r="O172" s="1145">
        <v>0.8</v>
      </c>
      <c r="P172" s="1145">
        <v>-0.1</v>
      </c>
      <c r="Q172" s="1145">
        <v>1.2</v>
      </c>
      <c r="R172" s="1145">
        <v>1</v>
      </c>
      <c r="S172" s="1145">
        <v>0.9</v>
      </c>
      <c r="T172" s="1145">
        <v>1.1000000000000001</v>
      </c>
      <c r="U172" s="857"/>
      <c r="V172" s="648">
        <v>0.53</v>
      </c>
      <c r="W172" s="1145">
        <v>0.3</v>
      </c>
      <c r="X172" s="1145">
        <v>0.2</v>
      </c>
      <c r="Y172" s="1145">
        <v>0</v>
      </c>
      <c r="Z172" s="1145">
        <v>-0.2</v>
      </c>
      <c r="AA172" s="1145">
        <v>-2.2999999999999998</v>
      </c>
      <c r="AB172" s="1145">
        <v>-0.6</v>
      </c>
      <c r="AC172" s="1145">
        <v>0.1</v>
      </c>
      <c r="AD172" s="214"/>
    </row>
    <row r="173" spans="1:30" ht="14.25">
      <c r="A173" s="498"/>
      <c r="B173" s="499" t="s">
        <v>141</v>
      </c>
      <c r="C173" s="500">
        <v>11</v>
      </c>
      <c r="D173" s="654">
        <v>0.65</v>
      </c>
      <c r="E173" s="501">
        <v>0.9</v>
      </c>
      <c r="F173" s="501">
        <v>1.7</v>
      </c>
      <c r="G173" s="501">
        <v>1.6</v>
      </c>
      <c r="H173" s="501">
        <v>0.5</v>
      </c>
      <c r="I173" s="501">
        <v>-2.8</v>
      </c>
      <c r="J173" s="501">
        <v>2.8</v>
      </c>
      <c r="K173" s="501">
        <v>0.1</v>
      </c>
      <c r="L173" s="857"/>
      <c r="M173" s="501">
        <v>-0.48299999999999998</v>
      </c>
      <c r="N173" s="501">
        <v>0.3</v>
      </c>
      <c r="O173" s="1145">
        <v>1.3</v>
      </c>
      <c r="P173" s="1145">
        <v>1.3</v>
      </c>
      <c r="Q173" s="1145">
        <v>1.5</v>
      </c>
      <c r="R173" s="1145">
        <v>-0.5</v>
      </c>
      <c r="S173" s="1145">
        <v>1.5</v>
      </c>
      <c r="T173" s="1145">
        <v>-0.6</v>
      </c>
      <c r="U173" s="857"/>
      <c r="V173" s="648">
        <v>0.55000000000000004</v>
      </c>
      <c r="W173" s="1145">
        <v>1.3</v>
      </c>
      <c r="X173" s="1145">
        <v>-0.1</v>
      </c>
      <c r="Y173" s="1145">
        <v>0.52</v>
      </c>
      <c r="Z173" s="1145">
        <v>-0.1</v>
      </c>
      <c r="AA173" s="1145">
        <v>0.3</v>
      </c>
      <c r="AB173" s="1145">
        <v>-0.4</v>
      </c>
      <c r="AC173" s="1145">
        <v>0</v>
      </c>
      <c r="AD173" s="214"/>
    </row>
    <row r="174" spans="1:30" ht="14.25">
      <c r="A174" s="498"/>
      <c r="B174" s="499" t="s">
        <v>141</v>
      </c>
      <c r="C174" s="500">
        <v>12</v>
      </c>
      <c r="D174" s="656">
        <v>0.81</v>
      </c>
      <c r="E174" s="501">
        <v>0</v>
      </c>
      <c r="F174" s="501">
        <v>-0.5</v>
      </c>
      <c r="G174" s="501">
        <v>0.3</v>
      </c>
      <c r="H174" s="501">
        <v>1</v>
      </c>
      <c r="I174" s="501">
        <v>0.2</v>
      </c>
      <c r="J174" s="501">
        <v>-4.2</v>
      </c>
      <c r="K174" s="501">
        <v>0.1</v>
      </c>
      <c r="L174" s="857"/>
      <c r="M174" s="501">
        <v>-0.5</v>
      </c>
      <c r="N174" s="501">
        <v>0</v>
      </c>
      <c r="O174" s="1145">
        <v>-2</v>
      </c>
      <c r="P174" s="1145">
        <v>0</v>
      </c>
      <c r="Q174" s="1145">
        <v>0.1</v>
      </c>
      <c r="R174" s="1145">
        <v>0.7</v>
      </c>
      <c r="S174" s="1145">
        <v>-0.1</v>
      </c>
      <c r="T174" s="1145">
        <v>0.8</v>
      </c>
      <c r="U174" s="857"/>
      <c r="V174" s="650">
        <v>0.72</v>
      </c>
      <c r="W174" s="1145">
        <v>0.2</v>
      </c>
      <c r="X174" s="1145">
        <v>0.4</v>
      </c>
      <c r="Y174" s="1145">
        <v>-0.22</v>
      </c>
      <c r="Z174" s="1145">
        <v>0.4</v>
      </c>
      <c r="AA174" s="1145">
        <v>1.2</v>
      </c>
      <c r="AB174" s="1145">
        <v>-0.6</v>
      </c>
      <c r="AC174" s="1145">
        <v>0.9</v>
      </c>
      <c r="AD174" s="214"/>
    </row>
    <row r="175" spans="1:30" ht="14.25">
      <c r="A175" s="502" t="s">
        <v>374</v>
      </c>
      <c r="B175" s="503">
        <v>2007</v>
      </c>
      <c r="C175" s="504">
        <v>1</v>
      </c>
      <c r="D175" s="653">
        <v>0.81</v>
      </c>
      <c r="E175" s="505">
        <v>-2.2999999999999998</v>
      </c>
      <c r="F175" s="505">
        <v>-3.8</v>
      </c>
      <c r="G175" s="505">
        <v>-0.7</v>
      </c>
      <c r="H175" s="505">
        <v>-0.9</v>
      </c>
      <c r="I175" s="505">
        <v>-1.5</v>
      </c>
      <c r="J175" s="505">
        <v>0.8</v>
      </c>
      <c r="K175" s="505">
        <v>-2.9</v>
      </c>
      <c r="L175" s="856"/>
      <c r="M175" s="505">
        <v>-1.171</v>
      </c>
      <c r="N175" s="505">
        <v>0.8</v>
      </c>
      <c r="O175" s="1146">
        <v>2.4</v>
      </c>
      <c r="P175" s="1146">
        <v>-0.8</v>
      </c>
      <c r="Q175" s="1146">
        <v>0.1</v>
      </c>
      <c r="R175" s="1146">
        <v>0.4</v>
      </c>
      <c r="S175" s="1146">
        <v>1.8</v>
      </c>
      <c r="T175" s="1146">
        <v>0.2</v>
      </c>
      <c r="U175" s="856"/>
      <c r="V175" s="647">
        <v>0.67</v>
      </c>
      <c r="W175" s="1146">
        <v>-2.9</v>
      </c>
      <c r="X175" s="1146">
        <v>-0.6</v>
      </c>
      <c r="Y175" s="1146">
        <v>-0.37</v>
      </c>
      <c r="Z175" s="1146">
        <v>0</v>
      </c>
      <c r="AA175" s="1146">
        <v>-2</v>
      </c>
      <c r="AB175" s="1146">
        <v>-0.6</v>
      </c>
      <c r="AC175" s="1146">
        <v>-1.3</v>
      </c>
      <c r="AD175" s="214"/>
    </row>
    <row r="176" spans="1:30" ht="14.25">
      <c r="A176" s="498"/>
      <c r="B176" s="499" t="s">
        <v>141</v>
      </c>
      <c r="C176" s="500">
        <v>2</v>
      </c>
      <c r="D176" s="654">
        <v>0.74</v>
      </c>
      <c r="E176" s="501">
        <v>0.1</v>
      </c>
      <c r="F176" s="501">
        <v>3.5</v>
      </c>
      <c r="G176" s="501">
        <v>0.7</v>
      </c>
      <c r="H176" s="501">
        <v>0.5</v>
      </c>
      <c r="I176" s="501">
        <v>2.9</v>
      </c>
      <c r="J176" s="501">
        <v>-0.4</v>
      </c>
      <c r="K176" s="501">
        <v>-2.7</v>
      </c>
      <c r="L176" s="857"/>
      <c r="M176" s="501">
        <v>-1.177</v>
      </c>
      <c r="N176" s="501">
        <v>-0.9</v>
      </c>
      <c r="O176" s="1145">
        <v>0.6</v>
      </c>
      <c r="P176" s="1145">
        <v>1.2</v>
      </c>
      <c r="Q176" s="1145">
        <v>0.5</v>
      </c>
      <c r="R176" s="1145">
        <v>-0.3</v>
      </c>
      <c r="S176" s="1145">
        <v>0.1</v>
      </c>
      <c r="T176" s="1145">
        <v>0.5</v>
      </c>
      <c r="U176" s="857"/>
      <c r="V176" s="648">
        <v>0.66</v>
      </c>
      <c r="W176" s="1145">
        <v>1.1000000000000001</v>
      </c>
      <c r="X176" s="1145">
        <v>-0.6</v>
      </c>
      <c r="Y176" s="1145">
        <v>-0.19</v>
      </c>
      <c r="Z176" s="1145">
        <v>0.4</v>
      </c>
      <c r="AA176" s="1145">
        <v>-0.9</v>
      </c>
      <c r="AB176" s="1145">
        <v>-1.1000000000000001</v>
      </c>
      <c r="AC176" s="1145">
        <v>0.1</v>
      </c>
      <c r="AD176" s="214"/>
    </row>
    <row r="177" spans="1:30" ht="14.25">
      <c r="A177" s="498"/>
      <c r="B177" s="499" t="s">
        <v>141</v>
      </c>
      <c r="C177" s="500">
        <v>3</v>
      </c>
      <c r="D177" s="654">
        <v>0.59</v>
      </c>
      <c r="E177" s="501">
        <v>-0.6</v>
      </c>
      <c r="F177" s="501">
        <v>-0.7</v>
      </c>
      <c r="G177" s="501">
        <v>-1</v>
      </c>
      <c r="H177" s="501">
        <v>-1.2</v>
      </c>
      <c r="I177" s="501">
        <v>-0.5</v>
      </c>
      <c r="J177" s="501">
        <v>0</v>
      </c>
      <c r="K177" s="501">
        <v>-2.7</v>
      </c>
      <c r="L177" s="857"/>
      <c r="M177" s="501">
        <v>-1.7989999999999999</v>
      </c>
      <c r="N177" s="501">
        <v>0.2</v>
      </c>
      <c r="O177" s="1145">
        <v>0.6</v>
      </c>
      <c r="P177" s="1145">
        <v>-0.9</v>
      </c>
      <c r="Q177" s="1145">
        <v>-1</v>
      </c>
      <c r="R177" s="1145">
        <v>0.7</v>
      </c>
      <c r="S177" s="1145">
        <v>-1</v>
      </c>
      <c r="T177" s="1145">
        <v>-0.5</v>
      </c>
      <c r="U177" s="857"/>
      <c r="V177" s="648">
        <v>0.59</v>
      </c>
      <c r="W177" s="1145">
        <v>-0.3</v>
      </c>
      <c r="X177" s="1145">
        <v>0.1</v>
      </c>
      <c r="Y177" s="1145">
        <v>-0.1</v>
      </c>
      <c r="Z177" s="1145">
        <v>-1.3</v>
      </c>
      <c r="AA177" s="1145">
        <v>2.4</v>
      </c>
      <c r="AB177" s="1145">
        <v>0.2</v>
      </c>
      <c r="AC177" s="1145">
        <v>1.1000000000000001</v>
      </c>
      <c r="AD177" s="214"/>
    </row>
    <row r="178" spans="1:30" ht="14.25">
      <c r="A178" s="498"/>
      <c r="B178" s="499" t="s">
        <v>141</v>
      </c>
      <c r="C178" s="500">
        <v>4</v>
      </c>
      <c r="D178" s="654">
        <v>0.76</v>
      </c>
      <c r="E178" s="501">
        <v>-1.1000000000000001</v>
      </c>
      <c r="F178" s="501">
        <v>-0.9</v>
      </c>
      <c r="G178" s="501">
        <v>-0.7</v>
      </c>
      <c r="H178" s="501">
        <v>0.3</v>
      </c>
      <c r="I178" s="501">
        <v>1.2</v>
      </c>
      <c r="J178" s="501">
        <v>1.9</v>
      </c>
      <c r="K178" s="501">
        <v>-0.8</v>
      </c>
      <c r="L178" s="857"/>
      <c r="M178" s="501">
        <v>-0.434</v>
      </c>
      <c r="N178" s="501">
        <v>-0.2</v>
      </c>
      <c r="O178" s="1145">
        <v>-0.2</v>
      </c>
      <c r="P178" s="1145">
        <v>0.3</v>
      </c>
      <c r="Q178" s="1145">
        <v>0.3</v>
      </c>
      <c r="R178" s="1145">
        <v>-0.6</v>
      </c>
      <c r="S178" s="1145">
        <v>0.4</v>
      </c>
      <c r="T178" s="1145">
        <v>1.1000000000000001</v>
      </c>
      <c r="U178" s="857"/>
      <c r="V178" s="648">
        <v>0.64</v>
      </c>
      <c r="W178" s="1145">
        <v>-0.3</v>
      </c>
      <c r="X178" s="1145">
        <v>0.3</v>
      </c>
      <c r="Y178" s="1145">
        <v>1.31</v>
      </c>
      <c r="Z178" s="1145">
        <v>-0.2</v>
      </c>
      <c r="AA178" s="1145">
        <v>-2</v>
      </c>
      <c r="AB178" s="1145">
        <v>-0.5</v>
      </c>
      <c r="AC178" s="1145">
        <v>-1.5</v>
      </c>
      <c r="AD178" s="214"/>
    </row>
    <row r="179" spans="1:30" ht="14.25">
      <c r="A179" s="498"/>
      <c r="B179" s="499" t="s">
        <v>141</v>
      </c>
      <c r="C179" s="500">
        <v>5</v>
      </c>
      <c r="D179" s="654">
        <v>0.6</v>
      </c>
      <c r="E179" s="501">
        <v>0.2</v>
      </c>
      <c r="F179" s="501">
        <v>2.2999999999999998</v>
      </c>
      <c r="G179" s="501">
        <v>0.9</v>
      </c>
      <c r="H179" s="501">
        <v>-0.1</v>
      </c>
      <c r="I179" s="501">
        <v>-1.1000000000000001</v>
      </c>
      <c r="J179" s="501">
        <v>-3.8</v>
      </c>
      <c r="K179" s="501">
        <v>-0.8</v>
      </c>
      <c r="L179" s="857"/>
      <c r="M179" s="501">
        <v>-0.434</v>
      </c>
      <c r="N179" s="501">
        <v>0.3</v>
      </c>
      <c r="O179" s="1145">
        <v>-1.7</v>
      </c>
      <c r="P179" s="1145">
        <v>0.1</v>
      </c>
      <c r="Q179" s="1145">
        <v>0.3</v>
      </c>
      <c r="R179" s="1145">
        <v>0.8</v>
      </c>
      <c r="S179" s="1145">
        <v>0.6</v>
      </c>
      <c r="T179" s="1145">
        <v>-0.3</v>
      </c>
      <c r="U179" s="857"/>
      <c r="V179" s="648">
        <v>0.51</v>
      </c>
      <c r="W179" s="1145">
        <v>-0.2</v>
      </c>
      <c r="X179" s="1145">
        <v>-0.3</v>
      </c>
      <c r="Y179" s="1145">
        <v>0.3</v>
      </c>
      <c r="Z179" s="1145">
        <v>0.6</v>
      </c>
      <c r="AA179" s="1145">
        <v>0.8</v>
      </c>
      <c r="AB179" s="1145">
        <v>0.5</v>
      </c>
      <c r="AC179" s="1145">
        <v>1.9</v>
      </c>
      <c r="AD179" s="214"/>
    </row>
    <row r="180" spans="1:30" ht="14.25">
      <c r="A180" s="498"/>
      <c r="B180" s="499" t="s">
        <v>141</v>
      </c>
      <c r="C180" s="500">
        <v>6</v>
      </c>
      <c r="D180" s="654">
        <v>0.68</v>
      </c>
      <c r="E180" s="501">
        <v>0</v>
      </c>
      <c r="F180" s="501">
        <v>-0.2</v>
      </c>
      <c r="G180" s="501">
        <v>0.9</v>
      </c>
      <c r="H180" s="501">
        <v>1.2</v>
      </c>
      <c r="I180" s="501">
        <v>-0.1</v>
      </c>
      <c r="J180" s="501">
        <v>3.5</v>
      </c>
      <c r="K180" s="501">
        <v>-0.7</v>
      </c>
      <c r="L180" s="857"/>
      <c r="M180" s="501">
        <v>-1.7629999999999999</v>
      </c>
      <c r="N180" s="501">
        <v>-0.1</v>
      </c>
      <c r="O180" s="1145">
        <v>1.9</v>
      </c>
      <c r="P180" s="1145">
        <v>-0.7</v>
      </c>
      <c r="Q180" s="1145">
        <v>0.5</v>
      </c>
      <c r="R180" s="1145">
        <v>0.6</v>
      </c>
      <c r="S180" s="1145">
        <v>0.3</v>
      </c>
      <c r="T180" s="1145">
        <v>0.4</v>
      </c>
      <c r="U180" s="857"/>
      <c r="V180" s="648">
        <v>0.56000000000000005</v>
      </c>
      <c r="W180" s="1145">
        <v>1.7</v>
      </c>
      <c r="X180" s="1145">
        <v>-0.4</v>
      </c>
      <c r="Y180" s="1145">
        <v>0.93</v>
      </c>
      <c r="Z180" s="1145">
        <v>0.4</v>
      </c>
      <c r="AA180" s="1145">
        <v>0</v>
      </c>
      <c r="AB180" s="1145">
        <v>-0.5</v>
      </c>
      <c r="AC180" s="1145">
        <v>-1.4</v>
      </c>
      <c r="AD180" s="214"/>
    </row>
    <row r="181" spans="1:30" ht="14.25">
      <c r="A181" s="498"/>
      <c r="B181" s="499" t="s">
        <v>141</v>
      </c>
      <c r="C181" s="500">
        <v>7</v>
      </c>
      <c r="D181" s="654">
        <v>0.68</v>
      </c>
      <c r="E181" s="501">
        <v>-0.7</v>
      </c>
      <c r="F181" s="501">
        <v>-1.3</v>
      </c>
      <c r="G181" s="501">
        <v>-2.2000000000000002</v>
      </c>
      <c r="H181" s="501">
        <v>-4.2</v>
      </c>
      <c r="I181" s="501">
        <v>-2.2999999999999998</v>
      </c>
      <c r="J181" s="501">
        <v>-0.4</v>
      </c>
      <c r="K181" s="501">
        <v>-0.1</v>
      </c>
      <c r="L181" s="857"/>
      <c r="M181" s="501">
        <v>-0.40600000000000003</v>
      </c>
      <c r="N181" s="501">
        <v>-0.2</v>
      </c>
      <c r="O181" s="1145">
        <v>-0.8</v>
      </c>
      <c r="P181" s="1145">
        <v>0.8</v>
      </c>
      <c r="Q181" s="1145">
        <v>0.4</v>
      </c>
      <c r="R181" s="1145">
        <v>1.1000000000000001</v>
      </c>
      <c r="S181" s="1145">
        <v>0.6</v>
      </c>
      <c r="T181" s="1145">
        <v>0.3</v>
      </c>
      <c r="U181" s="857"/>
      <c r="V181" s="648">
        <v>0.52</v>
      </c>
      <c r="W181" s="1145">
        <v>0.2</v>
      </c>
      <c r="X181" s="1145">
        <v>0.4</v>
      </c>
      <c r="Y181" s="1145">
        <v>0.19</v>
      </c>
      <c r="Z181" s="1145">
        <v>-1.5</v>
      </c>
      <c r="AA181" s="1145">
        <v>0.4</v>
      </c>
      <c r="AB181" s="1145">
        <v>0.6</v>
      </c>
      <c r="AC181" s="1145">
        <v>-1.3</v>
      </c>
      <c r="AD181" s="214"/>
    </row>
    <row r="182" spans="1:30" ht="14.25">
      <c r="A182" s="498"/>
      <c r="B182" s="499" t="s">
        <v>141</v>
      </c>
      <c r="C182" s="500">
        <v>8</v>
      </c>
      <c r="D182" s="654">
        <v>0.69</v>
      </c>
      <c r="E182" s="501">
        <v>-0.1</v>
      </c>
      <c r="F182" s="501">
        <v>-0.6</v>
      </c>
      <c r="G182" s="501">
        <v>2.7</v>
      </c>
      <c r="H182" s="501">
        <v>3.1</v>
      </c>
      <c r="I182" s="501">
        <v>-0.5</v>
      </c>
      <c r="J182" s="501">
        <v>-1.1000000000000001</v>
      </c>
      <c r="K182" s="501">
        <v>0</v>
      </c>
      <c r="L182" s="857"/>
      <c r="M182" s="501">
        <v>-1.0580000000000001</v>
      </c>
      <c r="N182" s="501">
        <v>-0.4</v>
      </c>
      <c r="O182" s="1145">
        <v>0</v>
      </c>
      <c r="P182" s="1145">
        <v>-0.6</v>
      </c>
      <c r="Q182" s="1145">
        <v>0.5</v>
      </c>
      <c r="R182" s="1145">
        <v>0.6</v>
      </c>
      <c r="S182" s="1145">
        <v>0.4</v>
      </c>
      <c r="T182" s="1145">
        <v>0</v>
      </c>
      <c r="U182" s="857"/>
      <c r="V182" s="648">
        <v>0.47</v>
      </c>
      <c r="W182" s="1145">
        <v>-0.2</v>
      </c>
      <c r="X182" s="1145">
        <v>-0.3</v>
      </c>
      <c r="Y182" s="1145">
        <v>-1.39</v>
      </c>
      <c r="Z182" s="1145">
        <v>1.3</v>
      </c>
      <c r="AA182" s="1145">
        <v>-1.1000000000000001</v>
      </c>
      <c r="AB182" s="1145">
        <v>-0.2</v>
      </c>
      <c r="AC182" s="1145">
        <v>2</v>
      </c>
      <c r="AD182" s="214"/>
    </row>
    <row r="183" spans="1:30" ht="14.25">
      <c r="A183" s="498"/>
      <c r="B183" s="499" t="s">
        <v>141</v>
      </c>
      <c r="C183" s="500">
        <v>9</v>
      </c>
      <c r="D183" s="654">
        <v>0.6</v>
      </c>
      <c r="E183" s="501">
        <v>-0.8</v>
      </c>
      <c r="F183" s="501">
        <v>-0.5</v>
      </c>
      <c r="G183" s="501">
        <v>-0.6</v>
      </c>
      <c r="H183" s="501">
        <v>-0.7</v>
      </c>
      <c r="I183" s="501">
        <v>1.2</v>
      </c>
      <c r="J183" s="501">
        <v>1.5</v>
      </c>
      <c r="K183" s="501">
        <v>-0.1</v>
      </c>
      <c r="L183" s="857"/>
      <c r="M183" s="501">
        <v>-3.6920000000000002</v>
      </c>
      <c r="N183" s="501">
        <v>0.5</v>
      </c>
      <c r="O183" s="1145">
        <v>0.8</v>
      </c>
      <c r="P183" s="1145">
        <v>-0.2</v>
      </c>
      <c r="Q183" s="1145">
        <v>-0.1</v>
      </c>
      <c r="R183" s="1145">
        <v>0.1</v>
      </c>
      <c r="S183" s="1145">
        <v>0.1</v>
      </c>
      <c r="T183" s="1145">
        <v>0.1</v>
      </c>
      <c r="U183" s="857"/>
      <c r="V183" s="648">
        <v>0.47</v>
      </c>
      <c r="W183" s="1145">
        <v>-0.7</v>
      </c>
      <c r="X183" s="1145">
        <v>0.3</v>
      </c>
      <c r="Y183" s="1145">
        <v>-2.17</v>
      </c>
      <c r="Z183" s="1145">
        <v>-0.2</v>
      </c>
      <c r="AA183" s="1145">
        <v>0.5</v>
      </c>
      <c r="AB183" s="1145">
        <v>-0.2</v>
      </c>
      <c r="AC183" s="1145">
        <v>-0.4</v>
      </c>
      <c r="AD183" s="214"/>
    </row>
    <row r="184" spans="1:30" ht="14.25">
      <c r="A184" s="498"/>
      <c r="B184" s="499" t="s">
        <v>141</v>
      </c>
      <c r="C184" s="500">
        <v>10</v>
      </c>
      <c r="D184" s="654">
        <v>0.59</v>
      </c>
      <c r="E184" s="501">
        <v>-0.8</v>
      </c>
      <c r="F184" s="501">
        <v>1.7</v>
      </c>
      <c r="G184" s="501">
        <v>0.8</v>
      </c>
      <c r="H184" s="501">
        <v>0.8</v>
      </c>
      <c r="I184" s="501">
        <v>0.3</v>
      </c>
      <c r="J184" s="501">
        <v>-3</v>
      </c>
      <c r="K184" s="501">
        <v>-0.7</v>
      </c>
      <c r="L184" s="857"/>
      <c r="M184" s="501">
        <v>-2.2549999999999999</v>
      </c>
      <c r="N184" s="501">
        <v>-1.2</v>
      </c>
      <c r="O184" s="1145">
        <v>-0.4</v>
      </c>
      <c r="P184" s="1145">
        <v>1.3</v>
      </c>
      <c r="Q184" s="1145">
        <v>0.3</v>
      </c>
      <c r="R184" s="1145">
        <v>-0.5</v>
      </c>
      <c r="S184" s="1145">
        <v>0.6</v>
      </c>
      <c r="T184" s="1145">
        <v>-0.1</v>
      </c>
      <c r="U184" s="857"/>
      <c r="V184" s="648">
        <v>0.44</v>
      </c>
      <c r="W184" s="1145">
        <v>-0.5</v>
      </c>
      <c r="X184" s="1145">
        <v>-0.1</v>
      </c>
      <c r="Y184" s="1145">
        <v>-0.57999999999999996</v>
      </c>
      <c r="Z184" s="1145">
        <v>0.3</v>
      </c>
      <c r="AA184" s="1145">
        <v>0.8</v>
      </c>
      <c r="AB184" s="1145">
        <v>-0.3</v>
      </c>
      <c r="AC184" s="1145">
        <v>-0.1</v>
      </c>
      <c r="AD184" s="214"/>
    </row>
    <row r="185" spans="1:30" ht="14.25">
      <c r="A185" s="498"/>
      <c r="B185" s="499" t="s">
        <v>141</v>
      </c>
      <c r="C185" s="500">
        <v>11</v>
      </c>
      <c r="D185" s="654">
        <v>0.54</v>
      </c>
      <c r="E185" s="501">
        <v>-1.2</v>
      </c>
      <c r="F185" s="501">
        <v>-1.1000000000000001</v>
      </c>
      <c r="G185" s="501">
        <v>-1.4</v>
      </c>
      <c r="H185" s="501">
        <v>0.1</v>
      </c>
      <c r="I185" s="501">
        <v>0.7</v>
      </c>
      <c r="J185" s="501">
        <v>3.2</v>
      </c>
      <c r="K185" s="501">
        <v>-0.6</v>
      </c>
      <c r="L185" s="857"/>
      <c r="M185" s="501">
        <v>-1.506</v>
      </c>
      <c r="N185" s="501">
        <v>0.6</v>
      </c>
      <c r="O185" s="1145">
        <v>-0.2</v>
      </c>
      <c r="P185" s="1145">
        <v>-0.4</v>
      </c>
      <c r="Q185" s="1145">
        <v>-1</v>
      </c>
      <c r="R185" s="1145">
        <v>-1.8</v>
      </c>
      <c r="S185" s="1145">
        <v>-0.8</v>
      </c>
      <c r="T185" s="1145">
        <v>0.5</v>
      </c>
      <c r="U185" s="857"/>
      <c r="V185" s="648">
        <v>0.42</v>
      </c>
      <c r="W185" s="1145">
        <v>-1.6</v>
      </c>
      <c r="X185" s="1145">
        <v>0.8</v>
      </c>
      <c r="Y185" s="1145">
        <v>1.27</v>
      </c>
      <c r="Z185" s="1145">
        <v>0.7</v>
      </c>
      <c r="AA185" s="1145">
        <v>0.3</v>
      </c>
      <c r="AB185" s="1145">
        <v>1.9</v>
      </c>
      <c r="AC185" s="1145">
        <v>-0.2</v>
      </c>
      <c r="AD185" s="214"/>
    </row>
    <row r="186" spans="1:30" ht="14.25">
      <c r="A186" s="506"/>
      <c r="B186" s="507" t="s">
        <v>141</v>
      </c>
      <c r="C186" s="508">
        <v>12</v>
      </c>
      <c r="D186" s="655">
        <v>0.56000000000000005</v>
      </c>
      <c r="E186" s="509">
        <v>1.8</v>
      </c>
      <c r="F186" s="509">
        <v>1.4</v>
      </c>
      <c r="G186" s="509">
        <v>-1.7</v>
      </c>
      <c r="H186" s="509">
        <v>-1.3</v>
      </c>
      <c r="I186" s="509">
        <v>-0.1</v>
      </c>
      <c r="J186" s="509">
        <v>-1.9</v>
      </c>
      <c r="K186" s="509">
        <v>-0.6</v>
      </c>
      <c r="L186" s="858"/>
      <c r="M186" s="509">
        <v>0.434</v>
      </c>
      <c r="N186" s="509">
        <v>0.6</v>
      </c>
      <c r="O186" s="1147">
        <v>1</v>
      </c>
      <c r="P186" s="1147">
        <v>0.9</v>
      </c>
      <c r="Q186" s="1147">
        <v>-0.1</v>
      </c>
      <c r="R186" s="1147">
        <v>0.9</v>
      </c>
      <c r="S186" s="1147">
        <v>-0.3</v>
      </c>
      <c r="T186" s="1147">
        <v>-0.3</v>
      </c>
      <c r="U186" s="858"/>
      <c r="V186" s="649">
        <v>0.42</v>
      </c>
      <c r="W186" s="1147">
        <v>-0.3</v>
      </c>
      <c r="X186" s="1147">
        <v>-1.2</v>
      </c>
      <c r="Y186" s="1147">
        <v>0.4</v>
      </c>
      <c r="Z186" s="1147">
        <v>-0.5</v>
      </c>
      <c r="AA186" s="1147">
        <v>-0.8</v>
      </c>
      <c r="AB186" s="1147">
        <v>1.3</v>
      </c>
      <c r="AC186" s="1147">
        <v>-0.8</v>
      </c>
      <c r="AD186" s="214"/>
    </row>
    <row r="187" spans="1:30" ht="14.25">
      <c r="A187" s="498" t="s">
        <v>375</v>
      </c>
      <c r="B187" s="499">
        <v>2008</v>
      </c>
      <c r="C187" s="500">
        <v>1</v>
      </c>
      <c r="D187" s="656">
        <v>0.53</v>
      </c>
      <c r="E187" s="501">
        <v>-2.5</v>
      </c>
      <c r="F187" s="501">
        <v>-1.3</v>
      </c>
      <c r="G187" s="501">
        <v>-1.4</v>
      </c>
      <c r="H187" s="501">
        <v>0.8</v>
      </c>
      <c r="I187" s="501">
        <v>-0.8</v>
      </c>
      <c r="J187" s="501">
        <v>-0.3</v>
      </c>
      <c r="K187" s="501">
        <v>-0.3</v>
      </c>
      <c r="L187" s="857"/>
      <c r="M187" s="501">
        <v>0.42199999999999999</v>
      </c>
      <c r="N187" s="501">
        <v>0.4</v>
      </c>
      <c r="O187" s="1145">
        <v>-1</v>
      </c>
      <c r="P187" s="1145">
        <v>-1.6</v>
      </c>
      <c r="Q187" s="1145">
        <v>-1.3</v>
      </c>
      <c r="R187" s="1145">
        <v>0.1</v>
      </c>
      <c r="S187" s="1145">
        <v>-1</v>
      </c>
      <c r="T187" s="1145">
        <v>-0.2</v>
      </c>
      <c r="U187" s="857"/>
      <c r="V187" s="650">
        <v>0.43</v>
      </c>
      <c r="W187" s="1145">
        <v>0.5</v>
      </c>
      <c r="X187" s="1145">
        <v>-0.1</v>
      </c>
      <c r="Y187" s="1145">
        <v>-1.9</v>
      </c>
      <c r="Z187" s="1145">
        <v>-0.1</v>
      </c>
      <c r="AA187" s="1145">
        <v>-0.7</v>
      </c>
      <c r="AB187" s="1145">
        <v>-0.6</v>
      </c>
      <c r="AC187" s="1145">
        <v>1</v>
      </c>
      <c r="AD187" s="214"/>
    </row>
    <row r="188" spans="1:30" ht="14.25">
      <c r="A188" s="498"/>
      <c r="B188" s="499" t="s">
        <v>141</v>
      </c>
      <c r="C188" s="500">
        <v>2</v>
      </c>
      <c r="D188" s="654">
        <v>0.6</v>
      </c>
      <c r="E188" s="501">
        <v>0.2</v>
      </c>
      <c r="F188" s="501">
        <v>0.5</v>
      </c>
      <c r="G188" s="501">
        <v>-0.6</v>
      </c>
      <c r="H188" s="501">
        <v>0.4</v>
      </c>
      <c r="I188" s="501">
        <v>0.5</v>
      </c>
      <c r="J188" s="501">
        <v>1.1000000000000001</v>
      </c>
      <c r="K188" s="501">
        <v>-0.4</v>
      </c>
      <c r="L188" s="857"/>
      <c r="M188" s="501">
        <v>-0.20100000000000001</v>
      </c>
      <c r="N188" s="501">
        <v>1</v>
      </c>
      <c r="O188" s="1145">
        <v>1.3</v>
      </c>
      <c r="P188" s="1145">
        <v>0</v>
      </c>
      <c r="Q188" s="1145">
        <v>0.2</v>
      </c>
      <c r="R188" s="1145">
        <v>-0.1</v>
      </c>
      <c r="S188" s="1145">
        <v>-0.1</v>
      </c>
      <c r="T188" s="1145">
        <v>0.7</v>
      </c>
      <c r="U188" s="857"/>
      <c r="V188" s="648">
        <v>0.54</v>
      </c>
      <c r="W188" s="1145">
        <v>2.2999999999999998</v>
      </c>
      <c r="X188" s="1145">
        <v>0.2</v>
      </c>
      <c r="Y188" s="1145">
        <v>-1.04</v>
      </c>
      <c r="Z188" s="1145">
        <v>0.6</v>
      </c>
      <c r="AA188" s="1145">
        <v>0.8</v>
      </c>
      <c r="AB188" s="1145">
        <v>1.1000000000000001</v>
      </c>
      <c r="AC188" s="1145">
        <v>0.5</v>
      </c>
      <c r="AD188" s="214"/>
    </row>
    <row r="189" spans="1:30" ht="14.25">
      <c r="A189" s="498"/>
      <c r="B189" s="499" t="s">
        <v>141</v>
      </c>
      <c r="C189" s="500">
        <v>3</v>
      </c>
      <c r="D189" s="654">
        <v>0.49</v>
      </c>
      <c r="E189" s="501">
        <v>-0.2</v>
      </c>
      <c r="F189" s="501">
        <v>-1.2</v>
      </c>
      <c r="G189" s="501">
        <v>0.8</v>
      </c>
      <c r="H189" s="501">
        <v>1.3</v>
      </c>
      <c r="I189" s="501">
        <v>0.6</v>
      </c>
      <c r="J189" s="501">
        <v>-1.1000000000000001</v>
      </c>
      <c r="K189" s="501">
        <v>-0.3</v>
      </c>
      <c r="L189" s="857"/>
      <c r="M189" s="501">
        <v>-1.468</v>
      </c>
      <c r="N189" s="501">
        <v>0.5</v>
      </c>
      <c r="O189" s="1145">
        <v>-1.1000000000000001</v>
      </c>
      <c r="P189" s="1145">
        <v>0.4</v>
      </c>
      <c r="Q189" s="1145">
        <v>-0.4</v>
      </c>
      <c r="R189" s="1145">
        <v>-0.3</v>
      </c>
      <c r="S189" s="1145">
        <v>0.1</v>
      </c>
      <c r="T189" s="1145">
        <v>0.2</v>
      </c>
      <c r="U189" s="857"/>
      <c r="V189" s="648">
        <v>0.46</v>
      </c>
      <c r="W189" s="1145">
        <v>-1.8</v>
      </c>
      <c r="X189" s="1145">
        <v>0</v>
      </c>
      <c r="Y189" s="1145">
        <v>1.39</v>
      </c>
      <c r="Z189" s="1145">
        <v>0.8</v>
      </c>
      <c r="AA189" s="1145">
        <v>-0.8</v>
      </c>
      <c r="AB189" s="1145">
        <v>0.9</v>
      </c>
      <c r="AC189" s="1145">
        <v>-0.6</v>
      </c>
      <c r="AD189" s="214"/>
    </row>
    <row r="190" spans="1:30" ht="14.25">
      <c r="A190" s="498"/>
      <c r="B190" s="499" t="s">
        <v>141</v>
      </c>
      <c r="C190" s="500">
        <v>4</v>
      </c>
      <c r="D190" s="654">
        <v>0.52</v>
      </c>
      <c r="E190" s="501">
        <v>-0.3</v>
      </c>
      <c r="F190" s="501">
        <v>1.3</v>
      </c>
      <c r="G190" s="501">
        <v>0.4</v>
      </c>
      <c r="H190" s="501">
        <v>-0.3</v>
      </c>
      <c r="I190" s="501">
        <v>-0.6</v>
      </c>
      <c r="J190" s="501">
        <v>-1</v>
      </c>
      <c r="K190" s="501">
        <v>-2.8</v>
      </c>
      <c r="L190" s="857"/>
      <c r="M190" s="501">
        <v>0.45400000000000001</v>
      </c>
      <c r="N190" s="501">
        <v>-0.4</v>
      </c>
      <c r="O190" s="1145">
        <v>-0.8</v>
      </c>
      <c r="P190" s="1145">
        <v>-1.9</v>
      </c>
      <c r="Q190" s="1145">
        <v>-0.2</v>
      </c>
      <c r="R190" s="1145">
        <v>-0.2</v>
      </c>
      <c r="S190" s="1145">
        <v>-0.3</v>
      </c>
      <c r="T190" s="1145">
        <v>-0.7</v>
      </c>
      <c r="U190" s="857"/>
      <c r="V190" s="648">
        <v>0.45</v>
      </c>
      <c r="W190" s="1145">
        <v>2.1</v>
      </c>
      <c r="X190" s="1145">
        <v>-1.9</v>
      </c>
      <c r="Y190" s="1145">
        <v>-1.1100000000000001</v>
      </c>
      <c r="Z190" s="1145">
        <v>-1.1000000000000001</v>
      </c>
      <c r="AA190" s="1145">
        <v>-0.3</v>
      </c>
      <c r="AB190" s="1145">
        <v>0</v>
      </c>
      <c r="AC190" s="1145">
        <v>0.2</v>
      </c>
      <c r="AD190" s="214"/>
    </row>
    <row r="191" spans="1:30" ht="14.25">
      <c r="A191" s="498"/>
      <c r="B191" s="499" t="s">
        <v>141</v>
      </c>
      <c r="C191" s="500">
        <v>5</v>
      </c>
      <c r="D191" s="654">
        <v>0.33</v>
      </c>
      <c r="E191" s="501">
        <v>-0.3</v>
      </c>
      <c r="F191" s="501">
        <v>0</v>
      </c>
      <c r="G191" s="501">
        <v>0</v>
      </c>
      <c r="H191" s="501">
        <v>-2.2000000000000002</v>
      </c>
      <c r="I191" s="501">
        <v>0.2</v>
      </c>
      <c r="J191" s="501">
        <v>2.4</v>
      </c>
      <c r="K191" s="501">
        <v>-2.7</v>
      </c>
      <c r="L191" s="857"/>
      <c r="M191" s="501">
        <v>-0.14000000000000001</v>
      </c>
      <c r="N191" s="501">
        <v>-1</v>
      </c>
      <c r="O191" s="1145">
        <v>-1.2</v>
      </c>
      <c r="P191" s="1145">
        <v>0.1</v>
      </c>
      <c r="Q191" s="1145">
        <v>-0.6</v>
      </c>
      <c r="R191" s="1145">
        <v>-0.6</v>
      </c>
      <c r="S191" s="1145">
        <v>-0.3</v>
      </c>
      <c r="T191" s="1145">
        <v>0</v>
      </c>
      <c r="U191" s="857"/>
      <c r="V191" s="648">
        <v>0.28000000000000003</v>
      </c>
      <c r="W191" s="1145">
        <v>1.5</v>
      </c>
      <c r="X191" s="1145">
        <v>0</v>
      </c>
      <c r="Y191" s="1145">
        <v>-0.43</v>
      </c>
      <c r="Z191" s="1145">
        <v>-0.4</v>
      </c>
      <c r="AA191" s="1145">
        <v>-0.8</v>
      </c>
      <c r="AB191" s="1145">
        <v>0.9</v>
      </c>
      <c r="AC191" s="1145">
        <v>-0.8</v>
      </c>
      <c r="AD191" s="214"/>
    </row>
    <row r="192" spans="1:30" ht="14.25">
      <c r="A192" s="498"/>
      <c r="B192" s="499" t="s">
        <v>141</v>
      </c>
      <c r="C192" s="500">
        <v>6</v>
      </c>
      <c r="D192" s="654">
        <v>0.37</v>
      </c>
      <c r="E192" s="501">
        <v>-0.4</v>
      </c>
      <c r="F192" s="501">
        <v>-0.4</v>
      </c>
      <c r="G192" s="501">
        <v>-0.5</v>
      </c>
      <c r="H192" s="501">
        <v>0.3</v>
      </c>
      <c r="I192" s="501">
        <v>-0.6</v>
      </c>
      <c r="J192" s="501">
        <v>-0.3</v>
      </c>
      <c r="K192" s="501">
        <v>-2.6</v>
      </c>
      <c r="L192" s="857"/>
      <c r="M192" s="501">
        <v>-2.456</v>
      </c>
      <c r="N192" s="501">
        <v>-0.3</v>
      </c>
      <c r="O192" s="1145">
        <v>-0.4</v>
      </c>
      <c r="P192" s="1145">
        <v>0.1</v>
      </c>
      <c r="Q192" s="1145">
        <v>-1.2</v>
      </c>
      <c r="R192" s="1145">
        <v>-0.4</v>
      </c>
      <c r="S192" s="1145">
        <v>-0.5</v>
      </c>
      <c r="T192" s="1145">
        <v>0.5</v>
      </c>
      <c r="U192" s="857"/>
      <c r="V192" s="648">
        <v>0.3</v>
      </c>
      <c r="W192" s="1145">
        <v>-0.2</v>
      </c>
      <c r="X192" s="1145">
        <v>0.1</v>
      </c>
      <c r="Y192" s="1145">
        <v>-0.61</v>
      </c>
      <c r="Z192" s="1145">
        <v>-0.7</v>
      </c>
      <c r="AA192" s="1145">
        <v>0.1</v>
      </c>
      <c r="AB192" s="1145">
        <v>1.9</v>
      </c>
      <c r="AC192" s="1145">
        <v>0.5</v>
      </c>
      <c r="AD192" s="214"/>
    </row>
    <row r="193" spans="1:30" ht="14.25">
      <c r="A193" s="498"/>
      <c r="B193" s="499" t="s">
        <v>141</v>
      </c>
      <c r="C193" s="500">
        <v>7</v>
      </c>
      <c r="D193" s="654">
        <v>0.39</v>
      </c>
      <c r="E193" s="501">
        <v>-0.7</v>
      </c>
      <c r="F193" s="501">
        <v>-0.4</v>
      </c>
      <c r="G193" s="501">
        <v>-0.3</v>
      </c>
      <c r="H193" s="501">
        <v>-1</v>
      </c>
      <c r="I193" s="501">
        <v>1.3</v>
      </c>
      <c r="J193" s="501">
        <v>-0.7</v>
      </c>
      <c r="K193" s="501">
        <v>0.5</v>
      </c>
      <c r="L193" s="857"/>
      <c r="M193" s="501">
        <v>-1.768</v>
      </c>
      <c r="N193" s="501">
        <v>-0.4</v>
      </c>
      <c r="O193" s="1145">
        <v>0.2</v>
      </c>
      <c r="P193" s="1145">
        <v>-0.1</v>
      </c>
      <c r="Q193" s="1145">
        <v>0.5</v>
      </c>
      <c r="R193" s="1145">
        <v>0</v>
      </c>
      <c r="S193" s="1145">
        <v>1</v>
      </c>
      <c r="T193" s="1145">
        <v>0</v>
      </c>
      <c r="U193" s="857"/>
      <c r="V193" s="648">
        <v>0.33</v>
      </c>
      <c r="W193" s="1145">
        <v>-2.2000000000000002</v>
      </c>
      <c r="X193" s="1145">
        <v>0.1</v>
      </c>
      <c r="Y193" s="1145">
        <v>0.28000000000000003</v>
      </c>
      <c r="Z193" s="1145">
        <v>1.5</v>
      </c>
      <c r="AA193" s="1145">
        <v>0.2</v>
      </c>
      <c r="AB193" s="1145">
        <v>0.7</v>
      </c>
      <c r="AC193" s="1145">
        <v>-0.4</v>
      </c>
      <c r="AD193" s="214"/>
    </row>
    <row r="194" spans="1:30" ht="14.25">
      <c r="A194" s="498"/>
      <c r="B194" s="499" t="s">
        <v>141</v>
      </c>
      <c r="C194" s="500">
        <v>8</v>
      </c>
      <c r="D194" s="654">
        <v>0.2</v>
      </c>
      <c r="E194" s="501">
        <v>-0.8</v>
      </c>
      <c r="F194" s="501">
        <v>-0.1</v>
      </c>
      <c r="G194" s="501">
        <v>-0.9</v>
      </c>
      <c r="H194" s="501">
        <v>0.1</v>
      </c>
      <c r="I194" s="501">
        <v>0.2</v>
      </c>
      <c r="J194" s="501">
        <v>-1.9</v>
      </c>
      <c r="K194" s="501">
        <v>0.6</v>
      </c>
      <c r="L194" s="857"/>
      <c r="M194" s="501">
        <v>-1.1319999999999999</v>
      </c>
      <c r="N194" s="501">
        <v>-0.8</v>
      </c>
      <c r="O194" s="1145">
        <v>-0.9</v>
      </c>
      <c r="P194" s="1145">
        <v>-1.2</v>
      </c>
      <c r="Q194" s="1145">
        <v>-1.5</v>
      </c>
      <c r="R194" s="1145">
        <v>-1.5</v>
      </c>
      <c r="S194" s="1145">
        <v>-1.1000000000000001</v>
      </c>
      <c r="T194" s="1145">
        <v>-0.7</v>
      </c>
      <c r="U194" s="857"/>
      <c r="V194" s="648">
        <v>0.15</v>
      </c>
      <c r="W194" s="1145">
        <v>0.2</v>
      </c>
      <c r="X194" s="1145">
        <v>-1.8</v>
      </c>
      <c r="Y194" s="1145">
        <v>-1.32</v>
      </c>
      <c r="Z194" s="1145">
        <v>-0.5</v>
      </c>
      <c r="AA194" s="1145">
        <v>0.6</v>
      </c>
      <c r="AB194" s="1145">
        <v>-0.3</v>
      </c>
      <c r="AC194" s="1145">
        <v>-0.1</v>
      </c>
      <c r="AD194" s="214"/>
    </row>
    <row r="195" spans="1:30" ht="14.25">
      <c r="A195" s="498"/>
      <c r="B195" s="499" t="s">
        <v>141</v>
      </c>
      <c r="C195" s="500">
        <v>9</v>
      </c>
      <c r="D195" s="654">
        <v>0.23</v>
      </c>
      <c r="E195" s="501">
        <v>0.1</v>
      </c>
      <c r="F195" s="501">
        <v>-0.2</v>
      </c>
      <c r="G195" s="501">
        <v>0.3</v>
      </c>
      <c r="H195" s="501">
        <v>0.3</v>
      </c>
      <c r="I195" s="501">
        <v>-0.9</v>
      </c>
      <c r="J195" s="501">
        <v>1</v>
      </c>
      <c r="K195" s="501">
        <v>0.5</v>
      </c>
      <c r="L195" s="857"/>
      <c r="M195" s="501">
        <v>-0.54</v>
      </c>
      <c r="N195" s="501">
        <v>-0.8</v>
      </c>
      <c r="O195" s="1145">
        <v>0.4</v>
      </c>
      <c r="P195" s="1145">
        <v>0.2</v>
      </c>
      <c r="Q195" s="1145">
        <v>0.4</v>
      </c>
      <c r="R195" s="1145">
        <v>0.5</v>
      </c>
      <c r="S195" s="1145">
        <v>0.5</v>
      </c>
      <c r="T195" s="1145">
        <v>1.6</v>
      </c>
      <c r="U195" s="857"/>
      <c r="V195" s="648">
        <v>0.16</v>
      </c>
      <c r="W195" s="1145">
        <v>-0.2</v>
      </c>
      <c r="X195" s="1145">
        <v>0.8</v>
      </c>
      <c r="Y195" s="1145">
        <v>0.67</v>
      </c>
      <c r="Z195" s="1145">
        <v>-0.5</v>
      </c>
      <c r="AA195" s="1145">
        <v>-0.7</v>
      </c>
      <c r="AB195" s="1145">
        <v>0.1</v>
      </c>
      <c r="AC195" s="1145">
        <v>0.6</v>
      </c>
      <c r="AD195" s="214"/>
    </row>
    <row r="196" spans="1:30" ht="14.25">
      <c r="A196" s="498"/>
      <c r="B196" s="499" t="s">
        <v>141</v>
      </c>
      <c r="C196" s="500">
        <v>10</v>
      </c>
      <c r="D196" s="654">
        <v>0.2</v>
      </c>
      <c r="E196" s="501">
        <v>-0.6</v>
      </c>
      <c r="F196" s="501">
        <v>1.1000000000000001</v>
      </c>
      <c r="G196" s="501">
        <v>-0.4</v>
      </c>
      <c r="H196" s="501">
        <v>1.3</v>
      </c>
      <c r="I196" s="501">
        <v>0</v>
      </c>
      <c r="J196" s="501">
        <v>-0.6</v>
      </c>
      <c r="K196" s="501">
        <v>1</v>
      </c>
      <c r="L196" s="857"/>
      <c r="M196" s="501">
        <v>-2.6429999999999998</v>
      </c>
      <c r="N196" s="501">
        <v>-0.7</v>
      </c>
      <c r="O196" s="1145">
        <v>-0.9</v>
      </c>
      <c r="P196" s="1145">
        <v>0.7</v>
      </c>
      <c r="Q196" s="1145">
        <v>0.5</v>
      </c>
      <c r="R196" s="1145">
        <v>-0.1</v>
      </c>
      <c r="S196" s="1145">
        <v>0.1</v>
      </c>
      <c r="T196" s="1145">
        <v>-0.3</v>
      </c>
      <c r="U196" s="857"/>
      <c r="V196" s="648">
        <v>0.15</v>
      </c>
      <c r="W196" s="1145">
        <v>-0.3</v>
      </c>
      <c r="X196" s="1145">
        <v>0.5</v>
      </c>
      <c r="Y196" s="1145">
        <v>1.51</v>
      </c>
      <c r="Z196" s="1145">
        <v>-0.5</v>
      </c>
      <c r="AA196" s="1145">
        <v>-0.1</v>
      </c>
      <c r="AB196" s="1145">
        <v>-0.9</v>
      </c>
      <c r="AC196" s="1145">
        <v>-1.7</v>
      </c>
      <c r="AD196" s="214"/>
    </row>
    <row r="197" spans="1:30" ht="14.25">
      <c r="A197" s="498"/>
      <c r="B197" s="499" t="s">
        <v>141</v>
      </c>
      <c r="C197" s="500">
        <v>11</v>
      </c>
      <c r="D197" s="654">
        <v>0.17</v>
      </c>
      <c r="E197" s="501">
        <v>0.5</v>
      </c>
      <c r="F197" s="501">
        <v>-1.3</v>
      </c>
      <c r="G197" s="501">
        <v>-0.8</v>
      </c>
      <c r="H197" s="501">
        <v>-0.9</v>
      </c>
      <c r="I197" s="501">
        <v>-1.4</v>
      </c>
      <c r="J197" s="501">
        <v>2.5</v>
      </c>
      <c r="K197" s="501">
        <v>1.1000000000000001</v>
      </c>
      <c r="L197" s="857"/>
      <c r="M197" s="501">
        <v>-0.94399999999999995</v>
      </c>
      <c r="N197" s="501">
        <v>-0.6</v>
      </c>
      <c r="O197" s="1145">
        <v>0.2</v>
      </c>
      <c r="P197" s="1145">
        <v>-0.8</v>
      </c>
      <c r="Q197" s="1145">
        <v>-2</v>
      </c>
      <c r="R197" s="1145">
        <v>-1.4</v>
      </c>
      <c r="S197" s="1145">
        <v>-1.7</v>
      </c>
      <c r="T197" s="1145">
        <v>0.2</v>
      </c>
      <c r="U197" s="857"/>
      <c r="V197" s="648">
        <v>0.12</v>
      </c>
      <c r="W197" s="1145">
        <v>-3</v>
      </c>
      <c r="X197" s="1145">
        <v>-0.8</v>
      </c>
      <c r="Y197" s="1145">
        <v>-2.0099999999999998</v>
      </c>
      <c r="Z197" s="1145">
        <v>1.1000000000000001</v>
      </c>
      <c r="AA197" s="1145">
        <v>0.3</v>
      </c>
      <c r="AB197" s="1145">
        <v>-2.4</v>
      </c>
      <c r="AC197" s="1145">
        <v>1.5</v>
      </c>
      <c r="AD197" s="214"/>
    </row>
    <row r="198" spans="1:30" ht="14.25">
      <c r="A198" s="498"/>
      <c r="B198" s="499" t="s">
        <v>141</v>
      </c>
      <c r="C198" s="500">
        <v>12</v>
      </c>
      <c r="D198" s="656">
        <v>-0.09</v>
      </c>
      <c r="E198" s="501">
        <v>-1.1000000000000001</v>
      </c>
      <c r="F198" s="501">
        <v>-1</v>
      </c>
      <c r="G198" s="501">
        <v>-2.1</v>
      </c>
      <c r="H198" s="501">
        <v>-3.7</v>
      </c>
      <c r="I198" s="501">
        <v>2</v>
      </c>
      <c r="J198" s="501">
        <v>-1.9</v>
      </c>
      <c r="K198" s="501">
        <v>1</v>
      </c>
      <c r="L198" s="857"/>
      <c r="M198" s="501">
        <v>-0.85399999999999998</v>
      </c>
      <c r="N198" s="501">
        <v>-0.9</v>
      </c>
      <c r="O198" s="1145">
        <v>-1</v>
      </c>
      <c r="P198" s="1145">
        <v>-0.7</v>
      </c>
      <c r="Q198" s="1145">
        <v>-2.2999999999999998</v>
      </c>
      <c r="R198" s="1145">
        <v>-2.7</v>
      </c>
      <c r="S198" s="1145">
        <v>-2.2999999999999998</v>
      </c>
      <c r="T198" s="1145">
        <v>-1.3</v>
      </c>
      <c r="U198" s="857"/>
      <c r="V198" s="650">
        <v>-0.08</v>
      </c>
      <c r="W198" s="1145">
        <v>1.9</v>
      </c>
      <c r="X198" s="1145">
        <v>-0.3</v>
      </c>
      <c r="Y198" s="1145">
        <v>-2.86</v>
      </c>
      <c r="Z198" s="1145">
        <v>-1.3</v>
      </c>
      <c r="AA198" s="1145">
        <v>0.3</v>
      </c>
      <c r="AB198" s="1145">
        <v>-2.1</v>
      </c>
      <c r="AC198" s="1145">
        <v>0.4</v>
      </c>
      <c r="AD198" s="214"/>
    </row>
    <row r="199" spans="1:30" ht="14.25">
      <c r="A199" s="502" t="s">
        <v>376</v>
      </c>
      <c r="B199" s="503">
        <v>2009</v>
      </c>
      <c r="C199" s="504">
        <v>1</v>
      </c>
      <c r="D199" s="658">
        <v>-0.26</v>
      </c>
      <c r="E199" s="510">
        <v>0.3</v>
      </c>
      <c r="F199" s="510">
        <v>-0.6</v>
      </c>
      <c r="G199" s="510">
        <v>-1.3</v>
      </c>
      <c r="H199" s="510">
        <v>1.8</v>
      </c>
      <c r="I199" s="510">
        <v>-1.2</v>
      </c>
      <c r="J199" s="510">
        <v>0.6</v>
      </c>
      <c r="K199" s="510">
        <v>-2.5</v>
      </c>
      <c r="L199" s="856"/>
      <c r="M199" s="510">
        <v>-2.3420000000000001</v>
      </c>
      <c r="N199" s="510">
        <v>-1.8</v>
      </c>
      <c r="O199" s="1148">
        <v>-3.4</v>
      </c>
      <c r="P199" s="1148">
        <v>-0.3</v>
      </c>
      <c r="Q199" s="1148">
        <v>-1.2</v>
      </c>
      <c r="R199" s="1148">
        <v>-1.6</v>
      </c>
      <c r="S199" s="1148">
        <v>-2.7</v>
      </c>
      <c r="T199" s="1148">
        <v>-1.1000000000000001</v>
      </c>
      <c r="U199" s="856"/>
      <c r="V199" s="424">
        <v>-0.21</v>
      </c>
      <c r="W199" s="1148">
        <v>-2.5</v>
      </c>
      <c r="X199" s="1148">
        <v>-0.4</v>
      </c>
      <c r="Y199" s="1148">
        <v>0.82</v>
      </c>
      <c r="Z199" s="1148">
        <v>0.5</v>
      </c>
      <c r="AA199" s="1148">
        <v>1.1000000000000001</v>
      </c>
      <c r="AB199" s="1148">
        <v>-0.7</v>
      </c>
      <c r="AC199" s="1148">
        <v>-2</v>
      </c>
      <c r="AD199" s="214"/>
    </row>
    <row r="200" spans="1:30" ht="14.25">
      <c r="A200" s="498"/>
      <c r="B200" s="499"/>
      <c r="C200" s="500">
        <v>2</v>
      </c>
      <c r="D200" s="425">
        <v>-0.31</v>
      </c>
      <c r="E200" s="511">
        <v>-2.1</v>
      </c>
      <c r="F200" s="511">
        <v>1</v>
      </c>
      <c r="G200" s="511">
        <v>-2.9</v>
      </c>
      <c r="H200" s="511">
        <v>-0.6</v>
      </c>
      <c r="I200" s="511">
        <v>0.4</v>
      </c>
      <c r="J200" s="511">
        <v>0</v>
      </c>
      <c r="K200" s="511">
        <v>-2.2999999999999998</v>
      </c>
      <c r="L200" s="857"/>
      <c r="M200" s="511">
        <v>-1.29</v>
      </c>
      <c r="N200" s="511">
        <v>-3</v>
      </c>
      <c r="O200" s="887">
        <v>-2</v>
      </c>
      <c r="P200" s="887">
        <v>0</v>
      </c>
      <c r="Q200" s="887">
        <v>-1.5</v>
      </c>
      <c r="R200" s="887">
        <v>-1.4</v>
      </c>
      <c r="S200" s="887">
        <v>-0.7</v>
      </c>
      <c r="T200" s="887">
        <v>0.4</v>
      </c>
      <c r="U200" s="857"/>
      <c r="V200" s="651">
        <v>-0.23</v>
      </c>
      <c r="W200" s="887">
        <v>-2.6</v>
      </c>
      <c r="X200" s="887">
        <v>0</v>
      </c>
      <c r="Y200" s="887">
        <v>-2.2799999999999998</v>
      </c>
      <c r="Z200" s="887">
        <v>-0.8</v>
      </c>
      <c r="AA200" s="887">
        <v>0.2</v>
      </c>
      <c r="AB200" s="887">
        <v>0.2</v>
      </c>
      <c r="AC200" s="887">
        <v>-0.7</v>
      </c>
      <c r="AD200" s="214"/>
    </row>
    <row r="201" spans="1:30" ht="14.25">
      <c r="A201" s="498"/>
      <c r="B201" s="499"/>
      <c r="C201" s="500">
        <v>3</v>
      </c>
      <c r="D201" s="836">
        <v>-0.51</v>
      </c>
      <c r="E201" s="511">
        <v>1.3</v>
      </c>
      <c r="F201" s="511">
        <v>-0.9</v>
      </c>
      <c r="G201" s="511">
        <v>0</v>
      </c>
      <c r="H201" s="511">
        <v>0.1</v>
      </c>
      <c r="I201" s="511">
        <v>-0.9</v>
      </c>
      <c r="J201" s="511">
        <v>0.5</v>
      </c>
      <c r="K201" s="511">
        <v>-2.1</v>
      </c>
      <c r="L201" s="857"/>
      <c r="M201" s="511">
        <v>0.106</v>
      </c>
      <c r="N201" s="511">
        <v>-1.9</v>
      </c>
      <c r="O201" s="887">
        <v>0.2</v>
      </c>
      <c r="P201" s="887">
        <v>-0.8</v>
      </c>
      <c r="Q201" s="887">
        <v>-0.5</v>
      </c>
      <c r="R201" s="887">
        <v>-0.4</v>
      </c>
      <c r="S201" s="887">
        <v>-0.3</v>
      </c>
      <c r="T201" s="887">
        <v>-1.8</v>
      </c>
      <c r="U201" s="857"/>
      <c r="V201" s="651">
        <v>-0.31</v>
      </c>
      <c r="W201" s="887">
        <v>1.1000000000000001</v>
      </c>
      <c r="X201" s="887">
        <v>-0.8</v>
      </c>
      <c r="Y201" s="887">
        <v>-2.15</v>
      </c>
      <c r="Z201" s="887">
        <v>-0.2</v>
      </c>
      <c r="AA201" s="887">
        <v>-0.6</v>
      </c>
      <c r="AB201" s="887">
        <v>-0.9</v>
      </c>
      <c r="AC201" s="887">
        <v>0.1</v>
      </c>
      <c r="AD201" s="214"/>
    </row>
    <row r="202" spans="1:30" ht="14.25">
      <c r="A202" s="498"/>
      <c r="B202" s="499"/>
      <c r="C202" s="500">
        <v>4</v>
      </c>
      <c r="D202" s="836">
        <v>-0.42</v>
      </c>
      <c r="E202" s="511">
        <v>0</v>
      </c>
      <c r="F202" s="511">
        <v>-1.4</v>
      </c>
      <c r="G202" s="511">
        <v>0.7</v>
      </c>
      <c r="H202" s="511">
        <v>-0.1</v>
      </c>
      <c r="I202" s="511">
        <v>0.6</v>
      </c>
      <c r="J202" s="511">
        <v>-0.8</v>
      </c>
      <c r="K202" s="511">
        <v>0.1</v>
      </c>
      <c r="L202" s="857"/>
      <c r="M202" s="511">
        <v>-0.21099999999999999</v>
      </c>
      <c r="N202" s="511">
        <v>-0.6</v>
      </c>
      <c r="O202" s="887">
        <v>0.2</v>
      </c>
      <c r="P202" s="887">
        <v>0</v>
      </c>
      <c r="Q202" s="887">
        <v>0.5</v>
      </c>
      <c r="R202" s="887">
        <v>1.3</v>
      </c>
      <c r="S202" s="887">
        <v>0.7</v>
      </c>
      <c r="T202" s="887">
        <v>0.9</v>
      </c>
      <c r="U202" s="857"/>
      <c r="V202" s="651">
        <v>-0.27</v>
      </c>
      <c r="W202" s="887">
        <v>-1.5</v>
      </c>
      <c r="X202" s="887">
        <v>0.2</v>
      </c>
      <c r="Y202" s="887">
        <v>-0.78</v>
      </c>
      <c r="Z202" s="887">
        <v>0.4</v>
      </c>
      <c r="AA202" s="887">
        <v>0.2</v>
      </c>
      <c r="AB202" s="887">
        <v>0.3</v>
      </c>
      <c r="AC202" s="887">
        <v>0.5</v>
      </c>
      <c r="AD202" s="214"/>
    </row>
    <row r="203" spans="1:30" ht="14.25">
      <c r="A203" s="498"/>
      <c r="B203" s="499"/>
      <c r="C203" s="500">
        <v>5</v>
      </c>
      <c r="D203" s="836">
        <v>-0.44</v>
      </c>
      <c r="E203" s="511">
        <v>-1.5</v>
      </c>
      <c r="F203" s="511">
        <v>1.9</v>
      </c>
      <c r="G203" s="511">
        <v>1.3</v>
      </c>
      <c r="H203" s="511">
        <v>1.2</v>
      </c>
      <c r="I203" s="511">
        <v>-0.4</v>
      </c>
      <c r="J203" s="511">
        <v>-1.8</v>
      </c>
      <c r="K203" s="511">
        <v>0.1</v>
      </c>
      <c r="L203" s="426"/>
      <c r="M203" s="511">
        <v>-0.53800000000000003</v>
      </c>
      <c r="N203" s="511">
        <v>0.4</v>
      </c>
      <c r="O203" s="887">
        <v>1</v>
      </c>
      <c r="P203" s="887">
        <v>0.1</v>
      </c>
      <c r="Q203" s="887">
        <v>1.1000000000000001</v>
      </c>
      <c r="R203" s="887">
        <v>0.7</v>
      </c>
      <c r="S203" s="887">
        <v>1</v>
      </c>
      <c r="T203" s="887">
        <v>-0.9</v>
      </c>
      <c r="U203" s="426"/>
      <c r="V203" s="651">
        <v>-0.28000000000000003</v>
      </c>
      <c r="W203" s="887">
        <v>-2.1</v>
      </c>
      <c r="X203" s="887">
        <v>-0.6</v>
      </c>
      <c r="Y203" s="887">
        <v>-1.06</v>
      </c>
      <c r="Z203" s="887">
        <v>0.1</v>
      </c>
      <c r="AA203" s="887">
        <v>-0.3</v>
      </c>
      <c r="AB203" s="887">
        <v>-1.1000000000000001</v>
      </c>
      <c r="AC203" s="887">
        <v>-0.1</v>
      </c>
      <c r="AD203" s="214"/>
    </row>
    <row r="204" spans="1:30" ht="14.25">
      <c r="A204" s="498"/>
      <c r="B204" s="499"/>
      <c r="C204" s="500">
        <v>6</v>
      </c>
      <c r="D204" s="836">
        <v>-0.39</v>
      </c>
      <c r="E204" s="511">
        <v>1.4</v>
      </c>
      <c r="F204" s="511">
        <v>-0.8</v>
      </c>
      <c r="G204" s="511">
        <v>-0.4</v>
      </c>
      <c r="H204" s="511">
        <v>-0.9</v>
      </c>
      <c r="I204" s="511">
        <v>-0.8</v>
      </c>
      <c r="J204" s="511">
        <v>2.4</v>
      </c>
      <c r="K204" s="511">
        <v>0.1</v>
      </c>
      <c r="L204" s="426"/>
      <c r="M204" s="511">
        <v>-0.217</v>
      </c>
      <c r="N204" s="511">
        <v>0.6</v>
      </c>
      <c r="O204" s="887">
        <v>-1</v>
      </c>
      <c r="P204" s="887">
        <v>0</v>
      </c>
      <c r="Q204" s="887">
        <v>0.6</v>
      </c>
      <c r="R204" s="887">
        <v>1.2</v>
      </c>
      <c r="S204" s="887">
        <v>1</v>
      </c>
      <c r="T204" s="887">
        <v>0.1</v>
      </c>
      <c r="U204" s="426"/>
      <c r="V204" s="652">
        <v>-0.27</v>
      </c>
      <c r="W204" s="887">
        <v>0.7</v>
      </c>
      <c r="X204" s="887">
        <v>0.4</v>
      </c>
      <c r="Y204" s="887">
        <v>-0.8</v>
      </c>
      <c r="Z204" s="887">
        <v>-0.1</v>
      </c>
      <c r="AA204" s="887">
        <v>0.2</v>
      </c>
      <c r="AB204" s="887">
        <v>-1</v>
      </c>
      <c r="AC204" s="887">
        <v>0.3</v>
      </c>
      <c r="AD204" s="214"/>
    </row>
    <row r="205" spans="1:30" ht="14.25">
      <c r="A205" s="498"/>
      <c r="B205" s="499"/>
      <c r="C205" s="500">
        <v>7</v>
      </c>
      <c r="D205" s="863">
        <v>-0.35</v>
      </c>
      <c r="E205" s="513">
        <v>1.6</v>
      </c>
      <c r="F205" s="512">
        <v>1</v>
      </c>
      <c r="G205" s="512">
        <v>0.4</v>
      </c>
      <c r="H205" s="844">
        <v>1.1000000000000001</v>
      </c>
      <c r="I205" s="512">
        <v>0.7</v>
      </c>
      <c r="J205" s="512">
        <v>-1.8</v>
      </c>
      <c r="K205" s="512">
        <v>2.4</v>
      </c>
      <c r="L205" s="842"/>
      <c r="M205" s="512">
        <v>0.14599999999999999</v>
      </c>
      <c r="N205" s="512">
        <v>1.4</v>
      </c>
      <c r="O205" s="1149">
        <v>1.4</v>
      </c>
      <c r="P205" s="1149">
        <v>0</v>
      </c>
      <c r="Q205" s="1149">
        <v>0</v>
      </c>
      <c r="R205" s="1149">
        <v>-0.3</v>
      </c>
      <c r="S205" s="1149">
        <v>0.2</v>
      </c>
      <c r="T205" s="1149">
        <v>0.4</v>
      </c>
      <c r="U205" s="842"/>
      <c r="V205" s="861">
        <v>-0.24</v>
      </c>
      <c r="W205" s="1149">
        <v>-0.5</v>
      </c>
      <c r="X205" s="1149">
        <v>-0.3</v>
      </c>
      <c r="Y205" s="1149">
        <v>-1.59</v>
      </c>
      <c r="Z205" s="1149">
        <v>-0.1</v>
      </c>
      <c r="AA205" s="1149">
        <v>-0.9</v>
      </c>
      <c r="AB205" s="1149">
        <v>-0.9</v>
      </c>
      <c r="AC205" s="1149">
        <v>0.2</v>
      </c>
      <c r="AD205" s="214"/>
    </row>
    <row r="206" spans="1:30" ht="14.25">
      <c r="A206" s="498"/>
      <c r="B206" s="499"/>
      <c r="C206" s="500">
        <v>8</v>
      </c>
      <c r="D206" s="863">
        <v>-0.35</v>
      </c>
      <c r="E206" s="513">
        <v>0.3</v>
      </c>
      <c r="F206" s="512">
        <v>-0.4</v>
      </c>
      <c r="G206" s="512">
        <v>2.2000000000000002</v>
      </c>
      <c r="H206" s="512">
        <v>4.9000000000000004</v>
      </c>
      <c r="I206" s="512">
        <v>-0.5</v>
      </c>
      <c r="J206" s="512">
        <v>2.8</v>
      </c>
      <c r="K206" s="512">
        <v>2.6</v>
      </c>
      <c r="L206" s="842"/>
      <c r="M206" s="512">
        <v>0.16400000000000001</v>
      </c>
      <c r="N206" s="512">
        <v>0.5</v>
      </c>
      <c r="O206" s="1149">
        <v>1.9</v>
      </c>
      <c r="P206" s="1149">
        <v>0.2</v>
      </c>
      <c r="Q206" s="1149">
        <v>0.3</v>
      </c>
      <c r="R206" s="1149">
        <v>0.3</v>
      </c>
      <c r="S206" s="1149">
        <v>-0.1</v>
      </c>
      <c r="T206" s="1149">
        <v>-0.3</v>
      </c>
      <c r="U206" s="842"/>
      <c r="V206" s="861">
        <v>-0.24</v>
      </c>
      <c r="W206" s="1149">
        <v>1.2</v>
      </c>
      <c r="X206" s="1149">
        <v>0.3</v>
      </c>
      <c r="Y206" s="1149">
        <v>0.68</v>
      </c>
      <c r="Z206" s="1149">
        <v>-0.2</v>
      </c>
      <c r="AA206" s="1149">
        <v>0</v>
      </c>
      <c r="AB206" s="1149">
        <v>0.2</v>
      </c>
      <c r="AC206" s="1149">
        <v>-0.2</v>
      </c>
      <c r="AD206" s="214"/>
    </row>
    <row r="207" spans="1:30" ht="14.25">
      <c r="A207" s="498"/>
      <c r="B207" s="499"/>
      <c r="C207" s="500">
        <v>9</v>
      </c>
      <c r="D207" s="863">
        <v>-0.31</v>
      </c>
      <c r="E207" s="513">
        <v>1.1000000000000001</v>
      </c>
      <c r="F207" s="512">
        <v>0</v>
      </c>
      <c r="G207" s="512">
        <v>1.2</v>
      </c>
      <c r="H207" s="512">
        <v>-1.7</v>
      </c>
      <c r="I207" s="512">
        <v>0.2</v>
      </c>
      <c r="J207" s="512">
        <v>1.3</v>
      </c>
      <c r="K207" s="512">
        <v>2.7</v>
      </c>
      <c r="L207" s="842"/>
      <c r="M207" s="512">
        <v>0.92700000000000005</v>
      </c>
      <c r="N207" s="512">
        <v>1.2</v>
      </c>
      <c r="O207" s="1149">
        <v>0</v>
      </c>
      <c r="P207" s="1149">
        <v>-0.2</v>
      </c>
      <c r="Q207" s="1149">
        <v>0.8</v>
      </c>
      <c r="R207" s="1149">
        <v>0.9</v>
      </c>
      <c r="S207" s="1149">
        <v>0.4</v>
      </c>
      <c r="T207" s="1149">
        <v>-0.3</v>
      </c>
      <c r="U207" s="842"/>
      <c r="V207" s="861">
        <v>-0.21</v>
      </c>
      <c r="W207" s="1149">
        <v>-0.2</v>
      </c>
      <c r="X207" s="1149">
        <v>0.1</v>
      </c>
      <c r="Y207" s="1149">
        <v>0.26</v>
      </c>
      <c r="Z207" s="1149">
        <v>0.5</v>
      </c>
      <c r="AA207" s="1149">
        <v>-0.2</v>
      </c>
      <c r="AB207" s="1149">
        <v>-0.1</v>
      </c>
      <c r="AC207" s="1149">
        <v>-0.4</v>
      </c>
      <c r="AD207" s="214"/>
    </row>
    <row r="208" spans="1:30" ht="14.25">
      <c r="A208" s="761"/>
      <c r="B208" s="762"/>
      <c r="C208" s="763">
        <v>10</v>
      </c>
      <c r="D208" s="863">
        <v>-0.23</v>
      </c>
      <c r="E208" s="845">
        <v>1.5</v>
      </c>
      <c r="F208" s="844">
        <v>-0.3</v>
      </c>
      <c r="G208" s="844">
        <v>0.3</v>
      </c>
      <c r="H208" s="844">
        <v>-0.1</v>
      </c>
      <c r="I208" s="844">
        <v>-0.3</v>
      </c>
      <c r="J208" s="844">
        <v>-0.4</v>
      </c>
      <c r="K208" s="844">
        <v>-0.4</v>
      </c>
      <c r="L208" s="842"/>
      <c r="M208" s="844">
        <v>0.96199999999999997</v>
      </c>
      <c r="N208" s="844">
        <v>0.7</v>
      </c>
      <c r="O208" s="1150">
        <v>0.8</v>
      </c>
      <c r="P208" s="1150">
        <v>0.6</v>
      </c>
      <c r="Q208" s="1150">
        <v>0.8</v>
      </c>
      <c r="R208" s="1150">
        <v>0.4</v>
      </c>
      <c r="S208" s="1150">
        <v>0.8</v>
      </c>
      <c r="T208" s="1150">
        <v>-0.4</v>
      </c>
      <c r="U208" s="842"/>
      <c r="V208" s="861">
        <v>-0.15</v>
      </c>
      <c r="W208" s="1150">
        <v>0.3</v>
      </c>
      <c r="X208" s="1150">
        <v>0.7</v>
      </c>
      <c r="Y208" s="1150">
        <v>1.22</v>
      </c>
      <c r="Z208" s="1150">
        <v>-0.2</v>
      </c>
      <c r="AA208" s="1150">
        <v>1.6</v>
      </c>
      <c r="AB208" s="1150">
        <v>-0.1</v>
      </c>
      <c r="AC208" s="1150">
        <v>0.5</v>
      </c>
      <c r="AD208" s="214"/>
    </row>
    <row r="209" spans="1:30" ht="14.25">
      <c r="A209" s="761"/>
      <c r="B209" s="762"/>
      <c r="C209" s="763">
        <v>11</v>
      </c>
      <c r="D209" s="863">
        <v>-0.18</v>
      </c>
      <c r="E209" s="845">
        <v>-2.2999999999999998</v>
      </c>
      <c r="F209" s="844">
        <v>0.8</v>
      </c>
      <c r="G209" s="844">
        <v>-0.1</v>
      </c>
      <c r="H209" s="844">
        <v>-0.2</v>
      </c>
      <c r="I209" s="844">
        <v>0.7</v>
      </c>
      <c r="J209" s="844">
        <v>0.3</v>
      </c>
      <c r="K209" s="844">
        <v>-0.5</v>
      </c>
      <c r="L209" s="842"/>
      <c r="M209" s="844">
        <v>-0.65500000000000003</v>
      </c>
      <c r="N209" s="844">
        <v>0.6</v>
      </c>
      <c r="O209" s="1150">
        <v>-0.6</v>
      </c>
      <c r="P209" s="1150">
        <v>-0.1</v>
      </c>
      <c r="Q209" s="1150">
        <v>0.3</v>
      </c>
      <c r="R209" s="1150">
        <v>0.5</v>
      </c>
      <c r="S209" s="1150">
        <v>0.1</v>
      </c>
      <c r="T209" s="1150">
        <v>0.6</v>
      </c>
      <c r="U209" s="842"/>
      <c r="V209" s="861">
        <v>-0.13</v>
      </c>
      <c r="W209" s="1150">
        <v>0.9</v>
      </c>
      <c r="X209" s="1150">
        <v>-0.2</v>
      </c>
      <c r="Y209" s="1150">
        <v>-0.19</v>
      </c>
      <c r="Z209" s="1150">
        <v>-0.5</v>
      </c>
      <c r="AA209" s="1150">
        <v>-1.7</v>
      </c>
      <c r="AB209" s="1150">
        <v>1</v>
      </c>
      <c r="AC209" s="1150">
        <v>0.3</v>
      </c>
      <c r="AD209" s="214"/>
    </row>
    <row r="210" spans="1:30" ht="14.25">
      <c r="A210" s="846"/>
      <c r="B210" s="847"/>
      <c r="C210" s="848">
        <v>12</v>
      </c>
      <c r="D210" s="864">
        <v>-0.26</v>
      </c>
      <c r="E210" s="849">
        <v>0.6</v>
      </c>
      <c r="F210" s="849">
        <v>-1</v>
      </c>
      <c r="G210" s="849">
        <v>0.6</v>
      </c>
      <c r="H210" s="849">
        <v>-0.8</v>
      </c>
      <c r="I210" s="849">
        <v>0.3</v>
      </c>
      <c r="J210" s="849">
        <v>0</v>
      </c>
      <c r="K210" s="849">
        <v>-0.4</v>
      </c>
      <c r="L210" s="843"/>
      <c r="M210" s="849">
        <v>0.55700000000000005</v>
      </c>
      <c r="N210" s="849">
        <v>0.5</v>
      </c>
      <c r="O210" s="888">
        <v>-0.2</v>
      </c>
      <c r="P210" s="888">
        <v>-0.3</v>
      </c>
      <c r="Q210" s="888">
        <v>-0.1</v>
      </c>
      <c r="R210" s="888">
        <v>-0.1</v>
      </c>
      <c r="S210" s="888">
        <v>-0.2</v>
      </c>
      <c r="T210" s="888">
        <v>0</v>
      </c>
      <c r="U210" s="843"/>
      <c r="V210" s="840">
        <v>-0.17</v>
      </c>
      <c r="W210" s="888">
        <v>-0.3</v>
      </c>
      <c r="X210" s="888">
        <v>0.2</v>
      </c>
      <c r="Y210" s="888">
        <v>0.53</v>
      </c>
      <c r="Z210" s="888">
        <v>0.5</v>
      </c>
      <c r="AA210" s="888">
        <v>0.6</v>
      </c>
      <c r="AB210" s="888">
        <v>-0.2</v>
      </c>
      <c r="AC210" s="888">
        <v>-0.5</v>
      </c>
      <c r="AD210" s="214"/>
    </row>
    <row r="211" spans="1:30" ht="14.25">
      <c r="A211" s="761" t="s">
        <v>377</v>
      </c>
      <c r="B211" s="762">
        <v>2010</v>
      </c>
      <c r="C211" s="763">
        <v>1</v>
      </c>
      <c r="D211" s="865">
        <v>-7.0000000000000007E-2</v>
      </c>
      <c r="E211" s="850">
        <v>1.2</v>
      </c>
      <c r="F211" s="850">
        <v>1.3</v>
      </c>
      <c r="G211" s="850">
        <v>0.6</v>
      </c>
      <c r="H211" s="850">
        <v>-0.5</v>
      </c>
      <c r="I211" s="850">
        <v>0</v>
      </c>
      <c r="J211" s="850">
        <v>0.3</v>
      </c>
      <c r="K211" s="850">
        <v>1</v>
      </c>
      <c r="L211" s="426"/>
      <c r="M211" s="850">
        <v>0.159</v>
      </c>
      <c r="N211" s="850">
        <v>1</v>
      </c>
      <c r="O211" s="887">
        <v>1.5</v>
      </c>
      <c r="P211" s="887">
        <v>1.3</v>
      </c>
      <c r="Q211" s="887">
        <v>1</v>
      </c>
      <c r="R211" s="887">
        <v>0.4</v>
      </c>
      <c r="S211" s="887">
        <v>2.2000000000000002</v>
      </c>
      <c r="T211" s="887">
        <v>0.5</v>
      </c>
      <c r="U211" s="426"/>
      <c r="V211" s="841">
        <v>-0.09</v>
      </c>
      <c r="W211" s="887">
        <v>-0.8</v>
      </c>
      <c r="X211" s="887">
        <v>0.8</v>
      </c>
      <c r="Y211" s="887">
        <v>0.86</v>
      </c>
      <c r="Z211" s="887">
        <v>-0.2</v>
      </c>
      <c r="AA211" s="887">
        <v>1.2</v>
      </c>
      <c r="AB211" s="887">
        <v>0.7</v>
      </c>
      <c r="AC211" s="887">
        <v>-1</v>
      </c>
      <c r="AD211" s="214"/>
    </row>
    <row r="212" spans="1:30" ht="14.25">
      <c r="A212" s="761"/>
      <c r="B212" s="762"/>
      <c r="C212" s="763">
        <v>2</v>
      </c>
      <c r="D212" s="836">
        <v>-0.2</v>
      </c>
      <c r="E212" s="850">
        <v>0</v>
      </c>
      <c r="F212" s="850">
        <v>-0.9</v>
      </c>
      <c r="G212" s="850">
        <v>0.6</v>
      </c>
      <c r="H212" s="850">
        <v>0.2</v>
      </c>
      <c r="I212" s="850">
        <v>-0.6</v>
      </c>
      <c r="J212" s="850">
        <v>-0.4</v>
      </c>
      <c r="K212" s="850">
        <v>1</v>
      </c>
      <c r="L212" s="426"/>
      <c r="M212" s="850">
        <v>1.4910000000000001</v>
      </c>
      <c r="N212" s="850">
        <v>-0.1</v>
      </c>
      <c r="O212" s="887">
        <v>0.5</v>
      </c>
      <c r="P212" s="887">
        <v>0</v>
      </c>
      <c r="Q212" s="887">
        <v>0.1</v>
      </c>
      <c r="R212" s="887">
        <v>0.2</v>
      </c>
      <c r="S212" s="887">
        <v>-1</v>
      </c>
      <c r="T212" s="887">
        <v>-1.5</v>
      </c>
      <c r="U212" s="426"/>
      <c r="V212" s="841">
        <v>-0.18</v>
      </c>
      <c r="W212" s="887">
        <v>2.2999999999999998</v>
      </c>
      <c r="X212" s="887">
        <v>0.5</v>
      </c>
      <c r="Y212" s="887">
        <v>0.32</v>
      </c>
      <c r="Z212" s="887">
        <v>0.5</v>
      </c>
      <c r="AA212" s="887">
        <v>-1.3</v>
      </c>
      <c r="AB212" s="887">
        <v>0.2</v>
      </c>
      <c r="AC212" s="887">
        <v>0.7</v>
      </c>
      <c r="AD212" s="214"/>
    </row>
    <row r="213" spans="1:30" ht="14.25">
      <c r="A213" s="761"/>
      <c r="B213" s="762"/>
      <c r="C213" s="763">
        <v>3</v>
      </c>
      <c r="D213" s="836">
        <v>-7.0000000000000007E-2</v>
      </c>
      <c r="E213" s="850">
        <v>1.4</v>
      </c>
      <c r="F213" s="850">
        <v>1.7</v>
      </c>
      <c r="G213" s="850">
        <v>0</v>
      </c>
      <c r="H213" s="850">
        <v>-0.1</v>
      </c>
      <c r="I213" s="850">
        <v>0.2</v>
      </c>
      <c r="J213" s="850">
        <v>-2.4</v>
      </c>
      <c r="K213" s="850">
        <v>0.9</v>
      </c>
      <c r="L213" s="426"/>
      <c r="M213" s="850">
        <v>0.59699999999999998</v>
      </c>
      <c r="N213" s="850">
        <v>0.6</v>
      </c>
      <c r="O213" s="887">
        <v>-0.2</v>
      </c>
      <c r="P213" s="887">
        <v>0.9</v>
      </c>
      <c r="Q213" s="887">
        <v>0.3</v>
      </c>
      <c r="R213" s="887">
        <v>0.3</v>
      </c>
      <c r="S213" s="887">
        <v>0.5</v>
      </c>
      <c r="T213" s="887">
        <v>1.1000000000000001</v>
      </c>
      <c r="U213" s="426"/>
      <c r="V213" s="841">
        <v>-0.06</v>
      </c>
      <c r="W213" s="887">
        <v>-1.4</v>
      </c>
      <c r="X213" s="887">
        <v>0.7</v>
      </c>
      <c r="Y213" s="887">
        <v>-0.51</v>
      </c>
      <c r="Z213" s="887">
        <v>-0.3</v>
      </c>
      <c r="AA213" s="887">
        <v>1</v>
      </c>
      <c r="AB213" s="887">
        <v>0.2</v>
      </c>
      <c r="AC213" s="887">
        <v>1</v>
      </c>
      <c r="AD213" s="214"/>
    </row>
    <row r="214" spans="1:30" ht="14.25">
      <c r="A214" s="761"/>
      <c r="B214" s="762"/>
      <c r="C214" s="763">
        <v>4</v>
      </c>
      <c r="D214" s="836">
        <v>-0.06</v>
      </c>
      <c r="E214" s="850">
        <v>-1.9</v>
      </c>
      <c r="F214" s="850">
        <v>-0.2</v>
      </c>
      <c r="G214" s="850">
        <v>-0.6</v>
      </c>
      <c r="H214" s="850">
        <v>0.5</v>
      </c>
      <c r="I214" s="850">
        <v>0.3</v>
      </c>
      <c r="J214" s="850">
        <v>1</v>
      </c>
      <c r="K214" s="850">
        <v>0.7</v>
      </c>
      <c r="L214" s="426"/>
      <c r="M214" s="850">
        <v>-0.318</v>
      </c>
      <c r="N214" s="850">
        <v>0.9</v>
      </c>
      <c r="O214" s="887">
        <v>-0.3</v>
      </c>
      <c r="P214" s="887">
        <v>0.1</v>
      </c>
      <c r="Q214" s="887">
        <v>-0.2</v>
      </c>
      <c r="R214" s="887">
        <v>-0.2</v>
      </c>
      <c r="S214" s="887">
        <v>0.1</v>
      </c>
      <c r="T214" s="887">
        <v>-0.5</v>
      </c>
      <c r="U214" s="426"/>
      <c r="V214" s="841">
        <v>-0.06</v>
      </c>
      <c r="W214" s="887">
        <v>-0.9</v>
      </c>
      <c r="X214" s="887">
        <v>0.2</v>
      </c>
      <c r="Y214" s="887">
        <v>0.06</v>
      </c>
      <c r="Z214" s="887">
        <v>0.5</v>
      </c>
      <c r="AA214" s="887">
        <v>-0.6</v>
      </c>
      <c r="AB214" s="887">
        <v>-0.9</v>
      </c>
      <c r="AC214" s="887">
        <v>0.3</v>
      </c>
      <c r="AD214" s="214"/>
    </row>
    <row r="215" spans="1:30" ht="14.25">
      <c r="A215" s="761"/>
      <c r="B215" s="762"/>
      <c r="C215" s="763">
        <v>5</v>
      </c>
      <c r="D215" s="836">
        <v>0.04</v>
      </c>
      <c r="E215" s="850">
        <v>1.8</v>
      </c>
      <c r="F215" s="850">
        <v>0.6</v>
      </c>
      <c r="G215" s="850">
        <v>0.2</v>
      </c>
      <c r="H215" s="850">
        <v>0.1</v>
      </c>
      <c r="I215" s="850">
        <v>1</v>
      </c>
      <c r="J215" s="850">
        <v>-0.3</v>
      </c>
      <c r="K215" s="850">
        <v>0.7</v>
      </c>
      <c r="L215" s="426"/>
      <c r="M215" s="850">
        <v>1.085</v>
      </c>
      <c r="N215" s="850">
        <v>1.8</v>
      </c>
      <c r="O215" s="887">
        <v>0.2</v>
      </c>
      <c r="P215" s="887">
        <v>0.2</v>
      </c>
      <c r="Q215" s="887">
        <v>-0.3</v>
      </c>
      <c r="R215" s="887">
        <v>-0.1</v>
      </c>
      <c r="S215" s="887">
        <v>-0.1</v>
      </c>
      <c r="T215" s="887">
        <v>1</v>
      </c>
      <c r="U215" s="426"/>
      <c r="V215" s="841">
        <v>0.04</v>
      </c>
      <c r="W215" s="887">
        <v>-0.9</v>
      </c>
      <c r="X215" s="887">
        <v>-0.1</v>
      </c>
      <c r="Y215" s="887">
        <v>-0.21</v>
      </c>
      <c r="Z215" s="887">
        <v>-0.7</v>
      </c>
      <c r="AA215" s="887">
        <v>0.4</v>
      </c>
      <c r="AB215" s="887">
        <v>0.7</v>
      </c>
      <c r="AC215" s="887">
        <v>-0.3</v>
      </c>
      <c r="AD215" s="214"/>
    </row>
    <row r="216" spans="1:30" ht="14.25">
      <c r="A216" s="761"/>
      <c r="B216" s="762"/>
      <c r="C216" s="763">
        <v>6</v>
      </c>
      <c r="D216" s="836">
        <v>-0.06</v>
      </c>
      <c r="E216" s="850">
        <v>2.2000000000000002</v>
      </c>
      <c r="F216" s="850">
        <v>0</v>
      </c>
      <c r="G216" s="850">
        <v>-0.3</v>
      </c>
      <c r="H216" s="850">
        <v>0.8</v>
      </c>
      <c r="I216" s="850">
        <v>0.2</v>
      </c>
      <c r="J216" s="850">
        <v>2.2000000000000002</v>
      </c>
      <c r="K216" s="850">
        <v>0.7</v>
      </c>
      <c r="L216" s="426"/>
      <c r="M216" s="850">
        <v>0.61</v>
      </c>
      <c r="N216" s="850">
        <v>-0.9</v>
      </c>
      <c r="O216" s="887">
        <v>0</v>
      </c>
      <c r="P216" s="887">
        <v>-0.6</v>
      </c>
      <c r="Q216" s="887">
        <v>0</v>
      </c>
      <c r="R216" s="887">
        <v>0.1</v>
      </c>
      <c r="S216" s="887">
        <v>-0.3</v>
      </c>
      <c r="T216" s="887">
        <v>-0.3</v>
      </c>
      <c r="U216" s="426"/>
      <c r="V216" s="841">
        <v>-0.06</v>
      </c>
      <c r="W216" s="887">
        <v>1.2</v>
      </c>
      <c r="X216" s="887">
        <v>-0.4</v>
      </c>
      <c r="Y216" s="887">
        <v>-0.25</v>
      </c>
      <c r="Z216" s="887">
        <v>1.2</v>
      </c>
      <c r="AA216" s="887">
        <v>0.2</v>
      </c>
      <c r="AB216" s="887">
        <v>-0.2</v>
      </c>
      <c r="AC216" s="887">
        <v>0.4</v>
      </c>
      <c r="AD216" s="214"/>
    </row>
    <row r="217" spans="1:30" ht="14.25">
      <c r="A217" s="761"/>
      <c r="B217" s="762"/>
      <c r="C217" s="763">
        <v>7</v>
      </c>
      <c r="D217" s="836">
        <v>-0.12</v>
      </c>
      <c r="E217" s="850">
        <v>-1.4</v>
      </c>
      <c r="F217" s="850">
        <v>-1.3</v>
      </c>
      <c r="G217" s="850">
        <v>-0.4</v>
      </c>
      <c r="H217" s="850">
        <v>1.1000000000000001</v>
      </c>
      <c r="I217" s="850">
        <v>-0.9</v>
      </c>
      <c r="J217" s="850">
        <v>-1.5</v>
      </c>
      <c r="K217" s="850">
        <v>0.7</v>
      </c>
      <c r="L217" s="426"/>
      <c r="M217" s="850">
        <v>1.5429999999999999</v>
      </c>
      <c r="N217" s="850">
        <v>0.7</v>
      </c>
      <c r="O217" s="887">
        <v>1.2</v>
      </c>
      <c r="P217" s="887">
        <v>0.6</v>
      </c>
      <c r="Q217" s="887">
        <v>0.4</v>
      </c>
      <c r="R217" s="887">
        <v>-0.2</v>
      </c>
      <c r="S217" s="887">
        <v>-0.3</v>
      </c>
      <c r="T217" s="887">
        <v>-2</v>
      </c>
      <c r="U217" s="426"/>
      <c r="V217" s="841">
        <v>-0.06</v>
      </c>
      <c r="W217" s="887">
        <v>2.5</v>
      </c>
      <c r="X217" s="887">
        <v>0.5</v>
      </c>
      <c r="Y217" s="887">
        <v>1.0900000000000001</v>
      </c>
      <c r="Z217" s="887">
        <v>-0.2</v>
      </c>
      <c r="AA217" s="887">
        <v>0.9</v>
      </c>
      <c r="AB217" s="887">
        <v>0</v>
      </c>
      <c r="AC217" s="887">
        <v>-0.9</v>
      </c>
      <c r="AD217" s="214"/>
    </row>
    <row r="218" spans="1:30" ht="14.25">
      <c r="A218" s="761"/>
      <c r="B218" s="762"/>
      <c r="C218" s="763">
        <v>8</v>
      </c>
      <c r="D218" s="836">
        <v>0</v>
      </c>
      <c r="E218" s="850">
        <v>0.7</v>
      </c>
      <c r="F218" s="850">
        <v>-0.1</v>
      </c>
      <c r="G218" s="850">
        <v>-0.1</v>
      </c>
      <c r="H218" s="850">
        <v>3.1</v>
      </c>
      <c r="I218" s="850">
        <v>-0.2</v>
      </c>
      <c r="J218" s="850">
        <v>-0.7</v>
      </c>
      <c r="K218" s="850">
        <v>0.7</v>
      </c>
      <c r="L218" s="426"/>
      <c r="M218" s="850">
        <v>0.61199999999999999</v>
      </c>
      <c r="N218" s="850">
        <v>-0.4</v>
      </c>
      <c r="O218" s="887">
        <v>0</v>
      </c>
      <c r="P218" s="887">
        <v>-0.1</v>
      </c>
      <c r="Q218" s="887">
        <v>0.5</v>
      </c>
      <c r="R218" s="887">
        <v>0.7</v>
      </c>
      <c r="S218" s="887">
        <v>0.4</v>
      </c>
      <c r="T218" s="887">
        <v>1.9</v>
      </c>
      <c r="U218" s="426"/>
      <c r="V218" s="841">
        <v>0</v>
      </c>
      <c r="W218" s="887">
        <v>-0.5</v>
      </c>
      <c r="X218" s="887">
        <v>0</v>
      </c>
      <c r="Y218" s="887">
        <v>-0.14000000000000001</v>
      </c>
      <c r="Z218" s="887">
        <v>0</v>
      </c>
      <c r="AA218" s="887">
        <v>-1.2</v>
      </c>
      <c r="AB218" s="887">
        <v>0</v>
      </c>
      <c r="AC218" s="887">
        <v>0.4</v>
      </c>
      <c r="AD218" s="214"/>
    </row>
    <row r="219" spans="1:30" ht="14.25">
      <c r="A219" s="761"/>
      <c r="B219" s="762"/>
      <c r="C219" s="763">
        <v>9</v>
      </c>
      <c r="D219" s="836">
        <v>0.02</v>
      </c>
      <c r="E219" s="850">
        <v>2.2000000000000002</v>
      </c>
      <c r="F219" s="850">
        <v>1.7</v>
      </c>
      <c r="G219" s="850">
        <v>0.3</v>
      </c>
      <c r="H219" s="850">
        <v>-2.5</v>
      </c>
      <c r="I219" s="850">
        <v>-0.9</v>
      </c>
      <c r="J219" s="850">
        <v>1.9</v>
      </c>
      <c r="K219" s="850">
        <v>0.8</v>
      </c>
      <c r="L219" s="426"/>
      <c r="M219" s="850">
        <v>1.1299999999999999</v>
      </c>
      <c r="N219" s="850">
        <v>0.7</v>
      </c>
      <c r="O219" s="887">
        <v>-0.5</v>
      </c>
      <c r="P219" s="887">
        <v>0.7</v>
      </c>
      <c r="Q219" s="887">
        <v>0</v>
      </c>
      <c r="R219" s="887">
        <v>-0.4</v>
      </c>
      <c r="S219" s="887">
        <v>-0.4</v>
      </c>
      <c r="T219" s="887">
        <v>-0.5</v>
      </c>
      <c r="U219" s="426"/>
      <c r="V219" s="841">
        <v>0.01</v>
      </c>
      <c r="W219" s="887">
        <v>1.3</v>
      </c>
      <c r="X219" s="887">
        <v>0.5</v>
      </c>
      <c r="Y219" s="887">
        <v>-0.27</v>
      </c>
      <c r="Z219" s="887">
        <v>0.2</v>
      </c>
      <c r="AA219" s="887">
        <v>0.3</v>
      </c>
      <c r="AB219" s="887">
        <v>-0.4</v>
      </c>
      <c r="AC219" s="887">
        <v>0.1</v>
      </c>
      <c r="AD219" s="214"/>
    </row>
    <row r="220" spans="1:30" ht="14.25">
      <c r="A220" s="761"/>
      <c r="B220" s="762"/>
      <c r="C220" s="763">
        <v>10</v>
      </c>
      <c r="D220" s="836">
        <v>0.04</v>
      </c>
      <c r="E220" s="850">
        <v>-0.6</v>
      </c>
      <c r="F220" s="850">
        <v>-0.9</v>
      </c>
      <c r="G220" s="850">
        <v>-3.3</v>
      </c>
      <c r="H220" s="850">
        <v>-3.7</v>
      </c>
      <c r="I220" s="850">
        <v>0.9</v>
      </c>
      <c r="J220" s="850">
        <v>0.7</v>
      </c>
      <c r="K220" s="850">
        <v>-0.3</v>
      </c>
      <c r="L220" s="426"/>
      <c r="M220" s="850">
        <v>0.629</v>
      </c>
      <c r="N220" s="850">
        <v>0.5</v>
      </c>
      <c r="O220" s="887">
        <v>0.2</v>
      </c>
      <c r="P220" s="887">
        <v>-0.5</v>
      </c>
      <c r="Q220" s="887">
        <v>-0.2</v>
      </c>
      <c r="R220" s="887">
        <v>0</v>
      </c>
      <c r="S220" s="887">
        <v>-0.5</v>
      </c>
      <c r="T220" s="887">
        <v>0.5</v>
      </c>
      <c r="U220" s="426"/>
      <c r="V220" s="841">
        <v>0.04</v>
      </c>
      <c r="W220" s="887">
        <v>0.6</v>
      </c>
      <c r="X220" s="887">
        <v>-0.3</v>
      </c>
      <c r="Y220" s="887">
        <v>0.38</v>
      </c>
      <c r="Z220" s="887">
        <v>0.2</v>
      </c>
      <c r="AA220" s="887">
        <v>-0.4</v>
      </c>
      <c r="AB220" s="887">
        <v>1.3</v>
      </c>
      <c r="AC220" s="887">
        <v>0.1</v>
      </c>
      <c r="AD220" s="214"/>
    </row>
    <row r="221" spans="1:30" ht="14.25">
      <c r="A221" s="761"/>
      <c r="B221" s="762"/>
      <c r="C221" s="763">
        <v>11</v>
      </c>
      <c r="D221" s="836">
        <v>-0.11</v>
      </c>
      <c r="E221" s="850">
        <v>-1.2</v>
      </c>
      <c r="F221" s="850">
        <v>1.1000000000000001</v>
      </c>
      <c r="G221" s="850">
        <v>2.4</v>
      </c>
      <c r="H221" s="850">
        <v>-1.4</v>
      </c>
      <c r="I221" s="850">
        <v>1.7</v>
      </c>
      <c r="J221" s="850">
        <v>-1.5</v>
      </c>
      <c r="K221" s="850">
        <v>-0.2</v>
      </c>
      <c r="L221" s="426"/>
      <c r="M221" s="850">
        <v>1.677</v>
      </c>
      <c r="N221" s="850">
        <v>0.7</v>
      </c>
      <c r="O221" s="887">
        <v>0.9</v>
      </c>
      <c r="P221" s="887">
        <v>0.2</v>
      </c>
      <c r="Q221" s="887">
        <v>0.5</v>
      </c>
      <c r="R221" s="887">
        <v>0.4</v>
      </c>
      <c r="S221" s="887">
        <v>1.2</v>
      </c>
      <c r="T221" s="887">
        <v>-1.1000000000000001</v>
      </c>
      <c r="U221" s="426"/>
      <c r="V221" s="841">
        <v>-0.09</v>
      </c>
      <c r="W221" s="887">
        <v>1.2</v>
      </c>
      <c r="X221" s="887">
        <v>0.1</v>
      </c>
      <c r="Y221" s="887">
        <v>0.37</v>
      </c>
      <c r="Z221" s="887">
        <v>0.2</v>
      </c>
      <c r="AA221" s="887">
        <v>0.8</v>
      </c>
      <c r="AB221" s="887">
        <v>0.5</v>
      </c>
      <c r="AC221" s="887">
        <v>0.3</v>
      </c>
      <c r="AD221" s="214"/>
    </row>
    <row r="222" spans="1:30" ht="14.25" customHeight="1">
      <c r="A222" s="846"/>
      <c r="B222" s="847"/>
      <c r="C222" s="848">
        <v>12</v>
      </c>
      <c r="D222" s="866">
        <v>0.08</v>
      </c>
      <c r="E222" s="849">
        <v>1</v>
      </c>
      <c r="F222" s="849">
        <v>0.9</v>
      </c>
      <c r="G222" s="849">
        <v>1.5</v>
      </c>
      <c r="H222" s="849">
        <v>1.6</v>
      </c>
      <c r="I222" s="849">
        <v>-0.7</v>
      </c>
      <c r="J222" s="849">
        <v>-1.1000000000000001</v>
      </c>
      <c r="K222" s="849">
        <v>-0.3</v>
      </c>
      <c r="L222" s="843"/>
      <c r="M222" s="849">
        <v>-0.90200000000000002</v>
      </c>
      <c r="N222" s="849">
        <v>0.4</v>
      </c>
      <c r="O222" s="888">
        <v>2.2999999999999998</v>
      </c>
      <c r="P222" s="888">
        <v>0.3</v>
      </c>
      <c r="Q222" s="888">
        <v>1</v>
      </c>
      <c r="R222" s="888">
        <v>0.7</v>
      </c>
      <c r="S222" s="888">
        <v>-0.6</v>
      </c>
      <c r="T222" s="888">
        <v>0.9</v>
      </c>
      <c r="U222" s="843"/>
      <c r="V222" s="840">
        <v>0.05</v>
      </c>
      <c r="W222" s="888">
        <v>0.9</v>
      </c>
      <c r="X222" s="888">
        <v>0.3</v>
      </c>
      <c r="Y222" s="888">
        <v>1.36</v>
      </c>
      <c r="Z222" s="888">
        <v>-0.8</v>
      </c>
      <c r="AA222" s="888">
        <v>0.6</v>
      </c>
      <c r="AB222" s="888">
        <v>1.2</v>
      </c>
      <c r="AC222" s="888">
        <v>-0.3</v>
      </c>
      <c r="AD222" s="214"/>
    </row>
    <row r="223" spans="1:30" ht="15" customHeight="1">
      <c r="A223" s="761" t="s">
        <v>473</v>
      </c>
      <c r="B223" s="762">
        <v>2011</v>
      </c>
      <c r="C223" s="763">
        <v>1</v>
      </c>
      <c r="D223" s="837">
        <v>-7.0000000000000007E-2</v>
      </c>
      <c r="E223" s="850">
        <v>-0.9</v>
      </c>
      <c r="F223" s="850">
        <v>-3.1</v>
      </c>
      <c r="G223" s="850">
        <v>-1.5</v>
      </c>
      <c r="H223" s="850">
        <v>0.3</v>
      </c>
      <c r="I223" s="850">
        <v>0.1</v>
      </c>
      <c r="J223" s="850">
        <v>2.2000000000000002</v>
      </c>
      <c r="K223" s="850">
        <v>0.5</v>
      </c>
      <c r="L223" s="426"/>
      <c r="M223" s="850">
        <v>0.20699999999999999</v>
      </c>
      <c r="N223" s="850">
        <v>1.1000000000000001</v>
      </c>
      <c r="O223" s="887">
        <v>-2.5</v>
      </c>
      <c r="P223" s="887">
        <v>-0.7</v>
      </c>
      <c r="Q223" s="887">
        <v>-1.1000000000000001</v>
      </c>
      <c r="R223" s="887">
        <v>-0.6</v>
      </c>
      <c r="S223" s="887">
        <v>0.6</v>
      </c>
      <c r="T223" s="887">
        <v>-1</v>
      </c>
      <c r="U223" s="426"/>
      <c r="V223" s="841">
        <v>-0.09</v>
      </c>
      <c r="W223" s="887">
        <v>1.5</v>
      </c>
      <c r="X223" s="887">
        <v>-0.6</v>
      </c>
      <c r="Y223" s="887">
        <v>0.38</v>
      </c>
      <c r="Z223" s="887">
        <v>0.1</v>
      </c>
      <c r="AA223" s="887">
        <v>-1.4</v>
      </c>
      <c r="AB223" s="887">
        <v>-0.4</v>
      </c>
      <c r="AC223" s="887">
        <v>-0.3</v>
      </c>
      <c r="AD223" s="214"/>
    </row>
    <row r="224" spans="1:30" ht="15" customHeight="1">
      <c r="A224" s="761"/>
      <c r="B224" s="762"/>
      <c r="C224" s="763">
        <v>2</v>
      </c>
      <c r="D224" s="836">
        <v>-0.02</v>
      </c>
      <c r="E224" s="850">
        <v>0.9</v>
      </c>
      <c r="F224" s="850">
        <v>-1.5</v>
      </c>
      <c r="G224" s="850">
        <v>-0.2</v>
      </c>
      <c r="H224" s="850">
        <v>0.3</v>
      </c>
      <c r="I224" s="850">
        <v>0.1</v>
      </c>
      <c r="J224" s="850">
        <v>0</v>
      </c>
      <c r="K224" s="850">
        <v>0.5</v>
      </c>
      <c r="L224" s="426"/>
      <c r="M224" s="850">
        <v>1.2809999999999999</v>
      </c>
      <c r="N224" s="850">
        <v>1.2</v>
      </c>
      <c r="O224" s="887">
        <v>-1.7</v>
      </c>
      <c r="P224" s="887">
        <v>0.1</v>
      </c>
      <c r="Q224" s="887">
        <v>0.2</v>
      </c>
      <c r="R224" s="887">
        <v>0.3</v>
      </c>
      <c r="S224" s="887">
        <v>2</v>
      </c>
      <c r="T224" s="887">
        <v>0.7</v>
      </c>
      <c r="U224" s="426"/>
      <c r="V224" s="841">
        <v>-0.04</v>
      </c>
      <c r="W224" s="887">
        <v>-1.4</v>
      </c>
      <c r="X224" s="887">
        <v>0.6</v>
      </c>
      <c r="Y224" s="887">
        <v>1.31</v>
      </c>
      <c r="Z224" s="887">
        <v>0.6</v>
      </c>
      <c r="AA224" s="887">
        <v>-0.4</v>
      </c>
      <c r="AB224" s="887">
        <v>-0.3</v>
      </c>
      <c r="AC224" s="887">
        <v>0.8</v>
      </c>
      <c r="AD224" s="214"/>
    </row>
    <row r="225" spans="1:30" ht="15" customHeight="1">
      <c r="A225" s="761"/>
      <c r="B225" s="762"/>
      <c r="C225" s="763">
        <v>3</v>
      </c>
      <c r="D225" s="836">
        <v>-0.71</v>
      </c>
      <c r="E225" s="850">
        <v>-4.2</v>
      </c>
      <c r="F225" s="850">
        <v>-6.8</v>
      </c>
      <c r="G225" s="850">
        <v>-6.7</v>
      </c>
      <c r="H225" s="850">
        <v>-6.8</v>
      </c>
      <c r="I225" s="850">
        <v>-2.6</v>
      </c>
      <c r="J225" s="850">
        <v>-1.6</v>
      </c>
      <c r="K225" s="850">
        <v>-1.2</v>
      </c>
      <c r="L225" s="426"/>
      <c r="M225" s="850">
        <v>-3.3740000000000001</v>
      </c>
      <c r="N225" s="850">
        <v>-4</v>
      </c>
      <c r="O225" s="887">
        <v>-7.3</v>
      </c>
      <c r="P225" s="887">
        <v>-5.0999999999999996</v>
      </c>
      <c r="Q225" s="887">
        <v>-7.1</v>
      </c>
      <c r="R225" s="887">
        <v>-7.5</v>
      </c>
      <c r="S225" s="887">
        <v>-7.3</v>
      </c>
      <c r="T225" s="887">
        <v>-4.2</v>
      </c>
      <c r="U225" s="426"/>
      <c r="V225" s="841">
        <v>-0.52</v>
      </c>
      <c r="W225" s="887">
        <v>-3.7</v>
      </c>
      <c r="X225" s="887">
        <v>-2.9</v>
      </c>
      <c r="Y225" s="887">
        <v>-0.02</v>
      </c>
      <c r="Z225" s="887">
        <v>-3.7</v>
      </c>
      <c r="AA225" s="887">
        <v>-1.9</v>
      </c>
      <c r="AB225" s="887">
        <v>-0.3</v>
      </c>
      <c r="AC225" s="887">
        <v>0</v>
      </c>
      <c r="AD225" s="214"/>
    </row>
    <row r="226" spans="1:30" ht="15" customHeight="1">
      <c r="A226" s="761"/>
      <c r="B226" s="762"/>
      <c r="C226" s="763">
        <v>4</v>
      </c>
      <c r="D226" s="836">
        <v>-0.53</v>
      </c>
      <c r="E226" s="850">
        <v>2.5</v>
      </c>
      <c r="F226" s="850">
        <v>2</v>
      </c>
      <c r="G226" s="850">
        <v>-1.6</v>
      </c>
      <c r="H226" s="850">
        <v>3.1</v>
      </c>
      <c r="I226" s="850">
        <v>0.1</v>
      </c>
      <c r="J226" s="850">
        <v>0.6</v>
      </c>
      <c r="K226" s="850">
        <v>-1.1000000000000001</v>
      </c>
      <c r="L226" s="426"/>
      <c r="M226" s="850">
        <v>-0.108</v>
      </c>
      <c r="N226" s="850">
        <v>0</v>
      </c>
      <c r="O226" s="887">
        <v>3.3</v>
      </c>
      <c r="P226" s="887">
        <v>1.2</v>
      </c>
      <c r="Q226" s="887">
        <v>2.7</v>
      </c>
      <c r="R226" s="887">
        <v>2.2000000000000002</v>
      </c>
      <c r="S226" s="887">
        <v>2.7</v>
      </c>
      <c r="T226" s="887">
        <v>-0.3</v>
      </c>
      <c r="U226" s="426"/>
      <c r="V226" s="841">
        <v>-0.35</v>
      </c>
      <c r="W226" s="887">
        <v>-0.5</v>
      </c>
      <c r="X226" s="887">
        <v>1.2</v>
      </c>
      <c r="Y226" s="887">
        <v>0.21</v>
      </c>
      <c r="Z226" s="887">
        <v>3</v>
      </c>
      <c r="AA226" s="887">
        <v>2.2000000000000002</v>
      </c>
      <c r="AB226" s="887">
        <v>1.4</v>
      </c>
      <c r="AC226" s="887">
        <v>-0.7</v>
      </c>
      <c r="AD226" s="214"/>
    </row>
    <row r="227" spans="1:30" ht="15" customHeight="1">
      <c r="A227" s="761"/>
      <c r="B227" s="762"/>
      <c r="C227" s="763">
        <v>5</v>
      </c>
      <c r="D227" s="836">
        <v>-0.28000000000000003</v>
      </c>
      <c r="E227" s="850">
        <v>2.8</v>
      </c>
      <c r="F227" s="850">
        <v>1.5</v>
      </c>
      <c r="G227" s="850">
        <v>3.3</v>
      </c>
      <c r="H227" s="850">
        <v>0.2</v>
      </c>
      <c r="I227" s="850">
        <v>0.8</v>
      </c>
      <c r="J227" s="850">
        <v>0.6</v>
      </c>
      <c r="K227" s="850">
        <v>-1.2</v>
      </c>
      <c r="L227" s="426"/>
      <c r="M227" s="850">
        <v>1.482</v>
      </c>
      <c r="N227" s="850">
        <v>-0.3</v>
      </c>
      <c r="O227" s="887">
        <v>1.7</v>
      </c>
      <c r="P227" s="887">
        <v>1.7</v>
      </c>
      <c r="Q227" s="887">
        <v>2.4</v>
      </c>
      <c r="R227" s="887">
        <v>2.4</v>
      </c>
      <c r="S227" s="887">
        <v>2.8</v>
      </c>
      <c r="T227" s="887">
        <v>1.1000000000000001</v>
      </c>
      <c r="U227" s="426"/>
      <c r="V227" s="841">
        <v>-0.2</v>
      </c>
      <c r="W227" s="887">
        <v>2.5</v>
      </c>
      <c r="X227" s="887">
        <v>1.4</v>
      </c>
      <c r="Y227" s="887">
        <v>0.46</v>
      </c>
      <c r="Z227" s="887">
        <v>0.7</v>
      </c>
      <c r="AA227" s="887">
        <v>0.4</v>
      </c>
      <c r="AB227" s="887">
        <v>-0.7</v>
      </c>
      <c r="AC227" s="887">
        <v>0</v>
      </c>
      <c r="AD227" s="214"/>
    </row>
    <row r="228" spans="1:30" ht="15" customHeight="1">
      <c r="A228" s="761"/>
      <c r="B228" s="762"/>
      <c r="C228" s="763">
        <v>6</v>
      </c>
      <c r="D228" s="836">
        <v>-0.28999999999999998</v>
      </c>
      <c r="E228" s="850">
        <v>-0.5</v>
      </c>
      <c r="F228" s="850">
        <v>2.8</v>
      </c>
      <c r="G228" s="850">
        <v>2.6</v>
      </c>
      <c r="H228" s="850">
        <v>2.7</v>
      </c>
      <c r="I228" s="850">
        <v>-0.2</v>
      </c>
      <c r="J228" s="850">
        <v>-0.3</v>
      </c>
      <c r="K228" s="850">
        <v>-1.2</v>
      </c>
      <c r="L228" s="426"/>
      <c r="M228" s="850">
        <v>2.0670000000000002</v>
      </c>
      <c r="N228" s="850">
        <v>-0.6</v>
      </c>
      <c r="O228" s="887">
        <v>1</v>
      </c>
      <c r="P228" s="887">
        <v>0.1</v>
      </c>
      <c r="Q228" s="887">
        <v>0.5</v>
      </c>
      <c r="R228" s="887">
        <v>-0.3</v>
      </c>
      <c r="S228" s="887">
        <v>0</v>
      </c>
      <c r="T228" s="887">
        <v>0.7</v>
      </c>
      <c r="U228" s="426"/>
      <c r="V228" s="841">
        <v>-0.2</v>
      </c>
      <c r="W228" s="887">
        <v>-1</v>
      </c>
      <c r="X228" s="887">
        <v>0</v>
      </c>
      <c r="Y228" s="887">
        <v>-0.59</v>
      </c>
      <c r="Z228" s="887">
        <v>-0.2</v>
      </c>
      <c r="AA228" s="887">
        <v>-0.4</v>
      </c>
      <c r="AB228" s="887">
        <v>0.5</v>
      </c>
      <c r="AC228" s="887">
        <v>0.4</v>
      </c>
      <c r="AD228" s="214"/>
    </row>
    <row r="229" spans="1:30" ht="15" customHeight="1">
      <c r="A229" s="761"/>
      <c r="B229" s="762"/>
      <c r="C229" s="763">
        <v>7</v>
      </c>
      <c r="D229" s="836">
        <v>-0.37</v>
      </c>
      <c r="E229" s="850">
        <v>1.8</v>
      </c>
      <c r="F229" s="850">
        <v>1.1000000000000001</v>
      </c>
      <c r="G229" s="850">
        <v>0.8</v>
      </c>
      <c r="H229" s="850">
        <v>1</v>
      </c>
      <c r="I229" s="850">
        <v>3.1</v>
      </c>
      <c r="J229" s="850">
        <v>-2.2000000000000002</v>
      </c>
      <c r="K229" s="850">
        <v>3.1</v>
      </c>
      <c r="L229" s="426"/>
      <c r="M229" s="850">
        <v>3.0230000000000001</v>
      </c>
      <c r="N229" s="850">
        <v>2.4</v>
      </c>
      <c r="O229" s="887">
        <v>-0.2</v>
      </c>
      <c r="P229" s="887">
        <v>0.2</v>
      </c>
      <c r="Q229" s="887">
        <v>0.4</v>
      </c>
      <c r="R229" s="887">
        <v>-0.1</v>
      </c>
      <c r="S229" s="887">
        <v>0</v>
      </c>
      <c r="T229" s="887">
        <v>-1</v>
      </c>
      <c r="U229" s="426"/>
      <c r="V229" s="841">
        <v>-0.26</v>
      </c>
      <c r="W229" s="887">
        <v>1.1000000000000001</v>
      </c>
      <c r="X229" s="887">
        <v>-0.5</v>
      </c>
      <c r="Y229" s="887">
        <v>7.0000000000000007E-2</v>
      </c>
      <c r="Z229" s="887">
        <v>1</v>
      </c>
      <c r="AA229" s="887">
        <v>0.9</v>
      </c>
      <c r="AB229" s="887">
        <v>1.1000000000000001</v>
      </c>
      <c r="AC229" s="887">
        <v>-1.1000000000000001</v>
      </c>
      <c r="AD229" s="214"/>
    </row>
    <row r="230" spans="1:30" ht="15" customHeight="1">
      <c r="A230" s="761"/>
      <c r="B230" s="762"/>
      <c r="C230" s="763">
        <v>8</v>
      </c>
      <c r="D230" s="836">
        <v>-0.31</v>
      </c>
      <c r="E230" s="850">
        <v>-0.5</v>
      </c>
      <c r="F230" s="850">
        <v>1.4</v>
      </c>
      <c r="G230" s="850">
        <v>0.7</v>
      </c>
      <c r="H230" s="850">
        <v>2.6</v>
      </c>
      <c r="I230" s="850">
        <v>0</v>
      </c>
      <c r="J230" s="850">
        <v>2.6</v>
      </c>
      <c r="K230" s="850">
        <v>3.3</v>
      </c>
      <c r="L230" s="426"/>
      <c r="M230" s="850">
        <v>1.6910000000000001</v>
      </c>
      <c r="N230" s="850">
        <v>1.6</v>
      </c>
      <c r="O230" s="887">
        <v>-0.4</v>
      </c>
      <c r="P230" s="887">
        <v>1.9</v>
      </c>
      <c r="Q230" s="887">
        <v>0.9</v>
      </c>
      <c r="R230" s="887">
        <v>0.7</v>
      </c>
      <c r="S230" s="887">
        <v>1</v>
      </c>
      <c r="T230" s="887">
        <v>0.2</v>
      </c>
      <c r="U230" s="426"/>
      <c r="V230" s="841">
        <v>-0.21</v>
      </c>
      <c r="W230" s="887">
        <v>1.3</v>
      </c>
      <c r="X230" s="887">
        <v>1.9</v>
      </c>
      <c r="Y230" s="887">
        <v>1.99</v>
      </c>
      <c r="Z230" s="887">
        <v>-0.6</v>
      </c>
      <c r="AA230" s="887">
        <v>-0.1</v>
      </c>
      <c r="AB230" s="887">
        <v>-0.1</v>
      </c>
      <c r="AC230" s="887">
        <v>2.2999999999999998</v>
      </c>
      <c r="AD230" s="214"/>
    </row>
    <row r="231" spans="1:30" ht="15" customHeight="1">
      <c r="A231" s="761"/>
      <c r="B231" s="762"/>
      <c r="C231" s="763">
        <v>9</v>
      </c>
      <c r="D231" s="836">
        <v>-0.11</v>
      </c>
      <c r="E231" s="850">
        <v>0</v>
      </c>
      <c r="F231" s="850">
        <v>-1.2</v>
      </c>
      <c r="G231" s="850">
        <v>-0.4</v>
      </c>
      <c r="H231" s="850">
        <v>-2.2000000000000002</v>
      </c>
      <c r="I231" s="850">
        <v>-0.2</v>
      </c>
      <c r="J231" s="850">
        <v>1.5</v>
      </c>
      <c r="K231" s="850">
        <v>3.3</v>
      </c>
      <c r="L231" s="426"/>
      <c r="M231" s="850">
        <v>2.335</v>
      </c>
      <c r="N231" s="850">
        <v>3.4</v>
      </c>
      <c r="O231" s="887">
        <v>1.9</v>
      </c>
      <c r="P231" s="887">
        <v>-1.2</v>
      </c>
      <c r="Q231" s="887">
        <v>-0.5</v>
      </c>
      <c r="R231" s="887">
        <v>-0.4</v>
      </c>
      <c r="S231" s="887">
        <v>-0.3</v>
      </c>
      <c r="T231" s="887">
        <v>2.1</v>
      </c>
      <c r="U231" s="426"/>
      <c r="V231" s="841">
        <v>-0.09</v>
      </c>
      <c r="W231" s="887">
        <v>-0.6</v>
      </c>
      <c r="X231" s="887">
        <v>-1.3</v>
      </c>
      <c r="Y231" s="887">
        <v>2.02</v>
      </c>
      <c r="Z231" s="887">
        <v>-0.8</v>
      </c>
      <c r="AA231" s="887">
        <v>0.2</v>
      </c>
      <c r="AB231" s="887">
        <v>-0.3</v>
      </c>
      <c r="AC231" s="887">
        <v>0.6</v>
      </c>
      <c r="AD231" s="214"/>
    </row>
    <row r="232" spans="1:30" ht="15" customHeight="1">
      <c r="A232" s="761"/>
      <c r="B232" s="762"/>
      <c r="C232" s="763">
        <v>10</v>
      </c>
      <c r="D232" s="836">
        <v>-0.31</v>
      </c>
      <c r="E232" s="850">
        <v>1.7</v>
      </c>
      <c r="F232" s="850">
        <v>0.9</v>
      </c>
      <c r="G232" s="850">
        <v>1.3</v>
      </c>
      <c r="H232" s="850">
        <v>3.3</v>
      </c>
      <c r="I232" s="850">
        <v>-2.2999999999999998</v>
      </c>
      <c r="J232" s="850">
        <v>-2</v>
      </c>
      <c r="K232" s="850">
        <v>2.8</v>
      </c>
      <c r="L232" s="426"/>
      <c r="M232" s="850">
        <v>2.9550000000000001</v>
      </c>
      <c r="N232" s="850">
        <v>1.3</v>
      </c>
      <c r="O232" s="887">
        <v>0</v>
      </c>
      <c r="P232" s="887">
        <v>-0.9</v>
      </c>
      <c r="Q232" s="887">
        <v>-0.1</v>
      </c>
      <c r="R232" s="887">
        <v>-0.1</v>
      </c>
      <c r="S232" s="887">
        <v>-0.6</v>
      </c>
      <c r="T232" s="887">
        <v>-1.7</v>
      </c>
      <c r="U232" s="426"/>
      <c r="V232" s="841">
        <v>-0.23</v>
      </c>
      <c r="W232" s="887">
        <v>-0.4</v>
      </c>
      <c r="X232" s="887">
        <v>-0.8</v>
      </c>
      <c r="Y232" s="887">
        <v>-1.59</v>
      </c>
      <c r="Z232" s="887">
        <v>0.8</v>
      </c>
      <c r="AA232" s="887">
        <v>0.1</v>
      </c>
      <c r="AB232" s="887">
        <v>-0.3</v>
      </c>
      <c r="AC232" s="887">
        <v>-0.5</v>
      </c>
      <c r="AD232" s="214"/>
    </row>
    <row r="233" spans="1:30" ht="15" customHeight="1">
      <c r="A233" s="761"/>
      <c r="B233" s="762"/>
      <c r="C233" s="763">
        <v>11</v>
      </c>
      <c r="D233" s="836">
        <v>-0.51</v>
      </c>
      <c r="E233" s="850">
        <v>1.6</v>
      </c>
      <c r="F233" s="850">
        <v>-0.1</v>
      </c>
      <c r="G233" s="850">
        <v>0.2</v>
      </c>
      <c r="H233" s="850">
        <v>-2.2000000000000002</v>
      </c>
      <c r="I233" s="850">
        <v>1.6</v>
      </c>
      <c r="J233" s="850">
        <v>1.3</v>
      </c>
      <c r="K233" s="850">
        <v>2.9</v>
      </c>
      <c r="L233" s="426"/>
      <c r="M233" s="850">
        <v>2.3519999999999999</v>
      </c>
      <c r="N233" s="850">
        <v>1.8</v>
      </c>
      <c r="O233" s="887">
        <v>-0.8</v>
      </c>
      <c r="P233" s="887">
        <v>-0.4</v>
      </c>
      <c r="Q233" s="887">
        <v>-0.3</v>
      </c>
      <c r="R233" s="887">
        <v>-0.1</v>
      </c>
      <c r="S233" s="887">
        <v>-0.9</v>
      </c>
      <c r="T233" s="887">
        <v>-2.5</v>
      </c>
      <c r="U233" s="426"/>
      <c r="V233" s="841">
        <v>-0.33</v>
      </c>
      <c r="W233" s="887">
        <v>2</v>
      </c>
      <c r="X233" s="887">
        <v>-0.3</v>
      </c>
      <c r="Y233" s="887">
        <v>-0.12</v>
      </c>
      <c r="Z233" s="887">
        <v>0.2</v>
      </c>
      <c r="AA233" s="887">
        <v>-1.3</v>
      </c>
      <c r="AB233" s="887">
        <v>-0.1</v>
      </c>
      <c r="AC233" s="887">
        <v>-0.8</v>
      </c>
      <c r="AD233" s="214"/>
    </row>
    <row r="234" spans="1:30" ht="15" customHeight="1">
      <c r="A234" s="846"/>
      <c r="B234" s="847"/>
      <c r="C234" s="848">
        <v>12</v>
      </c>
      <c r="D234" s="838">
        <v>-0.33</v>
      </c>
      <c r="E234" s="849">
        <v>0.4</v>
      </c>
      <c r="F234" s="849">
        <v>4.2</v>
      </c>
      <c r="G234" s="849">
        <v>-3.1</v>
      </c>
      <c r="H234" s="849">
        <v>0.6</v>
      </c>
      <c r="I234" s="849">
        <v>-0.3</v>
      </c>
      <c r="J234" s="849">
        <v>-0.5</v>
      </c>
      <c r="K234" s="849">
        <v>3</v>
      </c>
      <c r="L234" s="843"/>
      <c r="M234" s="849">
        <v>1.8140000000000001</v>
      </c>
      <c r="N234" s="849">
        <v>2.1</v>
      </c>
      <c r="O234" s="888">
        <v>-0.9</v>
      </c>
      <c r="P234" s="888">
        <v>1.9</v>
      </c>
      <c r="Q234" s="888">
        <v>0.6</v>
      </c>
      <c r="R234" s="888">
        <v>0.2</v>
      </c>
      <c r="S234" s="888">
        <v>0.4</v>
      </c>
      <c r="T234" s="888">
        <v>2.1</v>
      </c>
      <c r="U234" s="843"/>
      <c r="V234" s="840">
        <v>-0.23</v>
      </c>
      <c r="W234" s="888">
        <v>1.3</v>
      </c>
      <c r="X234" s="888">
        <v>1.2</v>
      </c>
      <c r="Y234" s="888">
        <v>-0.45</v>
      </c>
      <c r="Z234" s="888">
        <v>-0.4</v>
      </c>
      <c r="AA234" s="888">
        <v>0.2</v>
      </c>
      <c r="AB234" s="888">
        <v>0.3</v>
      </c>
      <c r="AC234" s="888">
        <v>-0.2</v>
      </c>
      <c r="AD234" s="214"/>
    </row>
    <row r="235" spans="1:30" ht="15" customHeight="1">
      <c r="A235" s="761" t="s">
        <v>534</v>
      </c>
      <c r="B235" s="762">
        <v>2012</v>
      </c>
      <c r="C235" s="763">
        <v>1</v>
      </c>
      <c r="D235" s="839">
        <v>-0.33</v>
      </c>
      <c r="E235" s="889">
        <v>-1.1000000000000001</v>
      </c>
      <c r="F235" s="889">
        <v>5</v>
      </c>
      <c r="G235" s="889">
        <v>5.8</v>
      </c>
      <c r="H235" s="889">
        <v>2</v>
      </c>
      <c r="I235" s="889">
        <v>3.1</v>
      </c>
      <c r="J235" s="889">
        <v>-0.5</v>
      </c>
      <c r="K235" s="889">
        <v>0.8</v>
      </c>
      <c r="L235" s="426"/>
      <c r="M235" s="887">
        <v>1.911</v>
      </c>
      <c r="N235" s="887">
        <v>2.8</v>
      </c>
      <c r="O235" s="887">
        <v>3.6</v>
      </c>
      <c r="P235" s="887">
        <v>1.4</v>
      </c>
      <c r="Q235" s="887">
        <v>1.4</v>
      </c>
      <c r="R235" s="887">
        <v>0.6</v>
      </c>
      <c r="S235" s="887">
        <v>-0.2</v>
      </c>
      <c r="T235" s="887">
        <v>-0.8</v>
      </c>
      <c r="U235" s="426"/>
      <c r="V235" s="841">
        <v>-0.27</v>
      </c>
      <c r="W235" s="887">
        <v>2.2000000000000002</v>
      </c>
      <c r="X235" s="887">
        <v>0.1</v>
      </c>
      <c r="Y235" s="887">
        <v>-0.11</v>
      </c>
      <c r="Z235" s="887">
        <v>0.4</v>
      </c>
      <c r="AA235" s="887">
        <v>1</v>
      </c>
      <c r="AB235" s="887">
        <v>-0.2</v>
      </c>
      <c r="AC235" s="887">
        <v>-2.1</v>
      </c>
      <c r="AD235" s="214"/>
    </row>
    <row r="236" spans="1:30" ht="15" customHeight="1">
      <c r="A236" s="761"/>
      <c r="B236" s="762"/>
      <c r="C236" s="763">
        <v>2</v>
      </c>
      <c r="D236" s="836">
        <v>-0.34</v>
      </c>
      <c r="E236" s="889">
        <v>2.2000000000000002</v>
      </c>
      <c r="F236" s="889">
        <v>-1.5</v>
      </c>
      <c r="G236" s="889">
        <v>1.5</v>
      </c>
      <c r="H236" s="889">
        <v>-0.5</v>
      </c>
      <c r="I236" s="889">
        <v>-1</v>
      </c>
      <c r="J236" s="889">
        <v>1.4</v>
      </c>
      <c r="K236" s="889">
        <v>0.8</v>
      </c>
      <c r="L236" s="426"/>
      <c r="M236" s="887">
        <v>2.6419999999999999</v>
      </c>
      <c r="N236" s="887">
        <v>2.7</v>
      </c>
      <c r="O236" s="887">
        <v>0.9</v>
      </c>
      <c r="P236" s="887">
        <v>-0.6</v>
      </c>
      <c r="Q236" s="887">
        <v>0.3</v>
      </c>
      <c r="R236" s="887">
        <v>0.5</v>
      </c>
      <c r="S236" s="887">
        <v>-0.2</v>
      </c>
      <c r="T236" s="887">
        <v>0</v>
      </c>
      <c r="U236" s="426"/>
      <c r="V236" s="841">
        <v>-0.21</v>
      </c>
      <c r="W236" s="887">
        <v>0.7</v>
      </c>
      <c r="X236" s="887">
        <v>0.4</v>
      </c>
      <c r="Y236" s="887">
        <v>0.41</v>
      </c>
      <c r="Z236" s="887">
        <v>-0.4</v>
      </c>
      <c r="AA236" s="887">
        <v>-0.8</v>
      </c>
      <c r="AB236" s="887">
        <v>0.2</v>
      </c>
      <c r="AC236" s="887">
        <v>2.7</v>
      </c>
      <c r="AD236" s="214"/>
    </row>
    <row r="237" spans="1:30" ht="15" customHeight="1">
      <c r="A237" s="761"/>
      <c r="B237" s="762"/>
      <c r="C237" s="763">
        <v>3</v>
      </c>
      <c r="D237" s="836">
        <v>-0.21</v>
      </c>
      <c r="E237" s="889">
        <v>-0.5</v>
      </c>
      <c r="F237" s="889">
        <v>0.5</v>
      </c>
      <c r="G237" s="889">
        <v>1.2</v>
      </c>
      <c r="H237" s="889">
        <v>-4.5999999999999996</v>
      </c>
      <c r="I237" s="889">
        <v>-4.0999999999999996</v>
      </c>
      <c r="J237" s="889">
        <v>-0.5</v>
      </c>
      <c r="K237" s="889">
        <v>0.8</v>
      </c>
      <c r="L237" s="426"/>
      <c r="M237" s="887">
        <v>2.7170000000000001</v>
      </c>
      <c r="N237" s="887">
        <v>3.8</v>
      </c>
      <c r="O237" s="887">
        <v>2.2999999999999998</v>
      </c>
      <c r="P237" s="887">
        <v>0.3</v>
      </c>
      <c r="Q237" s="887">
        <v>0.5</v>
      </c>
      <c r="R237" s="887">
        <v>0.6</v>
      </c>
      <c r="S237" s="887">
        <v>-0.7</v>
      </c>
      <c r="T237" s="887">
        <v>-0.3</v>
      </c>
      <c r="U237" s="426"/>
      <c r="V237" s="841">
        <v>-0.16</v>
      </c>
      <c r="W237" s="887">
        <v>-0.2</v>
      </c>
      <c r="X237" s="887">
        <v>-0.3</v>
      </c>
      <c r="Y237" s="887">
        <v>-0.11</v>
      </c>
      <c r="Z237" s="887">
        <v>1.8</v>
      </c>
      <c r="AA237" s="887">
        <v>-1</v>
      </c>
      <c r="AB237" s="887">
        <v>0</v>
      </c>
      <c r="AC237" s="887">
        <v>-0.6</v>
      </c>
      <c r="AD237" s="214"/>
    </row>
    <row r="238" spans="1:30" ht="15" customHeight="1">
      <c r="A238" s="761"/>
      <c r="B238" s="762"/>
      <c r="C238" s="763">
        <v>4</v>
      </c>
      <c r="D238" s="836">
        <v>-0.38</v>
      </c>
      <c r="E238" s="889">
        <v>-0.5</v>
      </c>
      <c r="F238" s="889">
        <v>2.2000000000000002</v>
      </c>
      <c r="G238" s="889">
        <v>2</v>
      </c>
      <c r="H238" s="889">
        <v>6.2</v>
      </c>
      <c r="I238" s="889">
        <v>6.6</v>
      </c>
      <c r="J238" s="889">
        <v>-1</v>
      </c>
      <c r="K238" s="889">
        <v>0.9</v>
      </c>
      <c r="L238" s="426"/>
      <c r="M238" s="887">
        <v>3.3090000000000002</v>
      </c>
      <c r="N238" s="887">
        <v>1.5</v>
      </c>
      <c r="O238" s="887">
        <v>-0.5</v>
      </c>
      <c r="P238" s="887">
        <v>0</v>
      </c>
      <c r="Q238" s="887">
        <v>-1.8</v>
      </c>
      <c r="R238" s="887">
        <v>-2.2999999999999998</v>
      </c>
      <c r="S238" s="887">
        <v>-1.5</v>
      </c>
      <c r="T238" s="887">
        <v>-1.2</v>
      </c>
      <c r="U238" s="426"/>
      <c r="V238" s="841">
        <v>-0.27</v>
      </c>
      <c r="W238" s="887">
        <v>1.9</v>
      </c>
      <c r="X238" s="887">
        <v>0.1</v>
      </c>
      <c r="Y238" s="887">
        <v>0.26</v>
      </c>
      <c r="Z238" s="887">
        <v>-1.9</v>
      </c>
      <c r="AA238" s="887">
        <v>0.7</v>
      </c>
      <c r="AB238" s="887">
        <v>-0.4</v>
      </c>
      <c r="AC238" s="887">
        <v>0.9</v>
      </c>
      <c r="AD238" s="214"/>
    </row>
    <row r="239" spans="1:30" ht="15" customHeight="1">
      <c r="A239" s="761"/>
      <c r="B239" s="762"/>
      <c r="C239" s="763">
        <v>5</v>
      </c>
      <c r="D239" s="836">
        <v>-0.24</v>
      </c>
      <c r="E239" s="889">
        <v>1.3</v>
      </c>
      <c r="F239" s="889">
        <v>-3.6</v>
      </c>
      <c r="G239" s="889">
        <v>-1.3</v>
      </c>
      <c r="H239" s="889">
        <v>2.6</v>
      </c>
      <c r="I239" s="889">
        <v>-2.5</v>
      </c>
      <c r="J239" s="889">
        <v>0.9</v>
      </c>
      <c r="K239" s="889">
        <v>0.9</v>
      </c>
      <c r="L239" s="426"/>
      <c r="M239" s="887">
        <v>2.694</v>
      </c>
      <c r="N239" s="887">
        <v>2</v>
      </c>
      <c r="O239" s="887">
        <v>-0.7</v>
      </c>
      <c r="P239" s="887">
        <v>-0.4</v>
      </c>
      <c r="Q239" s="887">
        <v>0.1</v>
      </c>
      <c r="R239" s="887">
        <v>0.2</v>
      </c>
      <c r="S239" s="887">
        <v>-0.8</v>
      </c>
      <c r="T239" s="887">
        <v>1.5</v>
      </c>
      <c r="U239" s="426"/>
      <c r="V239" s="841">
        <v>-0.14000000000000001</v>
      </c>
      <c r="W239" s="887">
        <v>0.8</v>
      </c>
      <c r="X239" s="887">
        <v>0</v>
      </c>
      <c r="Y239" s="887">
        <v>0.91</v>
      </c>
      <c r="Z239" s="887">
        <v>-0.3</v>
      </c>
      <c r="AA239" s="887">
        <v>0.3</v>
      </c>
      <c r="AB239" s="887">
        <v>0</v>
      </c>
      <c r="AC239" s="887">
        <v>1.5</v>
      </c>
      <c r="AD239" s="214"/>
    </row>
    <row r="240" spans="1:30" ht="15" customHeight="1">
      <c r="A240" s="761"/>
      <c r="B240" s="762"/>
      <c r="C240" s="763">
        <v>6</v>
      </c>
      <c r="D240" s="836">
        <v>-0.41</v>
      </c>
      <c r="E240" s="889">
        <v>-1.9</v>
      </c>
      <c r="F240" s="889">
        <v>2.2000000000000002</v>
      </c>
      <c r="G240" s="889">
        <v>-0.1</v>
      </c>
      <c r="H240" s="889">
        <v>0.4</v>
      </c>
      <c r="I240" s="889">
        <v>0.5</v>
      </c>
      <c r="J240" s="889">
        <v>-1.5</v>
      </c>
      <c r="K240" s="889">
        <v>0.9</v>
      </c>
      <c r="L240" s="426"/>
      <c r="M240" s="887">
        <v>-0.22900000000000001</v>
      </c>
      <c r="N240" s="887">
        <v>1.2</v>
      </c>
      <c r="O240" s="887">
        <v>0.7</v>
      </c>
      <c r="P240" s="887">
        <v>0.7</v>
      </c>
      <c r="Q240" s="887">
        <v>0.3</v>
      </c>
      <c r="R240" s="887">
        <v>0.1</v>
      </c>
      <c r="S240" s="887">
        <v>0.5</v>
      </c>
      <c r="T240" s="887">
        <v>-2.8</v>
      </c>
      <c r="U240" s="426"/>
      <c r="V240" s="841">
        <v>-0.26</v>
      </c>
      <c r="W240" s="887">
        <v>1</v>
      </c>
      <c r="X240" s="887">
        <v>0.5</v>
      </c>
      <c r="Y240" s="887">
        <v>0.75</v>
      </c>
      <c r="Z240" s="887">
        <v>-0.5</v>
      </c>
      <c r="AA240" s="887">
        <v>2.4</v>
      </c>
      <c r="AB240" s="887">
        <v>-1.1000000000000001</v>
      </c>
      <c r="AC240" s="887">
        <v>-2</v>
      </c>
      <c r="AD240" s="214"/>
    </row>
    <row r="241" spans="1:30" ht="15" customHeight="1">
      <c r="A241" s="761"/>
      <c r="B241" s="762"/>
      <c r="C241" s="763">
        <v>7</v>
      </c>
      <c r="D241" s="836">
        <v>-0.28999999999999998</v>
      </c>
      <c r="E241" s="889">
        <v>-1.4</v>
      </c>
      <c r="F241" s="889">
        <v>3.6</v>
      </c>
      <c r="G241" s="889">
        <v>-0.8</v>
      </c>
      <c r="H241" s="889">
        <v>-0.9</v>
      </c>
      <c r="I241" s="889">
        <v>0</v>
      </c>
      <c r="J241" s="889">
        <v>0.5</v>
      </c>
      <c r="K241" s="889">
        <v>-2.2999999999999998</v>
      </c>
      <c r="L241" s="426"/>
      <c r="M241" s="887">
        <v>1.232</v>
      </c>
      <c r="N241" s="887">
        <v>0.4</v>
      </c>
      <c r="O241" s="887">
        <v>-1.5</v>
      </c>
      <c r="P241" s="887">
        <v>0.8</v>
      </c>
      <c r="Q241" s="887">
        <v>0</v>
      </c>
      <c r="R241" s="887">
        <v>0.3</v>
      </c>
      <c r="S241" s="887">
        <v>-0.1</v>
      </c>
      <c r="T241" s="887">
        <v>1.9</v>
      </c>
      <c r="U241" s="426"/>
      <c r="V241" s="841">
        <v>-0.18</v>
      </c>
      <c r="W241" s="887">
        <v>-0.4</v>
      </c>
      <c r="X241" s="887">
        <v>-0.7</v>
      </c>
      <c r="Y241" s="887">
        <v>0.01</v>
      </c>
      <c r="Z241" s="887">
        <v>-0.8</v>
      </c>
      <c r="AA241" s="887">
        <v>-2.8</v>
      </c>
      <c r="AB241" s="887">
        <v>0</v>
      </c>
      <c r="AC241" s="887">
        <v>1.3</v>
      </c>
      <c r="AD241" s="214"/>
    </row>
    <row r="242" spans="1:30" ht="15" customHeight="1">
      <c r="A242" s="761"/>
      <c r="B242" s="762"/>
      <c r="C242" s="763">
        <v>8</v>
      </c>
      <c r="D242" s="836">
        <v>-0.44</v>
      </c>
      <c r="E242" s="889">
        <v>1.2</v>
      </c>
      <c r="F242" s="889">
        <v>0.2</v>
      </c>
      <c r="G242" s="889">
        <v>-0.8</v>
      </c>
      <c r="H242" s="889">
        <v>-1</v>
      </c>
      <c r="I242" s="889">
        <v>-0.4</v>
      </c>
      <c r="J242" s="889">
        <v>1.9</v>
      </c>
      <c r="K242" s="889">
        <v>-2.2000000000000002</v>
      </c>
      <c r="L242" s="426"/>
      <c r="M242" s="887">
        <v>-0.98599999999999999</v>
      </c>
      <c r="N242" s="887">
        <v>-0.7</v>
      </c>
      <c r="O242" s="887">
        <v>-0.7</v>
      </c>
      <c r="P242" s="887">
        <v>-1.7</v>
      </c>
      <c r="Q242" s="887">
        <v>-0.8</v>
      </c>
      <c r="R242" s="887">
        <v>-0.6</v>
      </c>
      <c r="S242" s="887">
        <v>-0.6</v>
      </c>
      <c r="T242" s="887">
        <v>-1.6</v>
      </c>
      <c r="U242" s="426"/>
      <c r="V242" s="841">
        <v>-0.28999999999999998</v>
      </c>
      <c r="W242" s="887">
        <v>-0.8</v>
      </c>
      <c r="X242" s="887">
        <v>-1.2</v>
      </c>
      <c r="Y242" s="887">
        <v>1.24</v>
      </c>
      <c r="Z242" s="887">
        <v>1.3</v>
      </c>
      <c r="AA242" s="887">
        <v>0.6</v>
      </c>
      <c r="AB242" s="887">
        <v>0</v>
      </c>
      <c r="AC242" s="887">
        <v>-0.6</v>
      </c>
      <c r="AD242" s="214"/>
    </row>
    <row r="243" spans="1:30" ht="15" customHeight="1">
      <c r="A243" s="761"/>
      <c r="B243" s="762"/>
      <c r="C243" s="763">
        <v>9</v>
      </c>
      <c r="D243" s="836">
        <v>-0.43</v>
      </c>
      <c r="E243" s="889">
        <v>-1.9</v>
      </c>
      <c r="F243" s="889">
        <v>0.3</v>
      </c>
      <c r="G243" s="889">
        <v>-0.2</v>
      </c>
      <c r="H243" s="889">
        <v>-4.5</v>
      </c>
      <c r="I243" s="889">
        <v>1.5</v>
      </c>
      <c r="J243" s="889">
        <v>0</v>
      </c>
      <c r="K243" s="889">
        <v>-2.1</v>
      </c>
      <c r="L243" s="426"/>
      <c r="M243" s="887">
        <v>-1.004</v>
      </c>
      <c r="N243" s="887">
        <v>0</v>
      </c>
      <c r="O243" s="887">
        <v>0.3</v>
      </c>
      <c r="P243" s="887">
        <v>-0.3</v>
      </c>
      <c r="Q243" s="887">
        <v>0.1</v>
      </c>
      <c r="R243" s="887">
        <v>0.1</v>
      </c>
      <c r="S243" s="887">
        <v>-0.3</v>
      </c>
      <c r="T243" s="887">
        <v>-0.2</v>
      </c>
      <c r="U243" s="426"/>
      <c r="V243" s="841">
        <v>-0.28000000000000003</v>
      </c>
      <c r="W243" s="887">
        <v>0.4</v>
      </c>
      <c r="X243" s="887">
        <v>-0.1</v>
      </c>
      <c r="Y243" s="887">
        <v>-0.15</v>
      </c>
      <c r="Z243" s="887">
        <v>0</v>
      </c>
      <c r="AA243" s="887">
        <v>0.3</v>
      </c>
      <c r="AB243" s="887">
        <v>1.1000000000000001</v>
      </c>
      <c r="AC243" s="887">
        <v>0.2</v>
      </c>
      <c r="AD243" s="214"/>
    </row>
    <row r="244" spans="1:30" ht="15" customHeight="1">
      <c r="A244" s="761"/>
      <c r="B244" s="762"/>
      <c r="C244" s="763">
        <v>10</v>
      </c>
      <c r="D244" s="836">
        <v>-0.46</v>
      </c>
      <c r="E244" s="889">
        <v>0</v>
      </c>
      <c r="F244" s="889">
        <v>0.4</v>
      </c>
      <c r="G244" s="889">
        <v>0.2</v>
      </c>
      <c r="H244" s="889">
        <v>-1.8</v>
      </c>
      <c r="I244" s="889">
        <v>1.3</v>
      </c>
      <c r="J244" s="889">
        <v>-1</v>
      </c>
      <c r="K244" s="889">
        <v>-0.1</v>
      </c>
      <c r="L244" s="426"/>
      <c r="M244" s="887">
        <v>-1.6930000000000001</v>
      </c>
      <c r="N244" s="887">
        <v>-2.2000000000000002</v>
      </c>
      <c r="O244" s="887">
        <v>-0.5</v>
      </c>
      <c r="P244" s="887">
        <v>-0.2</v>
      </c>
      <c r="Q244" s="887">
        <v>0.2</v>
      </c>
      <c r="R244" s="887">
        <v>-0.9</v>
      </c>
      <c r="S244" s="887">
        <v>1.2</v>
      </c>
      <c r="T244" s="887">
        <v>-0.6</v>
      </c>
      <c r="U244" s="426"/>
      <c r="V244" s="841">
        <v>-0.28999999999999998</v>
      </c>
      <c r="W244" s="887">
        <v>-0.1</v>
      </c>
      <c r="X244" s="887">
        <v>-0.4</v>
      </c>
      <c r="Y244" s="887">
        <v>0.84</v>
      </c>
      <c r="Z244" s="887">
        <v>-0.3</v>
      </c>
      <c r="AA244" s="887">
        <v>-0.2</v>
      </c>
      <c r="AB244" s="887">
        <v>0.2</v>
      </c>
      <c r="AC244" s="887">
        <v>-0.3</v>
      </c>
      <c r="AD244" s="214"/>
    </row>
    <row r="245" spans="1:30" ht="15" customHeight="1">
      <c r="A245" s="761"/>
      <c r="B245" s="762"/>
      <c r="C245" s="763">
        <v>11</v>
      </c>
      <c r="D245" s="836">
        <v>-0.5</v>
      </c>
      <c r="E245" s="889">
        <v>1.2</v>
      </c>
      <c r="F245" s="889">
        <v>-3.4</v>
      </c>
      <c r="G245" s="889">
        <v>0.9</v>
      </c>
      <c r="H245" s="889">
        <v>0.6</v>
      </c>
      <c r="I245" s="889">
        <v>-0.4</v>
      </c>
      <c r="J245" s="889">
        <v>0.9</v>
      </c>
      <c r="K245" s="889">
        <v>0</v>
      </c>
      <c r="L245" s="426"/>
      <c r="M245" s="887">
        <v>0.35699999999999998</v>
      </c>
      <c r="N245" s="887">
        <v>-0.7</v>
      </c>
      <c r="O245" s="887">
        <v>-0.2</v>
      </c>
      <c r="P245" s="887">
        <v>-0.9</v>
      </c>
      <c r="Q245" s="887">
        <v>0.3</v>
      </c>
      <c r="R245" s="887">
        <v>1.4</v>
      </c>
      <c r="S245" s="887">
        <v>-0.2</v>
      </c>
      <c r="T245" s="887">
        <v>-1.1000000000000001</v>
      </c>
      <c r="U245" s="426"/>
      <c r="V245" s="841">
        <v>-0.35</v>
      </c>
      <c r="W245" s="887">
        <v>-0.6</v>
      </c>
      <c r="X245" s="887">
        <v>-0.1</v>
      </c>
      <c r="Y245" s="887">
        <v>0.22</v>
      </c>
      <c r="Z245" s="887">
        <v>0.4</v>
      </c>
      <c r="AA245" s="887">
        <v>0.2</v>
      </c>
      <c r="AB245" s="887">
        <v>-0.7</v>
      </c>
      <c r="AC245" s="887">
        <v>0.4</v>
      </c>
      <c r="AD245" s="214"/>
    </row>
    <row r="246" spans="1:30" ht="15" customHeight="1">
      <c r="A246" s="761"/>
      <c r="B246" s="762"/>
      <c r="C246" s="763">
        <v>12</v>
      </c>
      <c r="D246" s="866">
        <v>-0.61</v>
      </c>
      <c r="E246" s="890">
        <v>-1.4</v>
      </c>
      <c r="F246" s="890">
        <v>0.5</v>
      </c>
      <c r="G246" s="890">
        <v>1</v>
      </c>
      <c r="H246" s="890">
        <v>-0.7</v>
      </c>
      <c r="I246" s="890">
        <v>-2.7</v>
      </c>
      <c r="J246" s="890">
        <v>-2.2999999999999998</v>
      </c>
      <c r="K246" s="890">
        <v>-0.1</v>
      </c>
      <c r="L246" s="426"/>
      <c r="M246" s="888">
        <v>1.03</v>
      </c>
      <c r="N246" s="888">
        <v>0</v>
      </c>
      <c r="O246" s="888">
        <v>0.5</v>
      </c>
      <c r="P246" s="888">
        <v>-0.4</v>
      </c>
      <c r="Q246" s="888">
        <v>0.7</v>
      </c>
      <c r="R246" s="888">
        <v>1</v>
      </c>
      <c r="S246" s="888">
        <v>0.9</v>
      </c>
      <c r="T246" s="888">
        <v>-2.2999999999999998</v>
      </c>
      <c r="U246" s="843"/>
      <c r="V246" s="841">
        <v>-0.4</v>
      </c>
      <c r="W246" s="888">
        <v>-0.1</v>
      </c>
      <c r="X246" s="888">
        <v>-0.5</v>
      </c>
      <c r="Y246" s="888">
        <v>-1.29</v>
      </c>
      <c r="Z246" s="888">
        <v>2</v>
      </c>
      <c r="AA246" s="888">
        <v>0.1</v>
      </c>
      <c r="AB246" s="888">
        <v>0.4</v>
      </c>
      <c r="AC246" s="888">
        <v>-0.9</v>
      </c>
      <c r="AD246" s="214"/>
    </row>
    <row r="247" spans="1:30" ht="15" customHeight="1">
      <c r="A247" s="851" t="s">
        <v>587</v>
      </c>
      <c r="B247" s="852">
        <v>2013</v>
      </c>
      <c r="C247" s="853">
        <v>1</v>
      </c>
      <c r="D247" s="837">
        <v>-0.34</v>
      </c>
      <c r="E247" s="889">
        <v>0.5</v>
      </c>
      <c r="F247" s="889">
        <v>1.9</v>
      </c>
      <c r="G247" s="889">
        <v>-1.6</v>
      </c>
      <c r="H247" s="889">
        <v>0.6</v>
      </c>
      <c r="I247" s="889">
        <v>1.8</v>
      </c>
      <c r="J247" s="889">
        <v>0.4</v>
      </c>
      <c r="K247" s="889">
        <v>-1.4</v>
      </c>
      <c r="L247" s="859"/>
      <c r="M247" s="887">
        <v>1.724</v>
      </c>
      <c r="N247" s="887">
        <v>-1.1000000000000001</v>
      </c>
      <c r="O247" s="887">
        <v>-0.5</v>
      </c>
      <c r="P247" s="887">
        <v>0.3</v>
      </c>
      <c r="Q247" s="887">
        <v>0.4</v>
      </c>
      <c r="R247" s="887">
        <v>1.8</v>
      </c>
      <c r="S247" s="887">
        <v>-0.3</v>
      </c>
      <c r="T247" s="887">
        <v>2.2999999999999998</v>
      </c>
      <c r="U247" s="426"/>
      <c r="V247" s="862">
        <v>-0.26</v>
      </c>
      <c r="W247" s="887">
        <v>0.9</v>
      </c>
      <c r="X247" s="887">
        <v>0.2</v>
      </c>
      <c r="Y247" s="887">
        <v>0.48</v>
      </c>
      <c r="Z247" s="887">
        <v>-1.9</v>
      </c>
      <c r="AA247" s="887">
        <v>-0.9</v>
      </c>
      <c r="AB247" s="887">
        <v>0.4</v>
      </c>
      <c r="AC247" s="887">
        <v>0.7</v>
      </c>
      <c r="AD247" s="214"/>
    </row>
    <row r="248" spans="1:30" ht="15" customHeight="1">
      <c r="A248" s="761"/>
      <c r="B248" s="762"/>
      <c r="C248" s="763">
        <v>2</v>
      </c>
      <c r="D248" s="836">
        <v>-0.46</v>
      </c>
      <c r="E248" s="889">
        <v>2.2999999999999998</v>
      </c>
      <c r="F248" s="889">
        <v>1.4</v>
      </c>
      <c r="G248" s="889">
        <v>-0.1</v>
      </c>
      <c r="H248" s="889">
        <v>4</v>
      </c>
      <c r="I248" s="889">
        <v>-0.5</v>
      </c>
      <c r="J248" s="889">
        <v>0</v>
      </c>
      <c r="K248" s="889">
        <v>-1.4</v>
      </c>
      <c r="L248" s="426"/>
      <c r="M248" s="887">
        <v>1.0149999999999999</v>
      </c>
      <c r="N248" s="887">
        <v>-0.9</v>
      </c>
      <c r="O248" s="887">
        <v>0.3</v>
      </c>
      <c r="P248" s="887">
        <v>0.9</v>
      </c>
      <c r="Q248" s="887">
        <v>-0.7</v>
      </c>
      <c r="R248" s="887">
        <v>-0.9</v>
      </c>
      <c r="S248" s="887">
        <v>-0.1</v>
      </c>
      <c r="T248" s="887">
        <v>-1</v>
      </c>
      <c r="U248" s="426"/>
      <c r="V248" s="841">
        <v>-0.36</v>
      </c>
      <c r="W248" s="887">
        <v>0.3</v>
      </c>
      <c r="X248" s="887">
        <v>0.2</v>
      </c>
      <c r="Y248" s="887">
        <v>-0.51</v>
      </c>
      <c r="Z248" s="887">
        <v>0.9</v>
      </c>
      <c r="AA248" s="887">
        <v>0.4</v>
      </c>
      <c r="AB248" s="887">
        <v>0</v>
      </c>
      <c r="AC248" s="887">
        <v>0.7</v>
      </c>
      <c r="AD248" s="214"/>
    </row>
    <row r="249" spans="1:30" ht="15" customHeight="1">
      <c r="A249" s="761"/>
      <c r="B249" s="762"/>
      <c r="C249" s="763">
        <v>3</v>
      </c>
      <c r="D249" s="836">
        <v>-0.42</v>
      </c>
      <c r="E249" s="889">
        <v>-2.7</v>
      </c>
      <c r="F249" s="889">
        <v>1.7</v>
      </c>
      <c r="G249" s="889">
        <v>-0.4</v>
      </c>
      <c r="H249" s="889">
        <v>-4.2</v>
      </c>
      <c r="I249" s="889">
        <v>0</v>
      </c>
      <c r="J249" s="889">
        <v>1.8</v>
      </c>
      <c r="K249" s="889">
        <v>-1.4</v>
      </c>
      <c r="L249" s="426"/>
      <c r="M249" s="887">
        <v>-0.42199999999999999</v>
      </c>
      <c r="N249" s="887">
        <v>-0.4</v>
      </c>
      <c r="O249" s="887">
        <v>-0.2</v>
      </c>
      <c r="P249" s="887">
        <v>1.9</v>
      </c>
      <c r="Q249" s="887">
        <v>1.8</v>
      </c>
      <c r="R249" s="887">
        <v>0.6</v>
      </c>
      <c r="S249" s="887">
        <v>1</v>
      </c>
      <c r="T249" s="887">
        <v>-0.6</v>
      </c>
      <c r="U249" s="426"/>
      <c r="V249" s="841">
        <v>-0.31</v>
      </c>
      <c r="W249" s="887">
        <v>0</v>
      </c>
      <c r="X249" s="887">
        <v>1.1000000000000001</v>
      </c>
      <c r="Y249" s="887">
        <v>1.43</v>
      </c>
      <c r="Z249" s="887">
        <v>2.2000000000000002</v>
      </c>
      <c r="AA249" s="887">
        <v>-0.2</v>
      </c>
      <c r="AB249" s="887">
        <v>-0.3</v>
      </c>
      <c r="AC249" s="887">
        <v>0</v>
      </c>
      <c r="AD249" s="214"/>
    </row>
    <row r="250" spans="1:30" ht="15" customHeight="1">
      <c r="A250" s="761"/>
      <c r="B250" s="762"/>
      <c r="C250" s="763">
        <v>4</v>
      </c>
      <c r="D250" s="836">
        <v>-0.28000000000000003</v>
      </c>
      <c r="E250" s="889">
        <v>0.1</v>
      </c>
      <c r="F250" s="889">
        <v>-2.5</v>
      </c>
      <c r="G250" s="889">
        <v>-0.3</v>
      </c>
      <c r="H250" s="889">
        <v>2.2000000000000002</v>
      </c>
      <c r="I250" s="889">
        <v>0.1</v>
      </c>
      <c r="J250" s="889">
        <v>-1</v>
      </c>
      <c r="K250" s="889">
        <v>-0.1</v>
      </c>
      <c r="L250" s="426"/>
      <c r="M250" s="887">
        <v>-0.40500000000000003</v>
      </c>
      <c r="N250" s="887">
        <v>-1.2</v>
      </c>
      <c r="O250" s="887">
        <v>0.5</v>
      </c>
      <c r="P250" s="887">
        <v>-1.5</v>
      </c>
      <c r="Q250" s="887">
        <v>-2.1</v>
      </c>
      <c r="R250" s="887">
        <v>-2</v>
      </c>
      <c r="S250" s="887">
        <v>-2</v>
      </c>
      <c r="T250" s="887">
        <v>1.3</v>
      </c>
      <c r="U250" s="426"/>
      <c r="V250" s="841">
        <v>-0.2</v>
      </c>
      <c r="W250" s="887">
        <v>0.4</v>
      </c>
      <c r="X250" s="887">
        <v>-0.3</v>
      </c>
      <c r="Y250" s="887">
        <v>-7.0000000000000007E-2</v>
      </c>
      <c r="Z250" s="887">
        <v>-2.5</v>
      </c>
      <c r="AA250" s="887">
        <v>0</v>
      </c>
      <c r="AB250" s="887">
        <v>-0.1</v>
      </c>
      <c r="AC250" s="887">
        <v>-0.2</v>
      </c>
      <c r="AD250" s="214"/>
    </row>
    <row r="251" spans="1:30" ht="15" customHeight="1">
      <c r="A251" s="761"/>
      <c r="B251" s="762"/>
      <c r="C251" s="763">
        <v>5</v>
      </c>
      <c r="D251" s="836">
        <v>-0.24</v>
      </c>
      <c r="E251" s="889">
        <v>0.6</v>
      </c>
      <c r="F251" s="889">
        <v>0.6</v>
      </c>
      <c r="G251" s="889">
        <v>-0.1</v>
      </c>
      <c r="H251" s="889">
        <v>-1.1000000000000001</v>
      </c>
      <c r="I251" s="889">
        <v>-0.2</v>
      </c>
      <c r="J251" s="889">
        <v>0.9</v>
      </c>
      <c r="K251" s="889">
        <v>-0.1</v>
      </c>
      <c r="L251" s="426"/>
      <c r="M251" s="887">
        <v>0.28000000000000003</v>
      </c>
      <c r="N251" s="887">
        <v>0.8</v>
      </c>
      <c r="O251" s="887">
        <v>0.7</v>
      </c>
      <c r="P251" s="887">
        <v>0.2</v>
      </c>
      <c r="Q251" s="887">
        <v>0.7</v>
      </c>
      <c r="R251" s="887">
        <v>-0.3</v>
      </c>
      <c r="S251" s="887">
        <v>0.4</v>
      </c>
      <c r="T251" s="887">
        <v>-0.5</v>
      </c>
      <c r="U251" s="426"/>
      <c r="V251" s="841">
        <v>-0.18</v>
      </c>
      <c r="W251" s="887">
        <v>1.3</v>
      </c>
      <c r="X251" s="887">
        <v>-0.3</v>
      </c>
      <c r="Y251" s="887">
        <v>0.11</v>
      </c>
      <c r="Z251" s="887">
        <v>0.5</v>
      </c>
      <c r="AA251" s="887">
        <v>0.5</v>
      </c>
      <c r="AB251" s="887">
        <v>0.4</v>
      </c>
      <c r="AC251" s="887">
        <v>0.2</v>
      </c>
      <c r="AD251" s="214"/>
    </row>
    <row r="252" spans="1:30" ht="15" customHeight="1">
      <c r="A252" s="761"/>
      <c r="B252" s="762"/>
      <c r="C252" s="763">
        <v>6</v>
      </c>
      <c r="D252" s="836">
        <v>-0.16</v>
      </c>
      <c r="E252" s="889">
        <v>-0.3</v>
      </c>
      <c r="F252" s="889">
        <v>-1.7</v>
      </c>
      <c r="G252" s="889">
        <v>0</v>
      </c>
      <c r="H252" s="889">
        <v>1.2</v>
      </c>
      <c r="I252" s="889">
        <v>0.4</v>
      </c>
      <c r="J252" s="889">
        <v>-0.9</v>
      </c>
      <c r="K252" s="889">
        <v>-0.2</v>
      </c>
      <c r="L252" s="426"/>
      <c r="M252" s="887">
        <v>0.92100000000000004</v>
      </c>
      <c r="N252" s="887">
        <v>1.4</v>
      </c>
      <c r="O252" s="887">
        <v>0.5</v>
      </c>
      <c r="P252" s="887">
        <v>-0.4</v>
      </c>
      <c r="Q252" s="887">
        <v>0.3</v>
      </c>
      <c r="R252" s="887">
        <v>0.7</v>
      </c>
      <c r="S252" s="887">
        <v>0.3</v>
      </c>
      <c r="T252" s="887">
        <v>0.8</v>
      </c>
      <c r="U252" s="426"/>
      <c r="V252" s="841">
        <v>-0.13</v>
      </c>
      <c r="W252" s="887">
        <v>0.6</v>
      </c>
      <c r="X252" s="887">
        <v>-0.4</v>
      </c>
      <c r="Y252" s="887">
        <v>2.0099999999999998</v>
      </c>
      <c r="Z252" s="887">
        <v>1.1000000000000001</v>
      </c>
      <c r="AA252" s="887">
        <v>0.4</v>
      </c>
      <c r="AB252" s="887">
        <v>1.1000000000000001</v>
      </c>
      <c r="AC252" s="887">
        <v>-0.4</v>
      </c>
      <c r="AD252" s="214"/>
    </row>
    <row r="253" spans="1:30" ht="15" customHeight="1">
      <c r="A253" s="761"/>
      <c r="B253" s="762"/>
      <c r="C253" s="763">
        <v>7</v>
      </c>
      <c r="D253" s="836">
        <v>-0.25</v>
      </c>
      <c r="E253" s="889">
        <v>0.3</v>
      </c>
      <c r="F253" s="889">
        <v>-0.1</v>
      </c>
      <c r="G253" s="889">
        <v>0.1</v>
      </c>
      <c r="H253" s="889">
        <v>-1.3</v>
      </c>
      <c r="I253" s="889">
        <v>0.9</v>
      </c>
      <c r="J253" s="889">
        <v>-0.9</v>
      </c>
      <c r="K253" s="889">
        <v>1.2</v>
      </c>
      <c r="L253" s="426"/>
      <c r="M253" s="887">
        <v>0.877</v>
      </c>
      <c r="N253" s="887">
        <v>-0.8</v>
      </c>
      <c r="O253" s="887">
        <v>0.9</v>
      </c>
      <c r="P253" s="887">
        <v>-0.4</v>
      </c>
      <c r="Q253" s="887">
        <v>0.6</v>
      </c>
      <c r="R253" s="887">
        <v>0.7</v>
      </c>
      <c r="S253" s="887">
        <v>0.5</v>
      </c>
      <c r="T253" s="887">
        <v>-2.1</v>
      </c>
      <c r="U253" s="426"/>
      <c r="V253" s="841">
        <v>-0.21</v>
      </c>
      <c r="W253" s="887">
        <v>-0.6</v>
      </c>
      <c r="X253" s="887">
        <v>0.4</v>
      </c>
      <c r="Y253" s="887">
        <v>0.77</v>
      </c>
      <c r="Z253" s="887">
        <v>-1</v>
      </c>
      <c r="AA253" s="887">
        <v>1.6</v>
      </c>
      <c r="AB253" s="887">
        <v>0.5</v>
      </c>
      <c r="AC253" s="887">
        <v>-0.7</v>
      </c>
      <c r="AD253" s="214"/>
    </row>
    <row r="254" spans="1:30" ht="15" customHeight="1">
      <c r="A254" s="761"/>
      <c r="B254" s="762"/>
      <c r="C254" s="763">
        <v>8</v>
      </c>
      <c r="D254" s="836">
        <v>0.06</v>
      </c>
      <c r="E254" s="889">
        <v>0</v>
      </c>
      <c r="F254" s="889">
        <v>1.3</v>
      </c>
      <c r="G254" s="889">
        <v>0</v>
      </c>
      <c r="H254" s="889">
        <v>0.4</v>
      </c>
      <c r="I254" s="889">
        <v>1</v>
      </c>
      <c r="J254" s="889">
        <v>0.8</v>
      </c>
      <c r="K254" s="889">
        <v>1.3</v>
      </c>
      <c r="L254" s="426"/>
      <c r="M254" s="887">
        <v>0.126</v>
      </c>
      <c r="N254" s="887">
        <v>1.2</v>
      </c>
      <c r="O254" s="887">
        <v>0.9</v>
      </c>
      <c r="P254" s="887">
        <v>1.4</v>
      </c>
      <c r="Q254" s="887">
        <v>-0.1</v>
      </c>
      <c r="R254" s="887">
        <v>-0.2</v>
      </c>
      <c r="S254" s="887">
        <v>-0.2</v>
      </c>
      <c r="T254" s="887">
        <v>1.9</v>
      </c>
      <c r="U254" s="426"/>
      <c r="V254" s="841">
        <v>0.04</v>
      </c>
      <c r="W254" s="887">
        <v>1.2</v>
      </c>
      <c r="X254" s="887">
        <v>0.8</v>
      </c>
      <c r="Y254" s="887">
        <v>-2.4900000000000002</v>
      </c>
      <c r="Z254" s="887">
        <v>0.2</v>
      </c>
      <c r="AA254" s="887">
        <v>-1.4</v>
      </c>
      <c r="AB254" s="887">
        <v>0.5</v>
      </c>
      <c r="AC254" s="887">
        <v>0.2</v>
      </c>
      <c r="AD254" s="214"/>
    </row>
    <row r="255" spans="1:30" ht="15" customHeight="1">
      <c r="A255" s="761"/>
      <c r="B255" s="762"/>
      <c r="C255" s="763">
        <v>9</v>
      </c>
      <c r="D255" s="836">
        <v>-0.13</v>
      </c>
      <c r="E255" s="889">
        <v>-1.2</v>
      </c>
      <c r="F255" s="889">
        <v>0</v>
      </c>
      <c r="G255" s="889">
        <v>0.8</v>
      </c>
      <c r="H255" s="889">
        <v>0.2</v>
      </c>
      <c r="I255" s="889">
        <v>-0.4</v>
      </c>
      <c r="J255" s="889">
        <v>-0.1</v>
      </c>
      <c r="K255" s="889">
        <v>1.3</v>
      </c>
      <c r="L255" s="426"/>
      <c r="M255" s="887">
        <v>0.10299999999999999</v>
      </c>
      <c r="N255" s="887">
        <v>1</v>
      </c>
      <c r="O255" s="887">
        <v>-2.9</v>
      </c>
      <c r="P255" s="887">
        <v>0.1</v>
      </c>
      <c r="Q255" s="887">
        <v>0.5</v>
      </c>
      <c r="R255" s="887">
        <v>-0.5</v>
      </c>
      <c r="S255" s="887">
        <v>0.6</v>
      </c>
      <c r="T255" s="887">
        <v>-0.8</v>
      </c>
      <c r="U255" s="426"/>
      <c r="V255" s="841">
        <v>-0.12</v>
      </c>
      <c r="W255" s="887">
        <v>-0.3</v>
      </c>
      <c r="X255" s="887">
        <v>-0.4</v>
      </c>
      <c r="Y255" s="887">
        <v>1.47</v>
      </c>
      <c r="Z255" s="887">
        <v>0.3</v>
      </c>
      <c r="AA255" s="887">
        <v>-1.6</v>
      </c>
      <c r="AB255" s="887">
        <v>0.5</v>
      </c>
      <c r="AC255" s="887">
        <v>1.2</v>
      </c>
      <c r="AD255" s="214"/>
    </row>
    <row r="256" spans="1:30" ht="15" customHeight="1">
      <c r="A256" s="761"/>
      <c r="B256" s="762"/>
      <c r="C256" s="763">
        <v>10</v>
      </c>
      <c r="D256" s="836">
        <v>-0.15</v>
      </c>
      <c r="E256" s="889">
        <v>0.3</v>
      </c>
      <c r="F256" s="889">
        <v>-0.5</v>
      </c>
      <c r="G256" s="889">
        <v>-1.7</v>
      </c>
      <c r="H256" s="889">
        <v>0.4</v>
      </c>
      <c r="I256" s="889">
        <v>0.1</v>
      </c>
      <c r="J256" s="889">
        <v>0.4</v>
      </c>
      <c r="K256" s="889">
        <v>0</v>
      </c>
      <c r="L256" s="426"/>
      <c r="M256" s="887">
        <v>2.9000000000000001E-2</v>
      </c>
      <c r="N256" s="887">
        <v>0.3</v>
      </c>
      <c r="O256" s="887">
        <v>-0.3</v>
      </c>
      <c r="P256" s="887">
        <v>-1.3</v>
      </c>
      <c r="Q256" s="887">
        <v>-0.6</v>
      </c>
      <c r="R256" s="887">
        <v>-0.4</v>
      </c>
      <c r="S256" s="887">
        <v>-0.2</v>
      </c>
      <c r="T256" s="887">
        <v>-0.6</v>
      </c>
      <c r="U256" s="426"/>
      <c r="V256" s="841">
        <v>-0.13</v>
      </c>
      <c r="W256" s="887">
        <v>0.1</v>
      </c>
      <c r="X256" s="887">
        <v>-0.1</v>
      </c>
      <c r="Y256" s="887">
        <v>-0.68</v>
      </c>
      <c r="Z256" s="887">
        <v>-0.3</v>
      </c>
      <c r="AA256" s="887">
        <v>2.1</v>
      </c>
      <c r="AB256" s="887">
        <v>0.3</v>
      </c>
      <c r="AC256" s="887">
        <v>-0.6</v>
      </c>
      <c r="AD256" s="214"/>
    </row>
    <row r="257" spans="1:30" ht="15" customHeight="1">
      <c r="A257" s="761"/>
      <c r="B257" s="762"/>
      <c r="C257" s="763">
        <v>11</v>
      </c>
      <c r="D257" s="836">
        <v>0.01</v>
      </c>
      <c r="E257" s="889">
        <v>-0.8</v>
      </c>
      <c r="F257" s="889">
        <v>0.9</v>
      </c>
      <c r="G257" s="889">
        <v>-0.5</v>
      </c>
      <c r="H257" s="889">
        <v>1</v>
      </c>
      <c r="I257" s="889">
        <v>-1</v>
      </c>
      <c r="J257" s="889">
        <v>-0.9</v>
      </c>
      <c r="K257" s="889">
        <v>-0.1</v>
      </c>
      <c r="L257" s="426"/>
      <c r="M257" s="887">
        <v>-7.0000000000000001E-3</v>
      </c>
      <c r="N257" s="887">
        <v>1.7</v>
      </c>
      <c r="O257" s="887">
        <v>0.7</v>
      </c>
      <c r="P257" s="887">
        <v>1.6</v>
      </c>
      <c r="Q257" s="887">
        <v>0.1</v>
      </c>
      <c r="R257" s="887">
        <v>0.1</v>
      </c>
      <c r="S257" s="887">
        <v>-0.1</v>
      </c>
      <c r="T257" s="887">
        <v>0.3</v>
      </c>
      <c r="U257" s="426"/>
      <c r="V257" s="841">
        <v>0.01</v>
      </c>
      <c r="W257" s="887">
        <v>0</v>
      </c>
      <c r="X257" s="887">
        <v>0.8</v>
      </c>
      <c r="Y257" s="887">
        <v>1.0900000000000001</v>
      </c>
      <c r="Z257" s="887">
        <v>0</v>
      </c>
      <c r="AA257" s="887">
        <v>0.5</v>
      </c>
      <c r="AB257" s="887">
        <v>0.6</v>
      </c>
      <c r="AC257" s="887">
        <v>0</v>
      </c>
      <c r="AD257" s="214"/>
    </row>
    <row r="258" spans="1:30" ht="15" customHeight="1">
      <c r="A258" s="846"/>
      <c r="B258" s="847"/>
      <c r="C258" s="848">
        <v>12</v>
      </c>
      <c r="D258" s="866">
        <v>0.19</v>
      </c>
      <c r="E258" s="890">
        <v>-1.3</v>
      </c>
      <c r="F258" s="890">
        <v>-1.1000000000000001</v>
      </c>
      <c r="G258" s="890">
        <v>0.3</v>
      </c>
      <c r="H258" s="890">
        <v>0.7</v>
      </c>
      <c r="I258" s="890">
        <v>2.6</v>
      </c>
      <c r="J258" s="890">
        <v>-1</v>
      </c>
      <c r="K258" s="890">
        <v>0</v>
      </c>
      <c r="L258" s="843"/>
      <c r="M258" s="888">
        <v>-4.3999999999999997E-2</v>
      </c>
      <c r="N258" s="888">
        <v>-0.3</v>
      </c>
      <c r="O258" s="888">
        <v>-0.8</v>
      </c>
      <c r="P258" s="888">
        <v>0</v>
      </c>
      <c r="Q258" s="888">
        <v>-0.2</v>
      </c>
      <c r="R258" s="888">
        <v>-0.9</v>
      </c>
      <c r="S258" s="888">
        <v>0</v>
      </c>
      <c r="T258" s="888">
        <v>-1.3</v>
      </c>
      <c r="U258" s="843"/>
      <c r="V258" s="840">
        <v>0.13</v>
      </c>
      <c r="W258" s="888">
        <v>-0.5</v>
      </c>
      <c r="X258" s="888">
        <v>-0.1</v>
      </c>
      <c r="Y258" s="888">
        <v>2.2799999999999998</v>
      </c>
      <c r="Z258" s="888">
        <v>0.2</v>
      </c>
      <c r="AA258" s="888">
        <v>-1.1000000000000001</v>
      </c>
      <c r="AB258" s="888">
        <v>0</v>
      </c>
      <c r="AC258" s="888">
        <v>1.1000000000000001</v>
      </c>
      <c r="AD258" s="214"/>
    </row>
    <row r="259" spans="1:30" ht="15" customHeight="1">
      <c r="A259" s="851" t="s">
        <v>602</v>
      </c>
      <c r="B259" s="852">
        <v>2014</v>
      </c>
      <c r="C259" s="853">
        <v>1</v>
      </c>
      <c r="D259" s="837">
        <v>0.55000000000000004</v>
      </c>
      <c r="E259" s="889">
        <v>0.9</v>
      </c>
      <c r="F259" s="889">
        <v>-0.2</v>
      </c>
      <c r="G259" s="889">
        <v>0.6</v>
      </c>
      <c r="H259" s="889">
        <v>1.1000000000000001</v>
      </c>
      <c r="I259" s="889">
        <v>-1.9</v>
      </c>
      <c r="J259" s="889">
        <v>0</v>
      </c>
      <c r="K259" s="889">
        <v>-0.9</v>
      </c>
      <c r="L259" s="859"/>
      <c r="M259" s="887">
        <v>-0.128</v>
      </c>
      <c r="N259" s="887">
        <v>0.6</v>
      </c>
      <c r="O259" s="887">
        <v>-0.6</v>
      </c>
      <c r="P259" s="887">
        <v>1.1000000000000001</v>
      </c>
      <c r="Q259" s="887">
        <v>0.7</v>
      </c>
      <c r="R259" s="887">
        <v>-0.2</v>
      </c>
      <c r="S259" s="887">
        <v>0.7</v>
      </c>
      <c r="T259" s="887">
        <v>0.4</v>
      </c>
      <c r="U259" s="426"/>
      <c r="V259" s="862">
        <v>0.41</v>
      </c>
      <c r="W259" s="887">
        <v>0.3</v>
      </c>
      <c r="X259" s="887">
        <v>1.2</v>
      </c>
      <c r="Y259" s="887">
        <v>0</v>
      </c>
      <c r="Z259" s="887">
        <v>-0.5</v>
      </c>
      <c r="AA259" s="887">
        <v>-0.8</v>
      </c>
      <c r="AB259" s="887">
        <v>-0.9</v>
      </c>
      <c r="AC259" s="887">
        <v>1.6</v>
      </c>
      <c r="AD259" s="214"/>
    </row>
    <row r="260" spans="1:30" ht="15" customHeight="1">
      <c r="A260" s="761"/>
      <c r="B260" s="762"/>
      <c r="C260" s="763">
        <v>2</v>
      </c>
      <c r="D260" s="836">
        <v>0.69</v>
      </c>
      <c r="E260" s="889">
        <v>-0.3</v>
      </c>
      <c r="F260" s="889">
        <v>-0.9</v>
      </c>
      <c r="G260" s="889">
        <v>-0.5</v>
      </c>
      <c r="H260" s="889">
        <v>1.1000000000000001</v>
      </c>
      <c r="I260" s="889">
        <v>-1.3</v>
      </c>
      <c r="J260" s="889">
        <v>1.3</v>
      </c>
      <c r="K260" s="889">
        <v>-0.9</v>
      </c>
      <c r="L260" s="426"/>
      <c r="M260" s="887">
        <v>-0.91300000000000003</v>
      </c>
      <c r="N260" s="887">
        <v>-0.7</v>
      </c>
      <c r="O260" s="887">
        <v>1.4</v>
      </c>
      <c r="P260" s="887">
        <v>-1.8</v>
      </c>
      <c r="Q260" s="887">
        <v>0.2</v>
      </c>
      <c r="R260" s="887">
        <v>1.1000000000000001</v>
      </c>
      <c r="S260" s="887">
        <v>-0.6</v>
      </c>
      <c r="T260" s="887">
        <v>0.5</v>
      </c>
      <c r="U260" s="426"/>
      <c r="V260" s="841">
        <v>0.53</v>
      </c>
      <c r="W260" s="887">
        <v>0</v>
      </c>
      <c r="X260" s="887">
        <v>-2</v>
      </c>
      <c r="Y260" s="887">
        <v>0.68</v>
      </c>
      <c r="Z260" s="887">
        <v>0.4</v>
      </c>
      <c r="AA260" s="887">
        <v>2</v>
      </c>
      <c r="AB260" s="887">
        <v>0</v>
      </c>
      <c r="AC260" s="887">
        <v>-2</v>
      </c>
      <c r="AD260" s="214"/>
    </row>
    <row r="261" spans="1:30" ht="15" customHeight="1">
      <c r="A261" s="761"/>
      <c r="B261" s="762"/>
      <c r="C261" s="763">
        <v>3</v>
      </c>
      <c r="D261" s="836">
        <v>0.9</v>
      </c>
      <c r="E261" s="889">
        <v>-1.3</v>
      </c>
      <c r="F261" s="889">
        <v>0</v>
      </c>
      <c r="G261" s="889">
        <v>-0.5</v>
      </c>
      <c r="H261" s="889">
        <v>-2.2999999999999998</v>
      </c>
      <c r="I261" s="889">
        <v>1.8</v>
      </c>
      <c r="J261" s="889">
        <v>-0.9</v>
      </c>
      <c r="K261" s="889">
        <v>-1</v>
      </c>
      <c r="L261" s="426"/>
      <c r="M261" s="887">
        <v>-1.577</v>
      </c>
      <c r="N261" s="887">
        <v>-0.4</v>
      </c>
      <c r="O261" s="887">
        <v>-0.6</v>
      </c>
      <c r="P261" s="887">
        <v>-2.4</v>
      </c>
      <c r="Q261" s="887">
        <v>-2.2000000000000002</v>
      </c>
      <c r="R261" s="887">
        <v>-1</v>
      </c>
      <c r="S261" s="887">
        <v>-2.1</v>
      </c>
      <c r="T261" s="887">
        <v>-0.1</v>
      </c>
      <c r="U261" s="426"/>
      <c r="V261" s="841">
        <v>0.65</v>
      </c>
      <c r="W261" s="887">
        <v>-1.3</v>
      </c>
      <c r="X261" s="887">
        <v>-2.6</v>
      </c>
      <c r="Y261" s="887">
        <v>-0.93</v>
      </c>
      <c r="Z261" s="887">
        <v>1.5</v>
      </c>
      <c r="AA261" s="887">
        <v>-2.4</v>
      </c>
      <c r="AB261" s="887">
        <v>-0.2</v>
      </c>
      <c r="AC261" s="887">
        <v>-0.7</v>
      </c>
      <c r="AD261" s="214"/>
    </row>
    <row r="262" spans="1:30" ht="15" customHeight="1">
      <c r="A262" s="761"/>
      <c r="B262" s="762"/>
      <c r="C262" s="763">
        <v>4</v>
      </c>
      <c r="D262" s="836">
        <v>0.7</v>
      </c>
      <c r="E262" s="889">
        <v>0</v>
      </c>
      <c r="F262" s="889">
        <v>0.4</v>
      </c>
      <c r="G262" s="889">
        <v>-2.9</v>
      </c>
      <c r="H262" s="889">
        <v>-2.8</v>
      </c>
      <c r="I262" s="889">
        <v>-1</v>
      </c>
      <c r="J262" s="889">
        <v>0.4</v>
      </c>
      <c r="K262" s="889">
        <v>-0.7</v>
      </c>
      <c r="L262" s="426"/>
      <c r="M262" s="887">
        <v>-0.17499999999999999</v>
      </c>
      <c r="N262" s="887">
        <v>-0.2</v>
      </c>
      <c r="O262" s="887">
        <v>-0.8</v>
      </c>
      <c r="P262" s="887">
        <v>0.6</v>
      </c>
      <c r="Q262" s="887">
        <v>-1.8</v>
      </c>
      <c r="R262" s="887">
        <v>-0.1</v>
      </c>
      <c r="S262" s="887">
        <v>-1.3</v>
      </c>
      <c r="T262" s="887">
        <v>0.4</v>
      </c>
      <c r="U262" s="426"/>
      <c r="V262" s="841">
        <v>0.52</v>
      </c>
      <c r="W262" s="887">
        <v>1</v>
      </c>
      <c r="X262" s="887">
        <v>0.9</v>
      </c>
      <c r="Y262" s="887">
        <v>-0.02</v>
      </c>
      <c r="Z262" s="887">
        <v>-2.2999999999999998</v>
      </c>
      <c r="AA262" s="887">
        <v>-0.9</v>
      </c>
      <c r="AB262" s="887">
        <v>2.2000000000000002</v>
      </c>
      <c r="AC262" s="887">
        <v>0.3</v>
      </c>
      <c r="AD262" s="214"/>
    </row>
    <row r="263" spans="1:30" ht="15" customHeight="1">
      <c r="A263" s="761"/>
      <c r="B263" s="762"/>
      <c r="C263" s="763">
        <v>5</v>
      </c>
      <c r="D263" s="836">
        <v>0.73</v>
      </c>
      <c r="E263" s="889">
        <v>-1.2</v>
      </c>
      <c r="F263" s="889">
        <v>0.7</v>
      </c>
      <c r="G263" s="889">
        <v>1.6</v>
      </c>
      <c r="H263" s="889">
        <v>-0.6</v>
      </c>
      <c r="I263" s="889">
        <v>-1.3</v>
      </c>
      <c r="J263" s="889">
        <v>0.7</v>
      </c>
      <c r="K263" s="889">
        <v>-0.8</v>
      </c>
      <c r="L263" s="426"/>
      <c r="M263" s="887">
        <v>-1.538</v>
      </c>
      <c r="N263" s="887">
        <v>-2.6</v>
      </c>
      <c r="O263" s="887">
        <v>-0.8</v>
      </c>
      <c r="P263" s="887">
        <v>2.2999999999999998</v>
      </c>
      <c r="Q263" s="887">
        <v>2.1</v>
      </c>
      <c r="R263" s="887">
        <v>2</v>
      </c>
      <c r="S263" s="887">
        <v>2.2999999999999998</v>
      </c>
      <c r="T263" s="887">
        <v>-0.7</v>
      </c>
      <c r="U263" s="426"/>
      <c r="V263" s="841">
        <v>0.55000000000000004</v>
      </c>
      <c r="W263" s="887">
        <v>0.7</v>
      </c>
      <c r="X263" s="887">
        <v>1.9</v>
      </c>
      <c r="Y263" s="887">
        <v>0.46</v>
      </c>
      <c r="Z263" s="887">
        <v>1.5</v>
      </c>
      <c r="AA263" s="887">
        <v>-0.4</v>
      </c>
      <c r="AB263" s="887">
        <v>0.7</v>
      </c>
      <c r="AC263" s="887">
        <v>0</v>
      </c>
      <c r="AD263" s="214"/>
    </row>
    <row r="264" spans="1:30" ht="15" customHeight="1">
      <c r="A264" s="761"/>
      <c r="B264" s="762"/>
      <c r="C264" s="763">
        <v>6</v>
      </c>
      <c r="D264" s="836">
        <v>0.72</v>
      </c>
      <c r="E264" s="889">
        <v>0</v>
      </c>
      <c r="F264" s="889">
        <v>-0.8</v>
      </c>
      <c r="G264" s="889">
        <v>0.5</v>
      </c>
      <c r="H264" s="889">
        <v>-1.4</v>
      </c>
      <c r="I264" s="889">
        <v>0.2</v>
      </c>
      <c r="J264" s="889">
        <v>-0.1</v>
      </c>
      <c r="K264" s="889">
        <v>-0.7</v>
      </c>
      <c r="L264" s="426"/>
      <c r="M264" s="887">
        <v>-2.2349999999999999</v>
      </c>
      <c r="N264" s="887">
        <v>-0.3</v>
      </c>
      <c r="O264" s="887">
        <v>0.7</v>
      </c>
      <c r="P264" s="887">
        <v>1.5</v>
      </c>
      <c r="Q264" s="887">
        <v>0.8</v>
      </c>
      <c r="R264" s="887">
        <v>-0.6</v>
      </c>
      <c r="S264" s="887">
        <v>1</v>
      </c>
      <c r="T264" s="887">
        <v>0.4</v>
      </c>
      <c r="U264" s="426"/>
      <c r="V264" s="841">
        <v>0.54</v>
      </c>
      <c r="W264" s="887">
        <v>0</v>
      </c>
      <c r="X264" s="887">
        <v>1.5</v>
      </c>
      <c r="Y264" s="887">
        <v>-1.57</v>
      </c>
      <c r="Z264" s="887">
        <v>-0.9</v>
      </c>
      <c r="AA264" s="887">
        <v>0.2</v>
      </c>
      <c r="AB264" s="887">
        <v>0.1</v>
      </c>
      <c r="AC264" s="887">
        <v>0.5</v>
      </c>
      <c r="AD264" s="214"/>
    </row>
    <row r="265" spans="1:30" ht="15" customHeight="1">
      <c r="A265" s="761"/>
      <c r="B265" s="762"/>
      <c r="C265" s="763">
        <v>7</v>
      </c>
      <c r="D265" s="836">
        <v>0.63</v>
      </c>
      <c r="E265" s="889">
        <v>-0.7</v>
      </c>
      <c r="F265" s="889">
        <v>0.2</v>
      </c>
      <c r="G265" s="889">
        <v>-0.5</v>
      </c>
      <c r="H265" s="889">
        <v>0.4</v>
      </c>
      <c r="I265" s="889">
        <v>-1.2</v>
      </c>
      <c r="J265" s="889">
        <v>-1.3</v>
      </c>
      <c r="K265" s="889">
        <v>-0.8</v>
      </c>
      <c r="L265" s="426"/>
      <c r="M265" s="887">
        <v>-2.1989999999999998</v>
      </c>
      <c r="N265" s="887">
        <v>1.1000000000000001</v>
      </c>
      <c r="O265" s="887">
        <v>-0.3</v>
      </c>
      <c r="P265" s="887">
        <v>-0.7</v>
      </c>
      <c r="Q265" s="887">
        <v>-0.7</v>
      </c>
      <c r="R265" s="887">
        <v>0.1</v>
      </c>
      <c r="S265" s="887">
        <v>-0.8</v>
      </c>
      <c r="T265" s="887">
        <v>0.5</v>
      </c>
      <c r="U265" s="426"/>
      <c r="V265" s="841">
        <v>0.49</v>
      </c>
      <c r="W265" s="887">
        <v>-0.4</v>
      </c>
      <c r="X265" s="887">
        <v>-0.5</v>
      </c>
      <c r="Y265" s="887">
        <v>-0.85</v>
      </c>
      <c r="Z265" s="887">
        <v>1</v>
      </c>
      <c r="AA265" s="887">
        <v>0</v>
      </c>
      <c r="AB265" s="887">
        <v>-0.8</v>
      </c>
      <c r="AC265" s="887">
        <v>0.4</v>
      </c>
      <c r="AD265" s="214"/>
    </row>
    <row r="266" spans="1:30" ht="15" customHeight="1">
      <c r="A266" s="761"/>
      <c r="B266" s="762"/>
      <c r="C266" s="763">
        <v>8</v>
      </c>
      <c r="D266" s="836">
        <v>0.49</v>
      </c>
      <c r="E266" s="889">
        <v>0.3</v>
      </c>
      <c r="F266" s="889">
        <v>-0.3</v>
      </c>
      <c r="G266" s="889">
        <v>-0.9</v>
      </c>
      <c r="H266" s="889">
        <v>-1.9</v>
      </c>
      <c r="I266" s="889">
        <v>1.6</v>
      </c>
      <c r="J266" s="889">
        <v>0.4</v>
      </c>
      <c r="K266" s="889">
        <v>-0.7</v>
      </c>
      <c r="L266" s="426"/>
      <c r="M266" s="887">
        <v>-0.159</v>
      </c>
      <c r="N266" s="887">
        <v>-0.1</v>
      </c>
      <c r="O266" s="887">
        <v>0.2</v>
      </c>
      <c r="P266" s="887">
        <v>-0.6</v>
      </c>
      <c r="Q266" s="887">
        <v>-2.2999999999999998</v>
      </c>
      <c r="R266" s="887">
        <v>-2</v>
      </c>
      <c r="S266" s="887">
        <v>-2.2999999999999998</v>
      </c>
      <c r="T266" s="887">
        <v>-0.7</v>
      </c>
      <c r="U266" s="426"/>
      <c r="V266" s="841">
        <v>0.38</v>
      </c>
      <c r="W266" s="887">
        <v>-0.7</v>
      </c>
      <c r="X266" s="887">
        <v>-0.9</v>
      </c>
      <c r="Y266" s="887">
        <v>2.4300000000000002</v>
      </c>
      <c r="Z266" s="887">
        <v>-0.1</v>
      </c>
      <c r="AA266" s="887">
        <v>0.7</v>
      </c>
      <c r="AB266" s="887">
        <v>-0.2</v>
      </c>
      <c r="AC266" s="887">
        <v>-1</v>
      </c>
      <c r="AD266" s="214"/>
    </row>
    <row r="267" spans="1:30" ht="15" customHeight="1">
      <c r="A267" s="761"/>
      <c r="B267" s="762"/>
      <c r="C267" s="763">
        <v>9</v>
      </c>
      <c r="D267" s="836">
        <v>0.56000000000000005</v>
      </c>
      <c r="E267" s="889">
        <v>0.7</v>
      </c>
      <c r="F267" s="889">
        <v>0</v>
      </c>
      <c r="G267" s="889">
        <v>0.2</v>
      </c>
      <c r="H267" s="889">
        <v>3.7</v>
      </c>
      <c r="I267" s="889">
        <v>-0.5</v>
      </c>
      <c r="J267" s="889">
        <v>0.4</v>
      </c>
      <c r="K267" s="889">
        <v>-0.7</v>
      </c>
      <c r="L267" s="426"/>
      <c r="M267" s="887">
        <v>-0.78700000000000003</v>
      </c>
      <c r="N267" s="887">
        <v>0.3</v>
      </c>
      <c r="O267" s="887">
        <v>0.2</v>
      </c>
      <c r="P267" s="887">
        <v>0.4</v>
      </c>
      <c r="Q267" s="887">
        <v>1.6</v>
      </c>
      <c r="R267" s="887">
        <v>1.5</v>
      </c>
      <c r="S267" s="887">
        <v>1.7</v>
      </c>
      <c r="T267" s="887">
        <v>0.6</v>
      </c>
      <c r="U267" s="426"/>
      <c r="V267" s="841">
        <v>0.42</v>
      </c>
      <c r="W267" s="887">
        <v>-1</v>
      </c>
      <c r="X267" s="887">
        <v>0.4</v>
      </c>
      <c r="Y267" s="887">
        <v>-0.98</v>
      </c>
      <c r="Z267" s="887">
        <v>-0.6</v>
      </c>
      <c r="AA267" s="887">
        <v>2.2999999999999998</v>
      </c>
      <c r="AB267" s="887">
        <v>-0.4</v>
      </c>
      <c r="AC267" s="887">
        <v>0.2</v>
      </c>
      <c r="AD267" s="214"/>
    </row>
    <row r="268" spans="1:30" ht="15" customHeight="1">
      <c r="A268" s="761"/>
      <c r="B268" s="762"/>
      <c r="C268" s="763">
        <v>10</v>
      </c>
      <c r="D268" s="836">
        <v>0.54</v>
      </c>
      <c r="E268" s="889">
        <v>-0.5</v>
      </c>
      <c r="F268" s="889">
        <v>-0.9</v>
      </c>
      <c r="G268" s="889">
        <v>1.5</v>
      </c>
      <c r="H268" s="889">
        <v>-3.2</v>
      </c>
      <c r="I268" s="889">
        <v>1.8</v>
      </c>
      <c r="J268" s="889">
        <v>0.4</v>
      </c>
      <c r="K268" s="889">
        <v>1</v>
      </c>
      <c r="L268" s="426"/>
      <c r="M268" s="887">
        <v>1.843</v>
      </c>
      <c r="N268" s="887">
        <v>0.3</v>
      </c>
      <c r="O268" s="887">
        <v>0.4</v>
      </c>
      <c r="P268" s="887">
        <v>0.3</v>
      </c>
      <c r="Q268" s="887">
        <v>0.1</v>
      </c>
      <c r="R268" s="887">
        <v>0</v>
      </c>
      <c r="S268" s="887">
        <v>-1.1000000000000001</v>
      </c>
      <c r="T268" s="887">
        <v>0</v>
      </c>
      <c r="U268" s="426"/>
      <c r="V268" s="841">
        <v>0.41</v>
      </c>
      <c r="W268" s="887">
        <v>-0.1</v>
      </c>
      <c r="X268" s="887">
        <v>1.1000000000000001</v>
      </c>
      <c r="Y268" s="887">
        <v>-0.83</v>
      </c>
      <c r="Z268" s="887">
        <v>0</v>
      </c>
      <c r="AA268" s="887">
        <v>-1.7</v>
      </c>
      <c r="AB268" s="887">
        <v>0</v>
      </c>
      <c r="AC268" s="887">
        <v>1.6</v>
      </c>
      <c r="AD268" s="214"/>
    </row>
    <row r="269" spans="1:30" ht="15" customHeight="1">
      <c r="A269" s="761"/>
      <c r="B269" s="762"/>
      <c r="C269" s="763">
        <v>11</v>
      </c>
      <c r="D269" s="836">
        <v>0.65</v>
      </c>
      <c r="E269" s="889">
        <v>0.6</v>
      </c>
      <c r="F269" s="889">
        <v>0.1</v>
      </c>
      <c r="G269" s="889">
        <v>0</v>
      </c>
      <c r="H269" s="889">
        <v>2.1</v>
      </c>
      <c r="I269" s="889">
        <v>-3.6</v>
      </c>
      <c r="J269" s="889">
        <v>-2.1</v>
      </c>
      <c r="K269" s="889">
        <v>0.9</v>
      </c>
      <c r="L269" s="426"/>
      <c r="M269" s="887">
        <v>0.47599999999999998</v>
      </c>
      <c r="N269" s="887">
        <v>0.1</v>
      </c>
      <c r="O269" s="887">
        <v>1.1000000000000001</v>
      </c>
      <c r="P269" s="887">
        <v>-0.2</v>
      </c>
      <c r="Q269" s="887">
        <v>0.8</v>
      </c>
      <c r="R269" s="887">
        <v>0.2</v>
      </c>
      <c r="S269" s="887">
        <v>1.4</v>
      </c>
      <c r="T269" s="887">
        <v>2.7</v>
      </c>
      <c r="U269" s="426"/>
      <c r="V269" s="841">
        <v>0.51</v>
      </c>
      <c r="W269" s="887">
        <v>-0.5</v>
      </c>
      <c r="X269" s="887">
        <v>-1.2</v>
      </c>
      <c r="Y269" s="887">
        <v>1.18</v>
      </c>
      <c r="Z269" s="887">
        <v>0.5</v>
      </c>
      <c r="AA269" s="887">
        <v>0.1</v>
      </c>
      <c r="AB269" s="887">
        <v>-1.6</v>
      </c>
      <c r="AC269" s="887">
        <v>-1.7</v>
      </c>
      <c r="AD269" s="214"/>
    </row>
    <row r="270" spans="1:30" ht="15" customHeight="1">
      <c r="A270" s="846"/>
      <c r="B270" s="847"/>
      <c r="C270" s="848">
        <v>12</v>
      </c>
      <c r="D270" s="866">
        <v>0.44</v>
      </c>
      <c r="E270" s="890">
        <v>-1.8</v>
      </c>
      <c r="F270" s="890">
        <v>-0.6</v>
      </c>
      <c r="G270" s="890">
        <v>-0.2</v>
      </c>
      <c r="H270" s="890">
        <v>3.7</v>
      </c>
      <c r="I270" s="890">
        <v>2.5</v>
      </c>
      <c r="J270" s="890">
        <v>2.5</v>
      </c>
      <c r="K270" s="890">
        <v>1</v>
      </c>
      <c r="L270" s="843"/>
      <c r="M270" s="888">
        <v>0.46200000000000002</v>
      </c>
      <c r="N270" s="888">
        <v>0.6</v>
      </c>
      <c r="O270" s="888">
        <v>-1.2</v>
      </c>
      <c r="P270" s="888">
        <v>-0.6</v>
      </c>
      <c r="Q270" s="888">
        <v>-0.9</v>
      </c>
      <c r="R270" s="888">
        <v>-2.2999999999999998</v>
      </c>
      <c r="S270" s="888">
        <v>-1.3</v>
      </c>
      <c r="T270" s="888">
        <v>-2.9</v>
      </c>
      <c r="U270" s="843"/>
      <c r="V270" s="840">
        <v>0.32</v>
      </c>
      <c r="W270" s="888">
        <v>-2.1</v>
      </c>
      <c r="X270" s="888">
        <v>-0.2</v>
      </c>
      <c r="Y270" s="888">
        <v>0.11</v>
      </c>
      <c r="Z270" s="888">
        <v>-0.8</v>
      </c>
      <c r="AA270" s="888">
        <v>0.3</v>
      </c>
      <c r="AB270" s="888">
        <v>-0.3</v>
      </c>
      <c r="AC270" s="888">
        <v>0.5</v>
      </c>
      <c r="AD270" s="214"/>
    </row>
    <row r="271" spans="1:30" ht="15" customHeight="1">
      <c r="A271" s="851" t="s">
        <v>612</v>
      </c>
      <c r="B271" s="852">
        <v>2015</v>
      </c>
      <c r="C271" s="853">
        <v>1</v>
      </c>
      <c r="D271" s="837">
        <v>0.36</v>
      </c>
      <c r="E271" s="889">
        <v>1.6</v>
      </c>
      <c r="F271" s="889">
        <v>-0.8</v>
      </c>
      <c r="G271" s="889">
        <v>0.2</v>
      </c>
      <c r="H271" s="889">
        <v>-4.4000000000000004</v>
      </c>
      <c r="I271" s="889">
        <v>-0.1</v>
      </c>
      <c r="J271" s="889">
        <v>-1.3</v>
      </c>
      <c r="K271" s="889">
        <v>-2.4</v>
      </c>
      <c r="L271" s="859"/>
      <c r="M271" s="887">
        <v>-0.23499999999999999</v>
      </c>
      <c r="N271" s="887">
        <v>1.2</v>
      </c>
      <c r="O271" s="887">
        <v>2</v>
      </c>
      <c r="P271" s="887">
        <v>0.6</v>
      </c>
      <c r="Q271" s="887">
        <v>1</v>
      </c>
      <c r="R271" s="887">
        <v>2</v>
      </c>
      <c r="S271" s="887">
        <v>1.9</v>
      </c>
      <c r="T271" s="887">
        <v>0.1</v>
      </c>
      <c r="U271" s="426"/>
      <c r="V271" s="862">
        <v>0.28999999999999998</v>
      </c>
      <c r="W271" s="887">
        <v>-3.4</v>
      </c>
      <c r="X271" s="887">
        <v>0.5</v>
      </c>
      <c r="Y271" s="887">
        <v>-1.84</v>
      </c>
      <c r="Z271" s="887">
        <v>0</v>
      </c>
      <c r="AA271" s="887">
        <v>-0.1</v>
      </c>
      <c r="AB271" s="887">
        <v>-0.7</v>
      </c>
      <c r="AC271" s="887">
        <v>-3.4</v>
      </c>
      <c r="AD271" s="214"/>
    </row>
    <row r="272" spans="1:30" ht="15" customHeight="1">
      <c r="A272" s="761"/>
      <c r="B272" s="762"/>
      <c r="C272" s="763">
        <v>2</v>
      </c>
      <c r="D272" s="836">
        <v>0.39</v>
      </c>
      <c r="E272" s="889">
        <v>-1.1000000000000001</v>
      </c>
      <c r="F272" s="889">
        <v>0.1</v>
      </c>
      <c r="G272" s="889">
        <v>-0.6</v>
      </c>
      <c r="H272" s="889">
        <v>-1.2</v>
      </c>
      <c r="I272" s="889">
        <v>-0.5</v>
      </c>
      <c r="J272" s="889">
        <v>0.4</v>
      </c>
      <c r="K272" s="889">
        <v>-2.2000000000000002</v>
      </c>
      <c r="L272" s="426"/>
      <c r="M272" s="887">
        <v>-0.89600000000000002</v>
      </c>
      <c r="N272" s="887">
        <v>-0.2</v>
      </c>
      <c r="O272" s="887">
        <v>-1.6</v>
      </c>
      <c r="P272" s="887">
        <v>-0.9</v>
      </c>
      <c r="Q272" s="887">
        <v>0.2</v>
      </c>
      <c r="R272" s="887">
        <v>-0.1</v>
      </c>
      <c r="S272" s="887">
        <v>-1.2</v>
      </c>
      <c r="T272" s="887">
        <v>-0.7</v>
      </c>
      <c r="U272" s="426"/>
      <c r="V272" s="841">
        <v>0.31</v>
      </c>
      <c r="W272" s="887">
        <v>2.4</v>
      </c>
      <c r="X272" s="887">
        <v>-1.1000000000000001</v>
      </c>
      <c r="Y272" s="887">
        <v>0.53</v>
      </c>
      <c r="Z272" s="887">
        <v>0.1</v>
      </c>
      <c r="AA272" s="887">
        <v>0</v>
      </c>
      <c r="AB272" s="887">
        <v>-0.9</v>
      </c>
      <c r="AC272" s="887">
        <v>2.6</v>
      </c>
      <c r="AD272" s="214"/>
    </row>
    <row r="273" spans="1:30" ht="15" customHeight="1">
      <c r="A273" s="761"/>
      <c r="B273" s="762"/>
      <c r="C273" s="763">
        <v>3</v>
      </c>
      <c r="D273" s="836">
        <v>0.3</v>
      </c>
      <c r="E273" s="889">
        <v>-0.1</v>
      </c>
      <c r="F273" s="889">
        <v>-0.6</v>
      </c>
      <c r="G273" s="889">
        <v>0</v>
      </c>
      <c r="H273" s="889">
        <v>2.6</v>
      </c>
      <c r="I273" s="889">
        <v>-0.1</v>
      </c>
      <c r="J273" s="889">
        <v>-1.2</v>
      </c>
      <c r="K273" s="889">
        <v>-2.2000000000000002</v>
      </c>
      <c r="L273" s="426"/>
      <c r="M273" s="887">
        <v>-0.2</v>
      </c>
      <c r="N273" s="887">
        <v>0</v>
      </c>
      <c r="O273" s="887">
        <v>0.9</v>
      </c>
      <c r="P273" s="887">
        <v>0.2</v>
      </c>
      <c r="Q273" s="887">
        <v>0</v>
      </c>
      <c r="R273" s="887">
        <v>-0.8</v>
      </c>
      <c r="S273" s="887">
        <v>0.3</v>
      </c>
      <c r="T273" s="887">
        <v>0.7</v>
      </c>
      <c r="U273" s="426"/>
      <c r="V273" s="841">
        <v>0.21</v>
      </c>
      <c r="W273" s="887">
        <v>-0.8</v>
      </c>
      <c r="X273" s="887">
        <v>0.5</v>
      </c>
      <c r="Y273" s="887">
        <v>0.42</v>
      </c>
      <c r="Z273" s="887">
        <v>-2.1</v>
      </c>
      <c r="AA273" s="887">
        <v>1.5</v>
      </c>
      <c r="AB273" s="887">
        <v>0.7</v>
      </c>
      <c r="AC273" s="887">
        <v>0.1</v>
      </c>
      <c r="AD273" s="214"/>
    </row>
    <row r="274" spans="1:30" ht="15" customHeight="1">
      <c r="A274" s="761"/>
      <c r="B274" s="762"/>
      <c r="C274" s="763">
        <v>4</v>
      </c>
      <c r="D274" s="836">
        <v>0.43</v>
      </c>
      <c r="E274" s="889">
        <v>-0.7</v>
      </c>
      <c r="F274" s="889">
        <v>0.5</v>
      </c>
      <c r="G274" s="889">
        <v>-0.7</v>
      </c>
      <c r="H274" s="889">
        <v>-3.7</v>
      </c>
      <c r="I274" s="889">
        <v>0.2</v>
      </c>
      <c r="J274" s="889">
        <v>0.4</v>
      </c>
      <c r="K274" s="889">
        <v>-0.3</v>
      </c>
      <c r="L274" s="426"/>
      <c r="M274" s="887">
        <v>1.139</v>
      </c>
      <c r="N274" s="887">
        <v>0.5</v>
      </c>
      <c r="O274" s="887">
        <v>-0.3</v>
      </c>
      <c r="P274" s="887">
        <v>-0.6</v>
      </c>
      <c r="Q274" s="887">
        <v>-0.8</v>
      </c>
      <c r="R274" s="887">
        <v>1.6</v>
      </c>
      <c r="S274" s="887">
        <v>-0.2</v>
      </c>
      <c r="T274" s="887">
        <v>2</v>
      </c>
      <c r="U274" s="426"/>
      <c r="V274" s="841">
        <v>0.34</v>
      </c>
      <c r="W274" s="887">
        <v>-0.3</v>
      </c>
      <c r="X274" s="887">
        <v>-0.5</v>
      </c>
      <c r="Y274" s="887">
        <v>0.11</v>
      </c>
      <c r="Z274" s="887">
        <v>1.9</v>
      </c>
      <c r="AA274" s="887">
        <v>-0.4</v>
      </c>
      <c r="AB274" s="887">
        <v>-2.5</v>
      </c>
      <c r="AC274" s="887">
        <v>0.6</v>
      </c>
      <c r="AD274" s="214"/>
    </row>
    <row r="275" spans="1:30" ht="15" customHeight="1">
      <c r="A275" s="761"/>
      <c r="B275" s="762"/>
      <c r="C275" s="763">
        <v>5</v>
      </c>
      <c r="D275" s="836">
        <v>0.2</v>
      </c>
      <c r="E275" s="889">
        <v>0.2</v>
      </c>
      <c r="F275" s="889">
        <v>-0.1</v>
      </c>
      <c r="G275" s="889">
        <v>0.5</v>
      </c>
      <c r="H275" s="889">
        <v>1.9</v>
      </c>
      <c r="I275" s="889">
        <v>-0.5</v>
      </c>
      <c r="J275" s="889">
        <v>1.1000000000000001</v>
      </c>
      <c r="K275" s="889">
        <v>-0.3</v>
      </c>
      <c r="L275" s="426"/>
      <c r="M275" s="887">
        <v>-0.91300000000000003</v>
      </c>
      <c r="N275" s="887">
        <v>-0.4</v>
      </c>
      <c r="O275" s="887">
        <v>1.1000000000000001</v>
      </c>
      <c r="P275" s="887">
        <v>1.5</v>
      </c>
      <c r="Q275" s="887">
        <v>-1.3</v>
      </c>
      <c r="R275" s="887">
        <v>-2.7</v>
      </c>
      <c r="S275" s="887">
        <v>-0.5</v>
      </c>
      <c r="T275" s="887">
        <v>-2.1</v>
      </c>
      <c r="U275" s="426"/>
      <c r="V275" s="841">
        <v>0.14000000000000001</v>
      </c>
      <c r="W275" s="887">
        <v>-1.3</v>
      </c>
      <c r="X275" s="887">
        <v>0.7</v>
      </c>
      <c r="Y275" s="887">
        <v>0.2</v>
      </c>
      <c r="Z275" s="887">
        <v>-0.6</v>
      </c>
      <c r="AA275" s="887">
        <v>-0.6</v>
      </c>
      <c r="AB275" s="887">
        <v>0.3</v>
      </c>
      <c r="AC275" s="887">
        <v>-0.8</v>
      </c>
      <c r="AD275" s="214"/>
    </row>
    <row r="276" spans="1:30" ht="15" customHeight="1">
      <c r="A276" s="761"/>
      <c r="B276" s="762"/>
      <c r="C276" s="763">
        <v>6</v>
      </c>
      <c r="D276" s="836">
        <v>0.17</v>
      </c>
      <c r="E276" s="889">
        <v>0</v>
      </c>
      <c r="F276" s="889">
        <v>-0.5</v>
      </c>
      <c r="G276" s="889">
        <v>-0.5</v>
      </c>
      <c r="H276" s="889">
        <v>0.4</v>
      </c>
      <c r="I276" s="889">
        <v>0.7</v>
      </c>
      <c r="J276" s="889">
        <v>-1.2</v>
      </c>
      <c r="K276" s="889">
        <v>-0.3</v>
      </c>
      <c r="L276" s="426"/>
      <c r="M276" s="887">
        <v>-0.217</v>
      </c>
      <c r="N276" s="887">
        <v>-1.5</v>
      </c>
      <c r="O276" s="887">
        <v>-0.7</v>
      </c>
      <c r="P276" s="887">
        <v>-1.3</v>
      </c>
      <c r="Q276" s="887">
        <v>0.3</v>
      </c>
      <c r="R276" s="887">
        <v>-0.1</v>
      </c>
      <c r="S276" s="887">
        <v>0.5</v>
      </c>
      <c r="T276" s="887">
        <v>-0.8</v>
      </c>
      <c r="U276" s="426"/>
      <c r="V276" s="841">
        <v>0.13</v>
      </c>
      <c r="W276" s="887">
        <v>-0.3</v>
      </c>
      <c r="X276" s="887">
        <v>-0.5</v>
      </c>
      <c r="Y276" s="887">
        <v>-0.77</v>
      </c>
      <c r="Z276" s="887">
        <v>-1.3</v>
      </c>
      <c r="AA276" s="887">
        <v>1.4</v>
      </c>
      <c r="AB276" s="887">
        <v>-0.6</v>
      </c>
      <c r="AC276" s="887">
        <v>0.6</v>
      </c>
      <c r="AD276" s="214"/>
    </row>
    <row r="277" spans="1:30" ht="15" customHeight="1">
      <c r="A277" s="761"/>
      <c r="B277" s="762"/>
      <c r="C277" s="763">
        <v>7</v>
      </c>
      <c r="D277" s="836">
        <v>0.34</v>
      </c>
      <c r="E277" s="889">
        <v>0.3</v>
      </c>
      <c r="F277" s="889">
        <v>0.4</v>
      </c>
      <c r="G277" s="889">
        <v>0.3</v>
      </c>
      <c r="H277" s="889">
        <v>-1.1000000000000001</v>
      </c>
      <c r="I277" s="889">
        <v>-1.4</v>
      </c>
      <c r="J277" s="889">
        <v>1.5</v>
      </c>
      <c r="K277" s="889">
        <v>-0.4</v>
      </c>
      <c r="L277" s="426"/>
      <c r="M277" s="887">
        <v>0.45900000000000002</v>
      </c>
      <c r="N277" s="887">
        <v>0.3</v>
      </c>
      <c r="O277" s="887">
        <v>0.6</v>
      </c>
      <c r="P277" s="887">
        <v>-0.3</v>
      </c>
      <c r="Q277" s="887">
        <v>0.1</v>
      </c>
      <c r="R277" s="887">
        <v>0.2</v>
      </c>
      <c r="S277" s="887">
        <v>0</v>
      </c>
      <c r="T277" s="887">
        <v>0.8</v>
      </c>
      <c r="U277" s="426"/>
      <c r="V277" s="841">
        <v>0.28000000000000003</v>
      </c>
      <c r="W277" s="887">
        <v>0</v>
      </c>
      <c r="X277" s="887">
        <v>-0.3</v>
      </c>
      <c r="Y277" s="887">
        <v>-0.08</v>
      </c>
      <c r="Z277" s="887">
        <v>0.3</v>
      </c>
      <c r="AA277" s="887">
        <v>-2.7</v>
      </c>
      <c r="AB277" s="887">
        <v>0</v>
      </c>
      <c r="AC277" s="887">
        <v>-0.3</v>
      </c>
      <c r="AD277" s="214"/>
    </row>
    <row r="278" spans="1:30" ht="15" customHeight="1">
      <c r="A278" s="761"/>
      <c r="B278" s="762"/>
      <c r="C278" s="763">
        <v>8</v>
      </c>
      <c r="D278" s="836">
        <v>0.17</v>
      </c>
      <c r="E278" s="889">
        <v>-0.4</v>
      </c>
      <c r="F278" s="889">
        <v>-1.1000000000000001</v>
      </c>
      <c r="G278" s="889">
        <v>1.8</v>
      </c>
      <c r="H278" s="889">
        <v>1.3</v>
      </c>
      <c r="I278" s="889">
        <v>0.8</v>
      </c>
      <c r="J278" s="889">
        <v>-1.6</v>
      </c>
      <c r="K278" s="889">
        <v>-0.4</v>
      </c>
      <c r="L278" s="426"/>
      <c r="M278" s="887">
        <v>1.1080000000000001</v>
      </c>
      <c r="N278" s="887">
        <v>-0.6</v>
      </c>
      <c r="O278" s="887">
        <v>0.2</v>
      </c>
      <c r="P278" s="887">
        <v>0.8</v>
      </c>
      <c r="Q278" s="887">
        <v>0.2</v>
      </c>
      <c r="R278" s="887">
        <v>-1.1000000000000001</v>
      </c>
      <c r="S278" s="887">
        <v>-0.7</v>
      </c>
      <c r="T278" s="887">
        <v>0</v>
      </c>
      <c r="U278" s="426"/>
      <c r="V278" s="841">
        <v>0.14000000000000001</v>
      </c>
      <c r="W278" s="887">
        <v>-0.2</v>
      </c>
      <c r="X278" s="887">
        <v>0.6</v>
      </c>
      <c r="Y278" s="887">
        <v>-0.45</v>
      </c>
      <c r="Z278" s="887">
        <v>-0.2</v>
      </c>
      <c r="AA278" s="887">
        <v>0.7</v>
      </c>
      <c r="AB278" s="887">
        <v>-0.4</v>
      </c>
      <c r="AC278" s="887">
        <v>0.1</v>
      </c>
      <c r="AD278" s="214"/>
    </row>
    <row r="279" spans="1:30" ht="15" customHeight="1">
      <c r="A279" s="761"/>
      <c r="B279" s="762"/>
      <c r="C279" s="763">
        <v>9</v>
      </c>
      <c r="D279" s="836">
        <v>0.18</v>
      </c>
      <c r="E279" s="889">
        <v>-1.3</v>
      </c>
      <c r="F279" s="889">
        <v>-0.8</v>
      </c>
      <c r="G279" s="889">
        <v>0.3</v>
      </c>
      <c r="H279" s="889">
        <v>-0.8</v>
      </c>
      <c r="I279" s="889">
        <v>-1.3</v>
      </c>
      <c r="J279" s="889">
        <v>1.2</v>
      </c>
      <c r="K279" s="889">
        <v>-0.3</v>
      </c>
      <c r="L279" s="426"/>
      <c r="M279" s="887">
        <v>-2.798</v>
      </c>
      <c r="N279" s="887">
        <v>0.4</v>
      </c>
      <c r="O279" s="887">
        <v>-0.9</v>
      </c>
      <c r="P279" s="887">
        <v>-1.2</v>
      </c>
      <c r="Q279" s="887">
        <v>-0.2</v>
      </c>
      <c r="R279" s="887">
        <v>0</v>
      </c>
      <c r="S279" s="887">
        <v>-0.3</v>
      </c>
      <c r="T279" s="887">
        <v>0.1</v>
      </c>
      <c r="U279" s="426"/>
      <c r="V279" s="841">
        <v>0.15</v>
      </c>
      <c r="W279" s="887">
        <v>0.2</v>
      </c>
      <c r="X279" s="887">
        <v>-1</v>
      </c>
      <c r="Y279" s="887">
        <v>-0.63</v>
      </c>
      <c r="Z279" s="887">
        <v>-0.3</v>
      </c>
      <c r="AA279" s="887">
        <v>-1.7</v>
      </c>
      <c r="AB279" s="887">
        <v>-0.4</v>
      </c>
      <c r="AC279" s="887">
        <v>-0.6</v>
      </c>
      <c r="AD279" s="214"/>
    </row>
    <row r="280" spans="1:30" ht="15" customHeight="1">
      <c r="A280" s="761"/>
      <c r="B280" s="762"/>
      <c r="C280" s="763">
        <v>10</v>
      </c>
      <c r="D280" s="836">
        <v>0.12</v>
      </c>
      <c r="E280" s="889">
        <v>0.6</v>
      </c>
      <c r="F280" s="889">
        <v>0.3</v>
      </c>
      <c r="G280" s="889">
        <v>-2.1</v>
      </c>
      <c r="H280" s="889">
        <v>0.4</v>
      </c>
      <c r="I280" s="889">
        <v>-0.6</v>
      </c>
      <c r="J280" s="889">
        <v>-0.8</v>
      </c>
      <c r="K280" s="889">
        <v>-0.5</v>
      </c>
      <c r="L280" s="426"/>
      <c r="M280" s="887">
        <v>-0.80100000000000005</v>
      </c>
      <c r="N280" s="887">
        <v>-0.3</v>
      </c>
      <c r="O280" s="887">
        <v>0</v>
      </c>
      <c r="P280" s="887">
        <v>0.9</v>
      </c>
      <c r="Q280" s="887">
        <v>0</v>
      </c>
      <c r="R280" s="887">
        <v>0.4</v>
      </c>
      <c r="S280" s="887">
        <v>0.1</v>
      </c>
      <c r="T280" s="887">
        <v>-0.8</v>
      </c>
      <c r="U280" s="426"/>
      <c r="V280" s="841">
        <v>0.11</v>
      </c>
      <c r="W280" s="887">
        <v>0.2</v>
      </c>
      <c r="X280" s="887">
        <v>1.3</v>
      </c>
      <c r="Y280" s="887">
        <v>1.65</v>
      </c>
      <c r="Z280" s="887">
        <v>1.1000000000000001</v>
      </c>
      <c r="AA280" s="887">
        <v>1.5</v>
      </c>
      <c r="AB280" s="887">
        <v>-0.7</v>
      </c>
      <c r="AC280" s="887">
        <v>0.3</v>
      </c>
      <c r="AD280" s="214"/>
    </row>
    <row r="281" spans="1:30" ht="15" customHeight="1">
      <c r="A281" s="761"/>
      <c r="B281" s="762"/>
      <c r="C281" s="763">
        <v>11</v>
      </c>
      <c r="D281" s="836">
        <v>0.12</v>
      </c>
      <c r="E281" s="889">
        <v>-1</v>
      </c>
      <c r="F281" s="889">
        <v>-1.4</v>
      </c>
      <c r="G281" s="889">
        <v>-0.6</v>
      </c>
      <c r="H281" s="889">
        <v>-0.5</v>
      </c>
      <c r="I281" s="889">
        <v>0.9</v>
      </c>
      <c r="J281" s="889">
        <v>0.4</v>
      </c>
      <c r="K281" s="889">
        <v>-0.5</v>
      </c>
      <c r="L281" s="426"/>
      <c r="M281" s="887">
        <v>-1.365</v>
      </c>
      <c r="N281" s="887">
        <v>-0.4</v>
      </c>
      <c r="O281" s="887">
        <v>-0.2</v>
      </c>
      <c r="P281" s="887">
        <v>-1.6</v>
      </c>
      <c r="Q281" s="887">
        <v>-1.1000000000000001</v>
      </c>
      <c r="R281" s="887">
        <v>-1.4</v>
      </c>
      <c r="S281" s="887">
        <v>-1.2</v>
      </c>
      <c r="T281" s="887">
        <v>0.5</v>
      </c>
      <c r="U281" s="426"/>
      <c r="V281" s="841">
        <v>0.1</v>
      </c>
      <c r="W281" s="887">
        <v>-0.6</v>
      </c>
      <c r="X281" s="887">
        <v>-1.6</v>
      </c>
      <c r="Y281" s="887">
        <v>-0.83</v>
      </c>
      <c r="Z281" s="887">
        <v>-1.5</v>
      </c>
      <c r="AA281" s="887">
        <v>-0.4</v>
      </c>
      <c r="AB281" s="887">
        <v>1</v>
      </c>
      <c r="AC281" s="887">
        <v>0</v>
      </c>
      <c r="AD281" s="214"/>
    </row>
    <row r="282" spans="1:30" ht="15" customHeight="1">
      <c r="A282" s="846"/>
      <c r="B282" s="847"/>
      <c r="C282" s="848">
        <v>12</v>
      </c>
      <c r="D282" s="866">
        <v>0.11</v>
      </c>
      <c r="E282" s="890">
        <v>1.2</v>
      </c>
      <c r="F282" s="890">
        <v>0.4</v>
      </c>
      <c r="G282" s="890">
        <v>-0.8</v>
      </c>
      <c r="H282" s="890">
        <v>0.4</v>
      </c>
      <c r="I282" s="890">
        <v>0.6</v>
      </c>
      <c r="J282" s="890">
        <v>-0.4</v>
      </c>
      <c r="K282" s="890">
        <v>-0.5</v>
      </c>
      <c r="L282" s="843"/>
      <c r="M282" s="888">
        <v>-0.746</v>
      </c>
      <c r="N282" s="888">
        <v>-0.9</v>
      </c>
      <c r="O282" s="888">
        <v>0.8</v>
      </c>
      <c r="P282" s="888">
        <v>0.6</v>
      </c>
      <c r="Q282" s="888">
        <v>0.3</v>
      </c>
      <c r="R282" s="888">
        <v>1.3</v>
      </c>
      <c r="S282" s="888">
        <v>0</v>
      </c>
      <c r="T282" s="888">
        <v>1.2</v>
      </c>
      <c r="U282" s="843"/>
      <c r="V282" s="840">
        <v>0.08</v>
      </c>
      <c r="W282" s="888">
        <v>0.9</v>
      </c>
      <c r="X282" s="888">
        <v>0.6</v>
      </c>
      <c r="Y282" s="888">
        <v>-0.34</v>
      </c>
      <c r="Z282" s="888">
        <v>0.9</v>
      </c>
      <c r="AA282" s="888">
        <v>0.5</v>
      </c>
      <c r="AB282" s="888">
        <v>-0.4</v>
      </c>
      <c r="AC282" s="888">
        <v>0.4</v>
      </c>
      <c r="AD282" s="214"/>
    </row>
    <row r="283" spans="1:30" ht="15" customHeight="1">
      <c r="A283" s="851" t="s">
        <v>628</v>
      </c>
      <c r="B283" s="852">
        <v>2016</v>
      </c>
      <c r="C283" s="853">
        <v>1</v>
      </c>
      <c r="D283" s="837">
        <v>0.16</v>
      </c>
      <c r="E283" s="889">
        <v>-0.1</v>
      </c>
      <c r="F283" s="889">
        <v>-0.5</v>
      </c>
      <c r="G283" s="889">
        <v>0.1</v>
      </c>
      <c r="H283" s="889">
        <v>-0.6</v>
      </c>
      <c r="I283" s="889">
        <v>-0.1</v>
      </c>
      <c r="J283" s="889">
        <v>0.7</v>
      </c>
      <c r="K283" s="889">
        <v>-0.2</v>
      </c>
      <c r="L283" s="859"/>
      <c r="M283" s="887">
        <v>-0.14000000000000001</v>
      </c>
      <c r="N283" s="887">
        <v>-0.4</v>
      </c>
      <c r="O283" s="887">
        <v>-0.6</v>
      </c>
      <c r="P283" s="887">
        <v>-0.4</v>
      </c>
      <c r="Q283" s="887">
        <v>-0.3</v>
      </c>
      <c r="R283" s="887">
        <v>0.9</v>
      </c>
      <c r="S283" s="887">
        <v>-0.6</v>
      </c>
      <c r="T283" s="887">
        <v>-0.5</v>
      </c>
      <c r="U283" s="426"/>
      <c r="V283" s="862">
        <v>0.13</v>
      </c>
      <c r="W283" s="887">
        <v>0.3</v>
      </c>
      <c r="X283" s="887">
        <v>-0.7</v>
      </c>
      <c r="Y283" s="887">
        <v>0.13</v>
      </c>
      <c r="Z283" s="887">
        <v>0.3</v>
      </c>
      <c r="AA283" s="887">
        <v>0.9</v>
      </c>
      <c r="AB283" s="887">
        <v>0.4</v>
      </c>
      <c r="AC283" s="887">
        <v>-0.8</v>
      </c>
      <c r="AD283" s="214"/>
    </row>
    <row r="284" spans="1:30" ht="15" customHeight="1">
      <c r="A284" s="761"/>
      <c r="B284" s="762"/>
      <c r="C284" s="763">
        <v>2</v>
      </c>
      <c r="D284" s="836">
        <v>0.04</v>
      </c>
      <c r="E284" s="889">
        <v>0.3</v>
      </c>
      <c r="F284" s="889">
        <v>-0.1</v>
      </c>
      <c r="G284" s="889">
        <v>-2.2000000000000002</v>
      </c>
      <c r="H284" s="889">
        <v>-0.5</v>
      </c>
      <c r="I284" s="889">
        <v>0.4</v>
      </c>
      <c r="J284" s="889">
        <v>0</v>
      </c>
      <c r="K284" s="889">
        <v>-0.2</v>
      </c>
      <c r="L284" s="426"/>
      <c r="M284" s="887">
        <v>1.679</v>
      </c>
      <c r="N284" s="887">
        <v>-1.2</v>
      </c>
      <c r="O284" s="887">
        <v>0.2</v>
      </c>
      <c r="P284" s="887">
        <v>1.2</v>
      </c>
      <c r="Q284" s="887">
        <v>-0.4</v>
      </c>
      <c r="R284" s="887">
        <v>-0.5</v>
      </c>
      <c r="S284" s="887">
        <v>-0.4</v>
      </c>
      <c r="T284" s="887">
        <v>-0.7</v>
      </c>
      <c r="U284" s="426"/>
      <c r="V284" s="841">
        <v>0.03</v>
      </c>
      <c r="W284" s="887">
        <v>-0.6</v>
      </c>
      <c r="X284" s="887">
        <v>1.5</v>
      </c>
      <c r="Y284" s="887">
        <v>-0.79</v>
      </c>
      <c r="Z284" s="887">
        <v>-0.1</v>
      </c>
      <c r="AA284" s="887">
        <v>0.9</v>
      </c>
      <c r="AB284" s="887">
        <v>-0.2</v>
      </c>
      <c r="AC284" s="887">
        <v>0.3</v>
      </c>
      <c r="AD284" s="214"/>
    </row>
    <row r="285" spans="1:30" ht="15" customHeight="1">
      <c r="A285" s="761"/>
      <c r="B285" s="762"/>
      <c r="C285" s="763">
        <v>3</v>
      </c>
      <c r="D285" s="836">
        <v>0.85</v>
      </c>
      <c r="E285" s="889">
        <v>-0.1</v>
      </c>
      <c r="F285" s="889">
        <v>-0.7</v>
      </c>
      <c r="G285" s="889">
        <v>1.5</v>
      </c>
      <c r="H285" s="889">
        <v>-0.8</v>
      </c>
      <c r="I285" s="889">
        <v>-1.8</v>
      </c>
      <c r="J285" s="889">
        <v>-1.1000000000000001</v>
      </c>
      <c r="K285" s="889">
        <v>-0.2</v>
      </c>
      <c r="L285" s="426"/>
      <c r="M285" s="887">
        <v>-1.4510000000000001</v>
      </c>
      <c r="N285" s="887">
        <v>0.4</v>
      </c>
      <c r="O285" s="887">
        <v>-0.1</v>
      </c>
      <c r="P285" s="887">
        <v>-1.6</v>
      </c>
      <c r="Q285" s="887">
        <v>0.5</v>
      </c>
      <c r="R285" s="887">
        <v>0.5</v>
      </c>
      <c r="S285" s="887">
        <v>0.4</v>
      </c>
      <c r="T285" s="887">
        <v>0.3</v>
      </c>
      <c r="U285" s="426"/>
      <c r="V285" s="841">
        <v>0.7</v>
      </c>
      <c r="W285" s="887">
        <v>-0.3</v>
      </c>
      <c r="X285" s="887">
        <v>-1.4</v>
      </c>
      <c r="Y285" s="887">
        <v>0.24</v>
      </c>
      <c r="Z285" s="887">
        <v>-0.9</v>
      </c>
      <c r="AA285" s="887">
        <v>-0.7</v>
      </c>
      <c r="AB285" s="887">
        <v>0</v>
      </c>
      <c r="AC285" s="887">
        <v>0.9</v>
      </c>
      <c r="AD285" s="214"/>
    </row>
    <row r="286" spans="1:30" ht="15" customHeight="1">
      <c r="A286" s="761"/>
      <c r="B286" s="762"/>
      <c r="C286" s="763">
        <v>4</v>
      </c>
      <c r="D286" s="836">
        <v>0.67</v>
      </c>
      <c r="E286" s="889">
        <v>-1.2</v>
      </c>
      <c r="F286" s="889">
        <v>0.6</v>
      </c>
      <c r="G286" s="889">
        <v>0.8</v>
      </c>
      <c r="H286" s="889">
        <v>1.5</v>
      </c>
      <c r="I286" s="889">
        <v>0.1</v>
      </c>
      <c r="J286" s="889">
        <v>0.3</v>
      </c>
      <c r="K286" s="889">
        <v>-1.5</v>
      </c>
      <c r="L286" s="426"/>
      <c r="M286" s="887">
        <v>0.35199999999999998</v>
      </c>
      <c r="N286" s="887">
        <v>-0.3</v>
      </c>
      <c r="O286" s="887">
        <v>-0.4</v>
      </c>
      <c r="P286" s="887">
        <v>0.6</v>
      </c>
      <c r="Q286" s="887">
        <v>0.3</v>
      </c>
      <c r="R286" s="887">
        <v>0.1</v>
      </c>
      <c r="S286" s="887">
        <v>0.7</v>
      </c>
      <c r="T286" s="887">
        <v>0.1</v>
      </c>
      <c r="U286" s="426"/>
      <c r="V286" s="841">
        <v>0.53</v>
      </c>
      <c r="W286" s="887">
        <v>-1.6</v>
      </c>
      <c r="X286" s="887">
        <v>0.2</v>
      </c>
      <c r="Y286" s="887">
        <v>0.05</v>
      </c>
      <c r="Z286" s="887">
        <v>0.4</v>
      </c>
      <c r="AA286" s="887">
        <v>0.1</v>
      </c>
      <c r="AB286" s="887">
        <v>-0.5</v>
      </c>
      <c r="AC286" s="887">
        <v>-0.8</v>
      </c>
      <c r="AD286" s="214"/>
    </row>
    <row r="287" spans="1:30" ht="15" customHeight="1" thickBot="1">
      <c r="A287" s="761"/>
      <c r="B287" s="762"/>
      <c r="C287" s="763">
        <v>5</v>
      </c>
      <c r="D287" s="836">
        <v>0.39</v>
      </c>
      <c r="E287" s="889">
        <v>1.6</v>
      </c>
      <c r="F287" s="889">
        <v>-1.6</v>
      </c>
      <c r="G287" s="889">
        <v>0.7</v>
      </c>
      <c r="H287" s="889">
        <v>-1.9</v>
      </c>
      <c r="I287" s="889">
        <v>1.4</v>
      </c>
      <c r="J287" s="889">
        <v>0.3</v>
      </c>
      <c r="K287" s="889">
        <v>-1.5</v>
      </c>
      <c r="L287" s="426"/>
      <c r="M287" s="887">
        <v>-0.83599999999999997</v>
      </c>
      <c r="N287" s="887">
        <v>0.1</v>
      </c>
      <c r="O287" s="887">
        <v>0</v>
      </c>
      <c r="P287" s="887">
        <v>-0.3</v>
      </c>
      <c r="Q287" s="887">
        <v>-0.3</v>
      </c>
      <c r="R287" s="887">
        <v>-0.3</v>
      </c>
      <c r="S287" s="1132">
        <v>-0.6</v>
      </c>
      <c r="T287" s="887">
        <v>-0.2</v>
      </c>
      <c r="U287" s="426"/>
      <c r="V287" s="841">
        <v>0.27</v>
      </c>
      <c r="W287" s="1132">
        <v>-1</v>
      </c>
      <c r="X287" s="887">
        <v>-0.2</v>
      </c>
      <c r="Y287" s="887">
        <v>0.06</v>
      </c>
      <c r="Z287" s="887">
        <v>-0.1</v>
      </c>
      <c r="AA287" s="887">
        <v>0.2</v>
      </c>
      <c r="AB287" s="887">
        <v>-0.9</v>
      </c>
      <c r="AC287" s="887">
        <v>0.7</v>
      </c>
      <c r="AD287" s="214"/>
    </row>
    <row r="288" spans="1:30" ht="15" customHeight="1" thickTop="1">
      <c r="A288" s="761"/>
      <c r="B288" s="762"/>
      <c r="C288" s="763">
        <v>6</v>
      </c>
      <c r="D288" s="836">
        <v>0.28999999999999998</v>
      </c>
      <c r="E288" s="889">
        <v>-0.7</v>
      </c>
      <c r="F288" s="889">
        <v>0.2</v>
      </c>
      <c r="G288" s="889">
        <v>-1.8</v>
      </c>
      <c r="H288" s="889">
        <v>0.6</v>
      </c>
      <c r="I288" s="889">
        <v>0</v>
      </c>
      <c r="J288" s="889">
        <v>-1.4</v>
      </c>
      <c r="K288" s="889">
        <v>-1.5</v>
      </c>
      <c r="L288" s="426"/>
      <c r="M288" s="887">
        <v>0.39400000000000002</v>
      </c>
      <c r="N288" s="887">
        <v>-1.5</v>
      </c>
      <c r="O288" s="887">
        <v>0.5</v>
      </c>
      <c r="P288" s="887">
        <v>-0.2</v>
      </c>
      <c r="Q288" s="887">
        <v>-0.7</v>
      </c>
      <c r="R288" s="887">
        <v>-0.3</v>
      </c>
      <c r="S288" s="887">
        <v>-0.6</v>
      </c>
      <c r="T288" s="887">
        <v>0.1</v>
      </c>
      <c r="U288" s="426"/>
      <c r="V288" s="841">
        <v>0.22</v>
      </c>
      <c r="W288" s="887">
        <v>-0.8</v>
      </c>
      <c r="X288" s="887">
        <v>0.2</v>
      </c>
      <c r="Y288" s="887">
        <v>0.22</v>
      </c>
      <c r="Z288" s="887">
        <v>-1</v>
      </c>
      <c r="AA288" s="887">
        <v>-0.8</v>
      </c>
      <c r="AB288" s="887">
        <v>0.9</v>
      </c>
      <c r="AC288" s="887">
        <v>-0.5</v>
      </c>
      <c r="AD288" s="214"/>
    </row>
    <row r="289" spans="1:30" ht="15" customHeight="1">
      <c r="A289" s="761"/>
      <c r="B289" s="762"/>
      <c r="C289" s="763">
        <v>7</v>
      </c>
      <c r="D289" s="836">
        <v>0.28999999999999998</v>
      </c>
      <c r="E289" s="889">
        <v>-0.3</v>
      </c>
      <c r="F289" s="889">
        <v>0</v>
      </c>
      <c r="G289" s="889">
        <v>0.1</v>
      </c>
      <c r="H289" s="889">
        <v>0.9</v>
      </c>
      <c r="I289" s="889">
        <v>-0.5</v>
      </c>
      <c r="J289" s="889">
        <v>1.3</v>
      </c>
      <c r="K289" s="889">
        <v>-0.1</v>
      </c>
      <c r="L289" s="426"/>
      <c r="M289" s="887">
        <v>-0.154</v>
      </c>
      <c r="N289" s="887">
        <v>0.2</v>
      </c>
      <c r="O289" s="887">
        <v>0</v>
      </c>
      <c r="P289" s="887">
        <v>0.3</v>
      </c>
      <c r="Q289" s="887">
        <v>0</v>
      </c>
      <c r="R289" s="887">
        <v>-0.2</v>
      </c>
      <c r="S289" s="887">
        <v>-0.2</v>
      </c>
      <c r="T289" s="887">
        <v>-0.5</v>
      </c>
      <c r="U289" s="426"/>
      <c r="V289" s="841">
        <v>0.23</v>
      </c>
      <c r="W289" s="887">
        <v>0.2</v>
      </c>
      <c r="X289" s="887">
        <v>0</v>
      </c>
      <c r="Y289" s="887">
        <v>0.66</v>
      </c>
      <c r="Z289" s="887">
        <v>1</v>
      </c>
      <c r="AA289" s="887">
        <v>0.6</v>
      </c>
      <c r="AB289" s="887">
        <v>-0.3</v>
      </c>
      <c r="AC289" s="887">
        <v>-0.1</v>
      </c>
      <c r="AD289" s="214"/>
    </row>
    <row r="290" spans="1:30" ht="15" customHeight="1">
      <c r="A290" s="761"/>
      <c r="B290" s="762"/>
      <c r="C290" s="763">
        <v>8</v>
      </c>
      <c r="D290" s="836">
        <v>0.24</v>
      </c>
      <c r="E290" s="889">
        <v>0.1</v>
      </c>
      <c r="F290" s="889">
        <v>-1.5</v>
      </c>
      <c r="G290" s="889">
        <v>0.1</v>
      </c>
      <c r="H290" s="889">
        <v>0.2</v>
      </c>
      <c r="I290" s="889">
        <v>-0.8</v>
      </c>
      <c r="J290" s="889">
        <v>-0.4</v>
      </c>
      <c r="K290" s="889">
        <v>-0.1</v>
      </c>
      <c r="L290" s="426"/>
      <c r="M290" s="887">
        <v>-1.29</v>
      </c>
      <c r="N290" s="887">
        <v>-1.3</v>
      </c>
      <c r="O290" s="887">
        <v>-0.8</v>
      </c>
      <c r="P290" s="887">
        <v>-0.3</v>
      </c>
      <c r="Q290" s="887">
        <v>0.8</v>
      </c>
      <c r="R290" s="887">
        <v>0.6</v>
      </c>
      <c r="S290" s="887">
        <v>0.8</v>
      </c>
      <c r="T290" s="887">
        <v>1</v>
      </c>
      <c r="U290" s="426"/>
      <c r="V290" s="841">
        <v>0.19</v>
      </c>
      <c r="W290" s="887">
        <v>-0.2</v>
      </c>
      <c r="X290" s="887">
        <v>0.1</v>
      </c>
      <c r="Y290" s="887">
        <v>-1.2</v>
      </c>
      <c r="Z290" s="887">
        <v>-1.2</v>
      </c>
      <c r="AA290" s="887">
        <v>-0.3</v>
      </c>
      <c r="AB290" s="887">
        <v>0</v>
      </c>
      <c r="AC290" s="887">
        <v>0.2</v>
      </c>
      <c r="AD290" s="214"/>
    </row>
    <row r="291" spans="1:30" ht="15" customHeight="1">
      <c r="A291" s="761"/>
      <c r="B291" s="762"/>
      <c r="C291" s="763">
        <v>9</v>
      </c>
      <c r="D291" s="836">
        <v>0.21</v>
      </c>
      <c r="E291" s="889">
        <v>0.7</v>
      </c>
      <c r="F291" s="889">
        <v>1.5</v>
      </c>
      <c r="G291" s="889">
        <v>0.2</v>
      </c>
      <c r="H291" s="889">
        <v>0.7</v>
      </c>
      <c r="I291" s="889">
        <v>-0.8</v>
      </c>
      <c r="J291" s="889">
        <v>0.4</v>
      </c>
      <c r="K291" s="889">
        <v>0</v>
      </c>
      <c r="L291" s="426"/>
      <c r="M291" s="887">
        <v>-8.6999999999999994E-2</v>
      </c>
      <c r="N291" s="887">
        <v>1.7</v>
      </c>
      <c r="O291" s="887">
        <v>1.7</v>
      </c>
      <c r="P291" s="887">
        <v>0.2</v>
      </c>
      <c r="Q291" s="887">
        <v>0.5</v>
      </c>
      <c r="R291" s="887">
        <v>0.4</v>
      </c>
      <c r="S291" s="887">
        <v>1.1000000000000001</v>
      </c>
      <c r="T291" s="887">
        <v>1.5</v>
      </c>
      <c r="U291" s="426"/>
      <c r="V291" s="841">
        <v>0.18</v>
      </c>
      <c r="W291" s="887">
        <v>-0.1</v>
      </c>
      <c r="X291" s="887">
        <v>-0.2</v>
      </c>
      <c r="Y291" s="887">
        <v>0.81</v>
      </c>
      <c r="Z291" s="887">
        <v>0.3</v>
      </c>
      <c r="AA291" s="887">
        <v>0.5</v>
      </c>
      <c r="AB291" s="887">
        <v>0.2</v>
      </c>
      <c r="AC291" s="887">
        <v>-1</v>
      </c>
      <c r="AD291" s="214"/>
    </row>
    <row r="292" spans="1:30" ht="15" customHeight="1">
      <c r="A292" s="761"/>
      <c r="B292" s="762"/>
      <c r="C292" s="763">
        <v>10</v>
      </c>
      <c r="D292" s="836">
        <v>0.13</v>
      </c>
      <c r="E292" s="889">
        <v>-0.8</v>
      </c>
      <c r="F292" s="889">
        <v>0.3</v>
      </c>
      <c r="G292" s="889">
        <v>-0.7</v>
      </c>
      <c r="H292" s="889">
        <v>0.9</v>
      </c>
      <c r="I292" s="889">
        <v>1.3</v>
      </c>
      <c r="J292" s="889">
        <v>-0.7</v>
      </c>
      <c r="K292" s="889">
        <v>1</v>
      </c>
      <c r="L292" s="426"/>
      <c r="M292" s="887">
        <v>0.55500000000000005</v>
      </c>
      <c r="N292" s="887">
        <v>0.6</v>
      </c>
      <c r="O292" s="887">
        <v>-0.2</v>
      </c>
      <c r="P292" s="887">
        <v>0.2</v>
      </c>
      <c r="Q292" s="887">
        <v>-0.3</v>
      </c>
      <c r="R292" s="887">
        <v>-0.1</v>
      </c>
      <c r="S292" s="887">
        <v>-0.5</v>
      </c>
      <c r="T292" s="887">
        <v>-3.2</v>
      </c>
      <c r="U292" s="426"/>
      <c r="V292" s="841">
        <v>0.11</v>
      </c>
      <c r="W292" s="887">
        <v>-0.9</v>
      </c>
      <c r="X292" s="887">
        <v>0</v>
      </c>
      <c r="Y292" s="887">
        <v>0.24</v>
      </c>
      <c r="Z292" s="887">
        <v>1.1000000000000001</v>
      </c>
      <c r="AA292" s="887">
        <v>-1.3</v>
      </c>
      <c r="AB292" s="887">
        <v>1.8</v>
      </c>
      <c r="AC292" s="887">
        <v>1</v>
      </c>
      <c r="AD292" s="214"/>
    </row>
    <row r="293" spans="1:30" ht="15" customHeight="1">
      <c r="A293" s="761"/>
      <c r="B293" s="762"/>
      <c r="C293" s="763">
        <v>11</v>
      </c>
      <c r="D293" s="836">
        <v>0.38</v>
      </c>
      <c r="E293" s="889">
        <v>0.5</v>
      </c>
      <c r="F293" s="889">
        <v>-0.6</v>
      </c>
      <c r="G293" s="889">
        <v>-0.3</v>
      </c>
      <c r="H293" s="889">
        <v>-0.2</v>
      </c>
      <c r="I293" s="889">
        <v>-0.3</v>
      </c>
      <c r="J293" s="889">
        <v>0.7</v>
      </c>
      <c r="K293" s="889">
        <v>1.1000000000000001</v>
      </c>
      <c r="L293" s="426"/>
      <c r="M293" s="887">
        <v>-1.829</v>
      </c>
      <c r="N293" s="887">
        <v>0.2</v>
      </c>
      <c r="O293" s="887">
        <v>0</v>
      </c>
      <c r="P293" s="887">
        <v>0.7</v>
      </c>
      <c r="Q293" s="887">
        <v>0.6</v>
      </c>
      <c r="R293" s="887">
        <v>0.5</v>
      </c>
      <c r="S293" s="887">
        <v>0.8</v>
      </c>
      <c r="T293" s="887">
        <v>1.3</v>
      </c>
      <c r="U293" s="426"/>
      <c r="V293" s="841">
        <v>0.32</v>
      </c>
      <c r="W293" s="887">
        <v>0.5</v>
      </c>
      <c r="X293" s="887">
        <v>1.1000000000000001</v>
      </c>
      <c r="Y293" s="887">
        <v>-0.78</v>
      </c>
      <c r="Z293" s="887">
        <v>-0.3</v>
      </c>
      <c r="AA293" s="887">
        <v>0.5</v>
      </c>
      <c r="AB293" s="887">
        <v>0</v>
      </c>
      <c r="AC293" s="887">
        <v>-0.2</v>
      </c>
      <c r="AD293" s="214"/>
    </row>
    <row r="294" spans="1:30" ht="15" customHeight="1">
      <c r="A294" s="846"/>
      <c r="B294" s="847"/>
      <c r="C294" s="848">
        <v>12</v>
      </c>
      <c r="D294" s="866">
        <v>0.23</v>
      </c>
      <c r="E294" s="890">
        <v>0.8</v>
      </c>
      <c r="F294" s="890">
        <v>0</v>
      </c>
      <c r="G294" s="890">
        <v>2.2999999999999998</v>
      </c>
      <c r="H294" s="890">
        <v>0.6</v>
      </c>
      <c r="I294" s="890">
        <v>0.1</v>
      </c>
      <c r="J294" s="890">
        <v>-0.4</v>
      </c>
      <c r="K294" s="890">
        <v>1.1000000000000001</v>
      </c>
      <c r="L294" s="843"/>
      <c r="M294" s="888">
        <v>1.863</v>
      </c>
      <c r="N294" s="888">
        <v>0.2</v>
      </c>
      <c r="O294" s="888">
        <v>-0.2</v>
      </c>
      <c r="P294" s="888">
        <v>-0.3</v>
      </c>
      <c r="Q294" s="888">
        <v>0.3</v>
      </c>
      <c r="R294" s="888">
        <v>-0.1</v>
      </c>
      <c r="S294" s="888">
        <v>0.8</v>
      </c>
      <c r="T294" s="888">
        <v>0.5</v>
      </c>
      <c r="U294" s="843"/>
      <c r="V294" s="840">
        <v>0.18</v>
      </c>
      <c r="W294" s="888">
        <v>1.9</v>
      </c>
      <c r="X294" s="888">
        <v>-0.8</v>
      </c>
      <c r="Y294" s="888">
        <v>-0.32</v>
      </c>
      <c r="Z294" s="888">
        <v>-0.3</v>
      </c>
      <c r="AA294" s="888">
        <v>-0.7</v>
      </c>
      <c r="AB294" s="888">
        <v>0</v>
      </c>
      <c r="AC294" s="888">
        <v>-0.5</v>
      </c>
      <c r="AD294" s="214"/>
    </row>
    <row r="295" spans="1:30" ht="15" customHeight="1">
      <c r="A295" s="851" t="s">
        <v>641</v>
      </c>
      <c r="B295" s="852">
        <v>2017</v>
      </c>
      <c r="C295" s="853">
        <v>1</v>
      </c>
      <c r="D295" s="837">
        <v>0.27</v>
      </c>
      <c r="E295" s="889">
        <v>-1</v>
      </c>
      <c r="F295" s="889">
        <v>-0.4</v>
      </c>
      <c r="G295" s="889">
        <v>0.1</v>
      </c>
      <c r="H295" s="889">
        <v>-0.6</v>
      </c>
      <c r="I295" s="889">
        <v>-1.4</v>
      </c>
      <c r="J295" s="889">
        <v>-0.4</v>
      </c>
      <c r="K295" s="889">
        <v>-1.8</v>
      </c>
      <c r="L295" s="859"/>
      <c r="M295" s="887">
        <v>0.63900000000000001</v>
      </c>
      <c r="N295" s="887">
        <v>0.1</v>
      </c>
      <c r="O295" s="887">
        <v>-0.4</v>
      </c>
      <c r="P295" s="887">
        <v>0.1</v>
      </c>
      <c r="Q295" s="887">
        <v>0.2</v>
      </c>
      <c r="R295" s="887">
        <v>-0.6</v>
      </c>
      <c r="S295" s="887">
        <v>0.3</v>
      </c>
      <c r="T295" s="887">
        <v>1.9</v>
      </c>
      <c r="U295" s="426"/>
      <c r="V295" s="862">
        <v>0.25</v>
      </c>
      <c r="W295" s="887">
        <v>-2.1</v>
      </c>
      <c r="X295" s="887">
        <v>0.3</v>
      </c>
      <c r="Y295" s="887">
        <v>0.14000000000000001</v>
      </c>
      <c r="Z295" s="887">
        <v>-0.3</v>
      </c>
      <c r="AA295" s="887">
        <v>0.3</v>
      </c>
      <c r="AB295" s="887">
        <v>0.5</v>
      </c>
      <c r="AC295" s="887">
        <v>1.3</v>
      </c>
      <c r="AD295" s="214"/>
    </row>
    <row r="296" spans="1:30" ht="15" customHeight="1">
      <c r="A296" s="761"/>
      <c r="B296" s="762"/>
      <c r="C296" s="763">
        <v>2</v>
      </c>
      <c r="D296" s="836">
        <v>0.16</v>
      </c>
      <c r="E296" s="889">
        <v>0.7</v>
      </c>
      <c r="F296" s="889">
        <v>-0.1</v>
      </c>
      <c r="G296" s="889">
        <v>0.3</v>
      </c>
      <c r="H296" s="889">
        <v>-0.5</v>
      </c>
      <c r="I296" s="889">
        <v>1.4</v>
      </c>
      <c r="J296" s="889">
        <v>1.4</v>
      </c>
      <c r="K296" s="889">
        <v>-1.7</v>
      </c>
      <c r="L296" s="426"/>
      <c r="M296" s="887">
        <v>0.66900000000000004</v>
      </c>
      <c r="N296" s="887">
        <v>-0.4</v>
      </c>
      <c r="O296" s="887">
        <v>0</v>
      </c>
      <c r="P296" s="887">
        <v>0.5</v>
      </c>
      <c r="Q296" s="887">
        <v>0.7</v>
      </c>
      <c r="R296" s="887">
        <v>0.5</v>
      </c>
      <c r="S296" s="887">
        <v>0.6</v>
      </c>
      <c r="T296" s="887">
        <v>-1.4</v>
      </c>
      <c r="U296" s="426"/>
      <c r="V296" s="841">
        <v>0.13</v>
      </c>
      <c r="W296" s="887">
        <v>0.5</v>
      </c>
      <c r="X296" s="887">
        <v>0.7</v>
      </c>
      <c r="Y296" s="887">
        <v>0.69</v>
      </c>
      <c r="Z296" s="887">
        <v>-0.2</v>
      </c>
      <c r="AA296" s="887">
        <v>-0.5</v>
      </c>
      <c r="AB296" s="887">
        <v>0.7</v>
      </c>
      <c r="AC296" s="887">
        <v>-1.1000000000000001</v>
      </c>
      <c r="AD296" s="214"/>
    </row>
    <row r="297" spans="1:30" ht="15" customHeight="1">
      <c r="A297" s="761"/>
      <c r="B297" s="762"/>
      <c r="C297" s="763">
        <v>3</v>
      </c>
      <c r="D297" s="836">
        <v>0.09</v>
      </c>
      <c r="E297" s="889">
        <v>-0.4</v>
      </c>
      <c r="F297" s="889">
        <v>0.1</v>
      </c>
      <c r="G297" s="889">
        <v>-0.2</v>
      </c>
      <c r="H297" s="889">
        <v>0.5</v>
      </c>
      <c r="I297" s="889">
        <v>-0.9</v>
      </c>
      <c r="J297" s="889">
        <v>0</v>
      </c>
      <c r="K297" s="889">
        <v>-1.6</v>
      </c>
      <c r="L297" s="426"/>
      <c r="M297" s="887">
        <v>-0.57399999999999995</v>
      </c>
      <c r="N297" s="887">
        <v>-0.1</v>
      </c>
      <c r="O297" s="887">
        <v>0.4</v>
      </c>
      <c r="P297" s="887">
        <v>-0.3</v>
      </c>
      <c r="Q297" s="887">
        <v>-0.5</v>
      </c>
      <c r="R297" s="887">
        <v>-0.2</v>
      </c>
      <c r="S297" s="887">
        <v>-0.6</v>
      </c>
      <c r="T297" s="887">
        <v>-0.1</v>
      </c>
      <c r="U297" s="426"/>
      <c r="V297" s="841">
        <v>7.0000000000000007E-2</v>
      </c>
      <c r="W297" s="887">
        <v>-0.2</v>
      </c>
      <c r="X297" s="887">
        <v>-0.1</v>
      </c>
      <c r="Y297" s="887">
        <v>0.96</v>
      </c>
      <c r="Z297" s="887">
        <v>0.1</v>
      </c>
      <c r="AA297" s="887">
        <v>0</v>
      </c>
      <c r="AB297" s="887">
        <v>-0.8</v>
      </c>
      <c r="AC297" s="887">
        <v>0.3</v>
      </c>
      <c r="AD297" s="214"/>
    </row>
    <row r="298" spans="1:30" ht="15" customHeight="1">
      <c r="A298" s="761"/>
      <c r="B298" s="762"/>
      <c r="C298" s="763">
        <v>4</v>
      </c>
      <c r="D298" s="836">
        <v>0.2</v>
      </c>
      <c r="E298" s="889">
        <v>1.4</v>
      </c>
      <c r="F298" s="889">
        <v>-0.4</v>
      </c>
      <c r="G298" s="889">
        <v>0.4</v>
      </c>
      <c r="H298" s="889">
        <v>0.3</v>
      </c>
      <c r="I298" s="889">
        <v>0.8</v>
      </c>
      <c r="J298" s="889">
        <v>-0.7</v>
      </c>
      <c r="K298" s="889">
        <v>1.4</v>
      </c>
      <c r="L298" s="426"/>
      <c r="M298" s="887">
        <v>0.751</v>
      </c>
      <c r="N298" s="887">
        <v>0.8</v>
      </c>
      <c r="O298" s="887">
        <v>-0.2</v>
      </c>
      <c r="P298" s="887">
        <v>0.5</v>
      </c>
      <c r="Q298" s="887">
        <v>1.1000000000000001</v>
      </c>
      <c r="R298" s="887">
        <v>2.2999999999999998</v>
      </c>
      <c r="S298" s="887">
        <v>1.1000000000000001</v>
      </c>
      <c r="T298" s="887">
        <v>-0.2</v>
      </c>
      <c r="U298" s="426"/>
      <c r="V298" s="841">
        <v>0.16</v>
      </c>
      <c r="W298" s="887">
        <v>-1</v>
      </c>
      <c r="X298" s="887">
        <v>0.5</v>
      </c>
      <c r="Y298" s="887">
        <v>-0.36</v>
      </c>
      <c r="Z298" s="887">
        <v>0.9</v>
      </c>
      <c r="AA298" s="887">
        <v>0.2</v>
      </c>
      <c r="AB298" s="887">
        <v>0.9</v>
      </c>
      <c r="AC298" s="887">
        <v>-0.7</v>
      </c>
      <c r="AD298" s="214"/>
    </row>
    <row r="299" spans="1:30" ht="15" customHeight="1">
      <c r="A299" s="761"/>
      <c r="B299" s="762"/>
      <c r="C299" s="763">
        <v>5</v>
      </c>
      <c r="D299" s="836">
        <v>0.14000000000000001</v>
      </c>
      <c r="E299" s="889">
        <v>-1.1000000000000001</v>
      </c>
      <c r="F299" s="889">
        <v>-0.5</v>
      </c>
      <c r="G299" s="889">
        <v>-1.4</v>
      </c>
      <c r="H299" s="889">
        <v>0.3</v>
      </c>
      <c r="I299" s="889">
        <v>-0.1</v>
      </c>
      <c r="J299" s="889">
        <v>0</v>
      </c>
      <c r="K299" s="889">
        <v>1.3</v>
      </c>
      <c r="L299" s="426"/>
      <c r="M299" s="887">
        <v>0.13500000000000001</v>
      </c>
      <c r="N299" s="887">
        <v>0.2</v>
      </c>
      <c r="O299" s="887">
        <v>0.2</v>
      </c>
      <c r="P299" s="887">
        <v>-0.9</v>
      </c>
      <c r="Q299" s="887">
        <v>-0.1</v>
      </c>
      <c r="R299" s="887">
        <v>-0.6</v>
      </c>
      <c r="S299" s="887">
        <v>0.1</v>
      </c>
      <c r="T299" s="887">
        <v>0.8</v>
      </c>
      <c r="U299" s="426"/>
      <c r="V299" s="841">
        <v>0.09</v>
      </c>
      <c r="W299" s="887">
        <v>-1.5</v>
      </c>
      <c r="X299" s="887">
        <v>-0.8</v>
      </c>
      <c r="Y299" s="887">
        <v>-2.63</v>
      </c>
      <c r="Z299" s="887">
        <v>-0.8</v>
      </c>
      <c r="AA299" s="887">
        <v>-0.2</v>
      </c>
      <c r="AB299" s="887">
        <v>0.3</v>
      </c>
      <c r="AC299" s="887">
        <v>0.4</v>
      </c>
      <c r="AD299" s="214"/>
    </row>
    <row r="300" spans="1:30" ht="15" customHeight="1">
      <c r="A300" s="761"/>
      <c r="B300" s="762"/>
      <c r="C300" s="763">
        <v>6</v>
      </c>
      <c r="D300" s="836">
        <v>0.22</v>
      </c>
      <c r="E300" s="889">
        <v>0.7</v>
      </c>
      <c r="F300" s="889">
        <v>0.1</v>
      </c>
      <c r="G300" s="889">
        <v>0.8</v>
      </c>
      <c r="H300" s="889">
        <v>0.9</v>
      </c>
      <c r="I300" s="889">
        <v>-0.9</v>
      </c>
      <c r="J300" s="889">
        <v>-1.1000000000000001</v>
      </c>
      <c r="K300" s="889">
        <v>1.4</v>
      </c>
      <c r="L300" s="426"/>
      <c r="M300" s="887">
        <v>-0.53300000000000003</v>
      </c>
      <c r="N300" s="887">
        <v>-0.5</v>
      </c>
      <c r="O300" s="887">
        <v>0</v>
      </c>
      <c r="P300" s="887">
        <v>0.4</v>
      </c>
      <c r="Q300" s="887">
        <v>0.7</v>
      </c>
      <c r="R300" s="887">
        <v>0.8</v>
      </c>
      <c r="S300" s="887">
        <v>0.4</v>
      </c>
      <c r="T300" s="887">
        <v>-0.4</v>
      </c>
      <c r="U300" s="426"/>
      <c r="V300" s="841">
        <v>0.21</v>
      </c>
      <c r="W300" s="887">
        <v>-0.5</v>
      </c>
      <c r="X300" s="887">
        <v>0.9</v>
      </c>
      <c r="Y300" s="887">
        <v>1.88</v>
      </c>
      <c r="Z300" s="887">
        <v>-0.2</v>
      </c>
      <c r="AA300" s="887">
        <v>1.2</v>
      </c>
      <c r="AB300" s="887">
        <v>-0.4</v>
      </c>
      <c r="AC300" s="887">
        <v>-0.5</v>
      </c>
      <c r="AD300" s="214"/>
    </row>
    <row r="301" spans="1:30" ht="15" customHeight="1">
      <c r="A301" s="761"/>
      <c r="B301" s="762"/>
      <c r="C301" s="763">
        <v>7</v>
      </c>
      <c r="D301" s="836">
        <v>0.14000000000000001</v>
      </c>
      <c r="E301" s="889">
        <v>0.8</v>
      </c>
      <c r="F301" s="889">
        <v>-0.6</v>
      </c>
      <c r="G301" s="889">
        <v>0.5</v>
      </c>
      <c r="H301" s="889">
        <v>-1.7</v>
      </c>
      <c r="I301" s="889">
        <v>1.2</v>
      </c>
      <c r="J301" s="889">
        <v>0.4</v>
      </c>
      <c r="K301" s="889">
        <v>-0.5</v>
      </c>
      <c r="L301" s="426"/>
      <c r="M301" s="887">
        <v>0.14699999999999999</v>
      </c>
      <c r="N301" s="887">
        <v>0.5</v>
      </c>
      <c r="O301" s="887">
        <v>0</v>
      </c>
      <c r="P301" s="887">
        <v>0</v>
      </c>
      <c r="Q301" s="887">
        <v>-0.1</v>
      </c>
      <c r="R301" s="887">
        <v>-0.2</v>
      </c>
      <c r="S301" s="887">
        <v>0.6</v>
      </c>
      <c r="T301" s="887">
        <v>0.5</v>
      </c>
      <c r="U301" s="426"/>
      <c r="V301" s="841">
        <v>0.15</v>
      </c>
      <c r="W301" s="887">
        <v>-0.9</v>
      </c>
      <c r="X301" s="887">
        <v>0</v>
      </c>
      <c r="Y301" s="887">
        <v>-0.23</v>
      </c>
      <c r="Z301" s="887">
        <v>0.8</v>
      </c>
      <c r="AA301" s="887">
        <v>-0.5</v>
      </c>
      <c r="AB301" s="887">
        <v>0</v>
      </c>
      <c r="AC301" s="887">
        <v>0.4</v>
      </c>
      <c r="AD301" s="214"/>
    </row>
    <row r="302" spans="1:30" ht="15" customHeight="1">
      <c r="A302" s="761"/>
      <c r="B302" s="762"/>
      <c r="C302" s="763">
        <v>8</v>
      </c>
      <c r="D302" s="836">
        <v>0.21</v>
      </c>
      <c r="E302" s="889">
        <v>-2.2000000000000002</v>
      </c>
      <c r="F302" s="889">
        <v>0.2</v>
      </c>
      <c r="G302" s="889">
        <v>-1.7</v>
      </c>
      <c r="H302" s="889">
        <v>0.5</v>
      </c>
      <c r="I302" s="889">
        <v>-0.8</v>
      </c>
      <c r="J302" s="889">
        <v>-1.4</v>
      </c>
      <c r="K302" s="889">
        <v>-0.5</v>
      </c>
      <c r="L302" s="426"/>
      <c r="M302" s="887">
        <v>-1.1919999999999999</v>
      </c>
      <c r="N302" s="887">
        <v>-0.5</v>
      </c>
      <c r="O302" s="887">
        <v>-0.2</v>
      </c>
      <c r="P302" s="887">
        <v>-0.3</v>
      </c>
      <c r="Q302" s="887">
        <v>-0.5</v>
      </c>
      <c r="R302" s="887">
        <v>0.7</v>
      </c>
      <c r="S302" s="887">
        <v>-0.6</v>
      </c>
      <c r="T302" s="887">
        <v>-0.4</v>
      </c>
      <c r="U302" s="426"/>
      <c r="V302" s="841">
        <v>0.22</v>
      </c>
      <c r="W302" s="887">
        <v>0</v>
      </c>
      <c r="X302" s="887">
        <v>-0.4</v>
      </c>
      <c r="Y302" s="887">
        <v>0.33</v>
      </c>
      <c r="Z302" s="887">
        <v>-0.6</v>
      </c>
      <c r="AA302" s="887">
        <v>-0.1</v>
      </c>
      <c r="AB302" s="887">
        <v>0.5</v>
      </c>
      <c r="AC302" s="887">
        <v>0.2</v>
      </c>
      <c r="AD302" s="214"/>
    </row>
    <row r="303" spans="1:30" ht="15" customHeight="1">
      <c r="A303" s="761"/>
      <c r="B303" s="762"/>
      <c r="C303" s="763">
        <v>9</v>
      </c>
      <c r="D303" s="836">
        <v>0.15</v>
      </c>
      <c r="E303" s="889">
        <v>2.2999999999999998</v>
      </c>
      <c r="F303" s="889">
        <v>-0.7</v>
      </c>
      <c r="G303" s="889">
        <v>-0.1</v>
      </c>
      <c r="H303" s="889">
        <v>-1.4</v>
      </c>
      <c r="I303" s="889">
        <v>0.2</v>
      </c>
      <c r="J303" s="889">
        <v>1.4</v>
      </c>
      <c r="K303" s="889">
        <v>-0.5</v>
      </c>
      <c r="L303" s="426"/>
      <c r="M303" s="887">
        <v>-1.163</v>
      </c>
      <c r="N303" s="887">
        <v>0.1</v>
      </c>
      <c r="O303" s="887">
        <v>-0.2</v>
      </c>
      <c r="P303" s="887">
        <v>0.5</v>
      </c>
      <c r="Q303" s="887">
        <v>-0.8</v>
      </c>
      <c r="R303" s="887">
        <v>-0.3</v>
      </c>
      <c r="S303" s="887">
        <v>-1.2</v>
      </c>
      <c r="T303" s="887">
        <v>-0.7</v>
      </c>
      <c r="U303" s="426"/>
      <c r="V303" s="841">
        <v>0.15</v>
      </c>
      <c r="W303" s="887">
        <v>-0.1</v>
      </c>
      <c r="X303" s="887">
        <v>0.5</v>
      </c>
      <c r="Y303" s="887">
        <v>-0.41</v>
      </c>
      <c r="Z303" s="887">
        <v>0.4</v>
      </c>
      <c r="AA303" s="887">
        <v>-0.7</v>
      </c>
      <c r="AB303" s="887">
        <v>0.3</v>
      </c>
      <c r="AC303" s="887">
        <v>-0.2</v>
      </c>
      <c r="AD303" s="214"/>
    </row>
    <row r="304" spans="1:30" ht="15" customHeight="1">
      <c r="A304" s="761"/>
      <c r="B304" s="762"/>
      <c r="C304" s="763">
        <v>10</v>
      </c>
      <c r="D304" s="836">
        <v>0.25</v>
      </c>
      <c r="E304" s="889">
        <v>-1.3</v>
      </c>
      <c r="F304" s="889">
        <v>-0.4</v>
      </c>
      <c r="G304" s="889">
        <v>0</v>
      </c>
      <c r="H304" s="889">
        <v>-0.3</v>
      </c>
      <c r="I304" s="889">
        <v>0</v>
      </c>
      <c r="J304" s="889">
        <v>-0.3</v>
      </c>
      <c r="K304" s="889">
        <v>0.4</v>
      </c>
      <c r="L304" s="426"/>
      <c r="M304" s="887">
        <v>0.11</v>
      </c>
      <c r="N304" s="887">
        <v>-1</v>
      </c>
      <c r="O304" s="887">
        <v>0</v>
      </c>
      <c r="P304" s="887">
        <v>-1.2</v>
      </c>
      <c r="Q304" s="887">
        <v>1.5</v>
      </c>
      <c r="R304" s="887">
        <v>1.1000000000000001</v>
      </c>
      <c r="S304" s="887">
        <v>2</v>
      </c>
      <c r="T304" s="887">
        <v>1.1000000000000001</v>
      </c>
      <c r="U304" s="426"/>
      <c r="V304" s="841">
        <v>0.23</v>
      </c>
      <c r="W304" s="887">
        <v>0.6</v>
      </c>
      <c r="X304" s="887">
        <v>-0.8</v>
      </c>
      <c r="Y304" s="887">
        <v>0.15</v>
      </c>
      <c r="Z304" s="887">
        <v>-0.9</v>
      </c>
      <c r="AA304" s="887">
        <v>0.8</v>
      </c>
      <c r="AB304" s="887">
        <v>-1.1000000000000001</v>
      </c>
      <c r="AC304" s="887">
        <v>0.1</v>
      </c>
      <c r="AD304" s="214"/>
    </row>
    <row r="305" spans="1:30" ht="15" customHeight="1">
      <c r="A305" s="761"/>
      <c r="B305" s="762"/>
      <c r="C305" s="763">
        <v>11</v>
      </c>
      <c r="D305" s="836">
        <v>0.35</v>
      </c>
      <c r="E305" s="889">
        <v>-0.4</v>
      </c>
      <c r="F305" s="889">
        <v>1</v>
      </c>
      <c r="G305" s="889">
        <v>0.3</v>
      </c>
      <c r="H305" s="889">
        <v>-0.4</v>
      </c>
      <c r="I305" s="889">
        <v>0.9</v>
      </c>
      <c r="J305" s="889">
        <v>1.4</v>
      </c>
      <c r="K305" s="889">
        <v>0.4</v>
      </c>
      <c r="L305" s="426"/>
      <c r="M305" s="887">
        <v>0.77200000000000002</v>
      </c>
      <c r="N305" s="887">
        <v>0.8</v>
      </c>
      <c r="O305" s="887">
        <v>0</v>
      </c>
      <c r="P305" s="887">
        <v>0.6</v>
      </c>
      <c r="Q305" s="887">
        <v>0.3</v>
      </c>
      <c r="R305" s="887">
        <v>0</v>
      </c>
      <c r="S305" s="887">
        <v>0.5</v>
      </c>
      <c r="T305" s="887">
        <v>0.7</v>
      </c>
      <c r="U305" s="426"/>
      <c r="V305" s="841">
        <v>0.35</v>
      </c>
      <c r="W305" s="887">
        <v>0.7</v>
      </c>
      <c r="X305" s="887">
        <v>0.3</v>
      </c>
      <c r="Y305" s="887">
        <v>-0.03</v>
      </c>
      <c r="Z305" s="887">
        <v>0.2</v>
      </c>
      <c r="AA305" s="887">
        <v>0.2</v>
      </c>
      <c r="AB305" s="887">
        <v>0.3</v>
      </c>
      <c r="AC305" s="887">
        <v>0.1</v>
      </c>
      <c r="AD305" s="214"/>
    </row>
    <row r="306" spans="1:30" ht="15" customHeight="1">
      <c r="A306" s="846"/>
      <c r="B306" s="847"/>
      <c r="C306" s="848">
        <v>12</v>
      </c>
      <c r="D306" s="866">
        <v>0.47</v>
      </c>
      <c r="E306" s="890">
        <v>2</v>
      </c>
      <c r="F306" s="890">
        <v>-0.9</v>
      </c>
      <c r="G306" s="890">
        <v>-0.3</v>
      </c>
      <c r="H306" s="890">
        <v>0.8</v>
      </c>
      <c r="I306" s="890">
        <v>-0.8</v>
      </c>
      <c r="J306" s="890">
        <v>0.3</v>
      </c>
      <c r="K306" s="890">
        <v>0.4</v>
      </c>
      <c r="L306" s="843"/>
      <c r="M306" s="888">
        <v>-0.55400000000000005</v>
      </c>
      <c r="N306" s="888">
        <v>-0.4</v>
      </c>
      <c r="O306" s="888">
        <v>0.8</v>
      </c>
      <c r="P306" s="888">
        <v>-0.5</v>
      </c>
      <c r="Q306" s="888">
        <v>-0.2</v>
      </c>
      <c r="R306" s="888">
        <v>0.4</v>
      </c>
      <c r="S306" s="888">
        <v>0</v>
      </c>
      <c r="T306" s="888">
        <v>0.8</v>
      </c>
      <c r="U306" s="843"/>
      <c r="V306" s="840">
        <v>0.42</v>
      </c>
      <c r="W306" s="888">
        <v>2.1</v>
      </c>
      <c r="X306" s="888">
        <v>-0.7</v>
      </c>
      <c r="Y306" s="888">
        <v>-0.34</v>
      </c>
      <c r="Z306" s="888">
        <v>0.3</v>
      </c>
      <c r="AA306" s="888">
        <v>1</v>
      </c>
      <c r="AB306" s="888">
        <v>-0.2</v>
      </c>
      <c r="AC306" s="888">
        <v>-0.8</v>
      </c>
      <c r="AD306" s="214"/>
    </row>
    <row r="307" spans="1:30" ht="15" customHeight="1">
      <c r="A307" s="851" t="s">
        <v>651</v>
      </c>
      <c r="B307" s="852">
        <v>2018</v>
      </c>
      <c r="C307" s="853">
        <v>1</v>
      </c>
      <c r="D307" s="837">
        <v>0.25</v>
      </c>
      <c r="E307" s="889">
        <v>-1.7</v>
      </c>
      <c r="F307" s="889">
        <v>-0.4</v>
      </c>
      <c r="G307" s="889">
        <v>0.9</v>
      </c>
      <c r="H307" s="889">
        <v>0.2</v>
      </c>
      <c r="I307" s="889">
        <v>1.3</v>
      </c>
      <c r="J307" s="889">
        <v>-0.8</v>
      </c>
      <c r="K307" s="889">
        <v>0.7</v>
      </c>
      <c r="L307" s="859"/>
      <c r="M307" s="887">
        <v>0.14899999999999999</v>
      </c>
      <c r="N307" s="887">
        <v>0.6</v>
      </c>
      <c r="O307" s="887">
        <v>-1.5</v>
      </c>
      <c r="P307" s="887">
        <v>2</v>
      </c>
      <c r="Q307" s="887">
        <v>0.1</v>
      </c>
      <c r="R307" s="887">
        <v>-1.3</v>
      </c>
      <c r="S307" s="887">
        <v>1.5</v>
      </c>
      <c r="T307" s="887">
        <v>-1.7</v>
      </c>
      <c r="U307" s="426"/>
      <c r="V307" s="862">
        <v>0.24</v>
      </c>
      <c r="W307" s="887">
        <v>-1.8</v>
      </c>
      <c r="X307" s="887">
        <v>1</v>
      </c>
      <c r="Y307" s="887">
        <v>2.7</v>
      </c>
      <c r="Z307" s="887">
        <v>-0.5</v>
      </c>
      <c r="AA307" s="887">
        <v>-0.4</v>
      </c>
      <c r="AB307" s="887">
        <v>0.5</v>
      </c>
      <c r="AC307" s="887">
        <v>0.7</v>
      </c>
      <c r="AD307" s="214"/>
    </row>
    <row r="308" spans="1:30" ht="15" customHeight="1">
      <c r="A308" s="761"/>
      <c r="B308" s="762"/>
      <c r="C308" s="763">
        <v>2</v>
      </c>
      <c r="D308" s="836">
        <v>0.28999999999999998</v>
      </c>
      <c r="E308" s="889">
        <v>-0.6</v>
      </c>
      <c r="F308" s="889">
        <v>-0.3</v>
      </c>
      <c r="G308" s="889">
        <v>0.3</v>
      </c>
      <c r="H308" s="889">
        <v>0.1</v>
      </c>
      <c r="I308" s="889">
        <v>-0.7</v>
      </c>
      <c r="J308" s="889">
        <v>0.4</v>
      </c>
      <c r="K308" s="889">
        <v>0.7</v>
      </c>
      <c r="L308" s="426"/>
      <c r="M308" s="887">
        <v>-1.1639999999999999</v>
      </c>
      <c r="N308" s="887">
        <v>-0.1</v>
      </c>
      <c r="O308" s="887">
        <v>-0.7</v>
      </c>
      <c r="P308" s="887">
        <v>-1.1000000000000001</v>
      </c>
      <c r="Q308" s="887">
        <v>-0.3</v>
      </c>
      <c r="R308" s="887">
        <v>-0.6</v>
      </c>
      <c r="S308" s="887">
        <v>-0.2</v>
      </c>
      <c r="T308" s="887">
        <v>0.7</v>
      </c>
      <c r="U308" s="426"/>
      <c r="V308" s="841">
        <v>0.28999999999999998</v>
      </c>
      <c r="W308" s="887">
        <v>0.5</v>
      </c>
      <c r="X308" s="887">
        <v>0.6</v>
      </c>
      <c r="Y308" s="887">
        <v>-1.45</v>
      </c>
      <c r="Z308" s="887">
        <v>-0.2</v>
      </c>
      <c r="AA308" s="887">
        <v>-0.5</v>
      </c>
      <c r="AB308" s="887">
        <v>0</v>
      </c>
      <c r="AC308" s="887">
        <v>0.1</v>
      </c>
      <c r="AD308" s="214"/>
    </row>
    <row r="309" spans="1:30" ht="15" customHeight="1">
      <c r="A309" s="761"/>
      <c r="B309" s="762"/>
      <c r="C309" s="763">
        <v>3</v>
      </c>
      <c r="D309" s="836">
        <v>0.31</v>
      </c>
      <c r="E309" s="889">
        <v>1.3</v>
      </c>
      <c r="F309" s="889">
        <v>0.8</v>
      </c>
      <c r="G309" s="889">
        <v>0.3</v>
      </c>
      <c r="H309" s="889">
        <v>0.5</v>
      </c>
      <c r="I309" s="889">
        <v>-0.5</v>
      </c>
      <c r="J309" s="889">
        <v>-0.4</v>
      </c>
      <c r="K309" s="889">
        <v>0.6</v>
      </c>
      <c r="L309" s="426"/>
      <c r="M309" s="887">
        <v>0.16900000000000001</v>
      </c>
      <c r="N309" s="887">
        <v>0.2</v>
      </c>
      <c r="O309" s="887">
        <v>0.4</v>
      </c>
      <c r="P309" s="887">
        <v>0</v>
      </c>
      <c r="Q309" s="887">
        <v>0.2</v>
      </c>
      <c r="R309" s="887">
        <v>0.7</v>
      </c>
      <c r="S309" s="887">
        <v>0.7</v>
      </c>
      <c r="T309" s="887">
        <v>0.6</v>
      </c>
      <c r="U309" s="426"/>
      <c r="V309" s="841">
        <v>0.31</v>
      </c>
      <c r="W309" s="887">
        <v>-1.4</v>
      </c>
      <c r="X309" s="887">
        <v>2.1</v>
      </c>
      <c r="Y309" s="887">
        <v>0.22</v>
      </c>
      <c r="Z309" s="887">
        <v>1</v>
      </c>
      <c r="AA309" s="887">
        <v>2.2000000000000002</v>
      </c>
      <c r="AB309" s="887">
        <v>-1.2</v>
      </c>
      <c r="AC309" s="887">
        <v>-0.9</v>
      </c>
      <c r="AD309" s="214"/>
    </row>
    <row r="310" spans="1:30" ht="15" customHeight="1">
      <c r="A310" s="761"/>
      <c r="B310" s="762"/>
      <c r="C310" s="763">
        <v>4</v>
      </c>
      <c r="D310" s="836">
        <v>0.31</v>
      </c>
      <c r="E310" s="889">
        <v>-0.3</v>
      </c>
      <c r="F310" s="889">
        <v>0.6</v>
      </c>
      <c r="G310" s="889">
        <v>0.2</v>
      </c>
      <c r="H310" s="889">
        <v>0.1</v>
      </c>
      <c r="I310" s="889">
        <v>2.2999999999999998</v>
      </c>
      <c r="J310" s="889">
        <v>0.4</v>
      </c>
      <c r="K310" s="889">
        <v>-0.8</v>
      </c>
      <c r="L310" s="426"/>
      <c r="M310" s="887">
        <v>0.161</v>
      </c>
      <c r="N310" s="887">
        <v>-0.4</v>
      </c>
      <c r="O310" s="887">
        <v>0</v>
      </c>
      <c r="P310" s="887">
        <v>-0.1</v>
      </c>
      <c r="Q310" s="887">
        <v>1</v>
      </c>
      <c r="R310" s="887">
        <v>0.9</v>
      </c>
      <c r="S310" s="887">
        <v>0.5</v>
      </c>
      <c r="T310" s="887">
        <v>0</v>
      </c>
      <c r="U310" s="426"/>
      <c r="V310" s="841">
        <v>0.27</v>
      </c>
      <c r="W310" s="887">
        <v>-0.4</v>
      </c>
      <c r="X310" s="887">
        <v>-1.6</v>
      </c>
      <c r="Y310" s="887">
        <v>-0.17</v>
      </c>
      <c r="Z310" s="887">
        <v>-1</v>
      </c>
      <c r="AA310" s="887">
        <v>-1</v>
      </c>
      <c r="AB310" s="887">
        <v>-0.4</v>
      </c>
      <c r="AC310" s="887">
        <v>-1.2</v>
      </c>
      <c r="AD310" s="214"/>
    </row>
    <row r="311" spans="1:30" ht="15" customHeight="1">
      <c r="A311" s="761"/>
      <c r="B311" s="762"/>
      <c r="C311" s="763">
        <v>5</v>
      </c>
      <c r="D311" s="836">
        <v>0.3</v>
      </c>
      <c r="E311" s="889">
        <v>0.3</v>
      </c>
      <c r="F311" s="889">
        <v>0</v>
      </c>
      <c r="G311" s="889">
        <v>0.4</v>
      </c>
      <c r="H311" s="889">
        <v>0.6</v>
      </c>
      <c r="I311" s="889">
        <v>-1.9</v>
      </c>
      <c r="J311" s="889">
        <v>-0.4</v>
      </c>
      <c r="K311" s="889">
        <v>-0.7</v>
      </c>
      <c r="L311" s="426"/>
      <c r="M311" s="887">
        <v>0.161</v>
      </c>
      <c r="N311" s="887">
        <v>-0.4</v>
      </c>
      <c r="O311" s="887">
        <v>-0.9</v>
      </c>
      <c r="P311" s="887">
        <v>0.7</v>
      </c>
      <c r="Q311" s="887">
        <v>-0.3</v>
      </c>
      <c r="R311" s="887">
        <v>-0.1</v>
      </c>
      <c r="S311" s="887">
        <v>-0.4</v>
      </c>
      <c r="T311" s="887">
        <v>0.1</v>
      </c>
      <c r="U311" s="426"/>
      <c r="V311" s="841">
        <v>0.27</v>
      </c>
      <c r="W311" s="887">
        <v>0.1</v>
      </c>
      <c r="X311" s="887">
        <v>0.4</v>
      </c>
      <c r="Y311" s="887">
        <v>1.91</v>
      </c>
      <c r="Z311" s="887">
        <v>-0.1</v>
      </c>
      <c r="AA311" s="887">
        <v>-0.7</v>
      </c>
      <c r="AB311" s="887">
        <v>0.4</v>
      </c>
      <c r="AC311" s="887">
        <v>1.8</v>
      </c>
      <c r="AD311" s="214"/>
    </row>
    <row r="312" spans="1:30" ht="15" customHeight="1">
      <c r="A312" s="761"/>
      <c r="B312" s="762"/>
      <c r="C312" s="763">
        <v>6</v>
      </c>
      <c r="D312" s="836">
        <v>0.28999999999999998</v>
      </c>
      <c r="E312" s="889">
        <v>0.1</v>
      </c>
      <c r="F312" s="889">
        <v>0.5</v>
      </c>
      <c r="G312" s="889">
        <v>0.2</v>
      </c>
      <c r="H312" s="889">
        <v>0.3</v>
      </c>
      <c r="I312" s="889">
        <v>-0.7</v>
      </c>
      <c r="J312" s="889">
        <v>0</v>
      </c>
      <c r="K312" s="889">
        <v>-0.7</v>
      </c>
      <c r="L312" s="426"/>
      <c r="M312" s="887">
        <v>0.17399999999999999</v>
      </c>
      <c r="N312" s="887">
        <v>1.3</v>
      </c>
      <c r="O312" s="887">
        <v>-0.2</v>
      </c>
      <c r="P312" s="887">
        <v>0.1</v>
      </c>
      <c r="Q312" s="887">
        <v>0</v>
      </c>
      <c r="R312" s="887">
        <v>0</v>
      </c>
      <c r="S312" s="887">
        <v>0.3</v>
      </c>
      <c r="T312" s="887">
        <v>1.1000000000000001</v>
      </c>
      <c r="U312" s="426"/>
      <c r="V312" s="841">
        <v>0.28999999999999998</v>
      </c>
      <c r="W312" s="887">
        <v>-1</v>
      </c>
      <c r="X312" s="887">
        <v>-0.6</v>
      </c>
      <c r="Y312" s="887">
        <v>-2.0699999999999998</v>
      </c>
      <c r="Z312" s="887">
        <v>1.5</v>
      </c>
      <c r="AA312" s="887">
        <v>-0.8</v>
      </c>
      <c r="AB312" s="887">
        <v>0</v>
      </c>
      <c r="AC312" s="887">
        <v>0.1</v>
      </c>
      <c r="AD312" s="214"/>
    </row>
    <row r="313" spans="1:30" ht="15" customHeight="1">
      <c r="A313" s="761"/>
      <c r="B313" s="762"/>
      <c r="C313" s="763">
        <v>7</v>
      </c>
      <c r="D313" s="836">
        <v>0.4</v>
      </c>
      <c r="E313" s="889">
        <v>-1.3</v>
      </c>
      <c r="F313" s="889">
        <v>0.3</v>
      </c>
      <c r="G313" s="889">
        <v>0.1</v>
      </c>
      <c r="H313" s="889">
        <v>0.6</v>
      </c>
      <c r="I313" s="889">
        <v>1.3</v>
      </c>
      <c r="J313" s="889">
        <v>0.4</v>
      </c>
      <c r="K313" s="889">
        <v>1.7</v>
      </c>
      <c r="L313" s="426"/>
      <c r="M313" s="887">
        <v>-1.18</v>
      </c>
      <c r="N313" s="887">
        <v>0.3</v>
      </c>
      <c r="O313" s="887">
        <v>-0.5</v>
      </c>
      <c r="P313" s="887">
        <v>0.4</v>
      </c>
      <c r="Q313" s="887">
        <v>0</v>
      </c>
      <c r="R313" s="887">
        <v>0.1</v>
      </c>
      <c r="S313" s="887">
        <v>-0.2</v>
      </c>
      <c r="T313" s="887">
        <v>0.7</v>
      </c>
      <c r="U313" s="426"/>
      <c r="V313" s="841">
        <v>0.38</v>
      </c>
      <c r="W313" s="887">
        <v>0.5</v>
      </c>
      <c r="X313" s="887">
        <v>-0.1</v>
      </c>
      <c r="Y313" s="887">
        <v>-0.89</v>
      </c>
      <c r="Z313" s="887">
        <v>-0.7</v>
      </c>
      <c r="AA313" s="887">
        <v>0.5</v>
      </c>
      <c r="AB313" s="887">
        <v>0.8</v>
      </c>
      <c r="AC313" s="887">
        <v>1.5</v>
      </c>
      <c r="AD313" s="214"/>
    </row>
    <row r="314" spans="1:30" ht="15" customHeight="1">
      <c r="A314" s="761"/>
      <c r="B314" s="762"/>
      <c r="C314" s="763">
        <v>8</v>
      </c>
      <c r="D314" s="836">
        <v>0.18</v>
      </c>
      <c r="E314" s="889">
        <v>0.4</v>
      </c>
      <c r="F314" s="889">
        <v>-1</v>
      </c>
      <c r="G314" s="889">
        <v>1.1000000000000001</v>
      </c>
      <c r="H314" s="889">
        <v>-1.6</v>
      </c>
      <c r="I314" s="889">
        <v>-0.8</v>
      </c>
      <c r="J314" s="889">
        <v>-0.8</v>
      </c>
      <c r="K314" s="889">
        <v>1.8</v>
      </c>
      <c r="L314" s="426"/>
      <c r="M314" s="887">
        <v>-0.46899999999999997</v>
      </c>
      <c r="N314" s="887">
        <v>-0.9</v>
      </c>
      <c r="O314" s="887">
        <v>1.2</v>
      </c>
      <c r="P314" s="887">
        <v>0.1</v>
      </c>
      <c r="Q314" s="887">
        <v>0</v>
      </c>
      <c r="R314" s="887">
        <v>-1.2</v>
      </c>
      <c r="S314" s="887">
        <v>0.3</v>
      </c>
      <c r="T314" s="887">
        <v>-1.4</v>
      </c>
      <c r="U314" s="426"/>
      <c r="V314" s="841">
        <v>0.23</v>
      </c>
      <c r="W314" s="887">
        <v>-1.3</v>
      </c>
      <c r="X314" s="887">
        <v>1.5</v>
      </c>
      <c r="Y314" s="887">
        <v>0.22</v>
      </c>
      <c r="Z314" s="887">
        <v>-0.3</v>
      </c>
      <c r="AA314" s="887">
        <v>-0.6</v>
      </c>
      <c r="AB314" s="887">
        <v>0.2</v>
      </c>
      <c r="AC314" s="887">
        <v>-1.9</v>
      </c>
      <c r="AD314" s="214"/>
    </row>
    <row r="315" spans="1:30" ht="15" customHeight="1">
      <c r="A315" s="761"/>
      <c r="B315" s="762"/>
      <c r="C315" s="763">
        <v>9</v>
      </c>
      <c r="D315" s="836">
        <v>0.21</v>
      </c>
      <c r="E315" s="889">
        <v>-0.3</v>
      </c>
      <c r="F315" s="889">
        <v>0.4</v>
      </c>
      <c r="G315" s="889">
        <v>-2.2999999999999998</v>
      </c>
      <c r="H315" s="889">
        <v>0.5</v>
      </c>
      <c r="I315" s="889">
        <v>-0.3</v>
      </c>
      <c r="J315" s="889">
        <v>0.8</v>
      </c>
      <c r="K315" s="889">
        <v>1.7</v>
      </c>
      <c r="L315" s="426"/>
      <c r="M315" s="887">
        <v>-0.45200000000000001</v>
      </c>
      <c r="N315" s="887">
        <v>0.8</v>
      </c>
      <c r="O315" s="887">
        <v>-0.5</v>
      </c>
      <c r="P315" s="887">
        <v>0</v>
      </c>
      <c r="Q315" s="887">
        <v>-0.7</v>
      </c>
      <c r="R315" s="887">
        <v>0</v>
      </c>
      <c r="S315" s="887">
        <v>-0.2</v>
      </c>
      <c r="T315" s="887">
        <v>0</v>
      </c>
      <c r="U315" s="426"/>
      <c r="V315" s="841">
        <v>0.19</v>
      </c>
      <c r="W315" s="887">
        <v>-2.5</v>
      </c>
      <c r="X315" s="887">
        <v>-1.6</v>
      </c>
      <c r="Y315" s="887">
        <v>0.87</v>
      </c>
      <c r="Z315" s="887">
        <v>0.9</v>
      </c>
      <c r="AA315" s="887">
        <v>-1.1000000000000001</v>
      </c>
      <c r="AB315" s="887">
        <v>-0.4</v>
      </c>
      <c r="AC315" s="887">
        <v>0</v>
      </c>
      <c r="AD315" s="214"/>
    </row>
    <row r="316" spans="1:30" ht="15" customHeight="1">
      <c r="A316" s="761"/>
      <c r="B316" s="762"/>
      <c r="C316" s="763">
        <v>10</v>
      </c>
      <c r="D316" s="836">
        <v>0.32</v>
      </c>
      <c r="E316" s="889">
        <v>0.1</v>
      </c>
      <c r="F316" s="889">
        <v>0.4</v>
      </c>
      <c r="G316" s="889">
        <v>3.4</v>
      </c>
      <c r="H316" s="889">
        <v>-0.3</v>
      </c>
      <c r="I316" s="889">
        <v>-2.2999999999999998</v>
      </c>
      <c r="J316" s="889">
        <v>0</v>
      </c>
      <c r="K316" s="889">
        <v>0.2</v>
      </c>
      <c r="L316" s="426"/>
      <c r="M316" s="887">
        <v>0.22700000000000001</v>
      </c>
      <c r="N316" s="887">
        <v>-1.5</v>
      </c>
      <c r="O316" s="887">
        <v>0</v>
      </c>
      <c r="P316" s="887">
        <v>-1.7</v>
      </c>
      <c r="Q316" s="887">
        <v>0.3</v>
      </c>
      <c r="R316" s="887">
        <v>0.8</v>
      </c>
      <c r="S316" s="887">
        <v>-0.1</v>
      </c>
      <c r="T316" s="887">
        <v>1.7</v>
      </c>
      <c r="U316" s="426"/>
      <c r="V316" s="841">
        <v>0.32</v>
      </c>
      <c r="W316" s="887">
        <v>1.6</v>
      </c>
      <c r="X316" s="887">
        <v>-0.3</v>
      </c>
      <c r="Y316" s="887">
        <v>-0.8</v>
      </c>
      <c r="Z316" s="887">
        <v>-1.9</v>
      </c>
      <c r="AA316" s="887">
        <v>1.8</v>
      </c>
      <c r="AB316" s="887">
        <v>0</v>
      </c>
      <c r="AC316" s="887">
        <v>0</v>
      </c>
      <c r="AD316" s="214"/>
    </row>
    <row r="317" spans="1:30" ht="15" customHeight="1">
      <c r="A317" s="761"/>
      <c r="B317" s="762"/>
      <c r="C317" s="763">
        <v>11</v>
      </c>
      <c r="D317" s="836">
        <v>0.14000000000000001</v>
      </c>
      <c r="E317" s="889">
        <v>-0.3</v>
      </c>
      <c r="F317" s="889">
        <v>-0.5</v>
      </c>
      <c r="G317" s="889">
        <v>0</v>
      </c>
      <c r="H317" s="889">
        <v>0.6</v>
      </c>
      <c r="I317" s="889">
        <v>3.9</v>
      </c>
      <c r="J317" s="889">
        <v>0</v>
      </c>
      <c r="K317" s="889">
        <v>0.3</v>
      </c>
      <c r="L317" s="426"/>
      <c r="M317" s="887">
        <v>-0.433</v>
      </c>
      <c r="N317" s="887">
        <v>0.8</v>
      </c>
      <c r="O317" s="887">
        <v>-0.9</v>
      </c>
      <c r="P317" s="887">
        <v>0.5</v>
      </c>
      <c r="Q317" s="887">
        <v>-0.6</v>
      </c>
      <c r="R317" s="887">
        <v>-1.1000000000000001</v>
      </c>
      <c r="S317" s="887">
        <v>-0.3</v>
      </c>
      <c r="T317" s="887">
        <v>-1.7</v>
      </c>
      <c r="U317" s="426"/>
      <c r="V317" s="841">
        <v>0.17</v>
      </c>
      <c r="W317" s="887">
        <v>0.4</v>
      </c>
      <c r="X317" s="887">
        <v>0.3</v>
      </c>
      <c r="Y317" s="887">
        <v>-1.41</v>
      </c>
      <c r="Z317" s="887">
        <v>0.9</v>
      </c>
      <c r="AA317" s="887">
        <v>-1.2</v>
      </c>
      <c r="AB317" s="887">
        <v>-0.2</v>
      </c>
      <c r="AC317" s="887">
        <v>0.2</v>
      </c>
      <c r="AD317" s="214"/>
    </row>
    <row r="318" spans="1:30" ht="15" customHeight="1">
      <c r="A318" s="846"/>
      <c r="B318" s="847"/>
      <c r="C318" s="848">
        <v>12</v>
      </c>
      <c r="D318" s="866">
        <v>0.27</v>
      </c>
      <c r="E318" s="890">
        <v>-0.7</v>
      </c>
      <c r="F318" s="890">
        <v>0.3</v>
      </c>
      <c r="G318" s="890">
        <v>-1</v>
      </c>
      <c r="H318" s="890">
        <v>-1</v>
      </c>
      <c r="I318" s="890">
        <v>-1.6</v>
      </c>
      <c r="J318" s="890">
        <v>0.4</v>
      </c>
      <c r="K318" s="890">
        <v>0.2</v>
      </c>
      <c r="L318" s="843"/>
      <c r="M318" s="888">
        <v>-1.069</v>
      </c>
      <c r="N318" s="888">
        <v>-0.4</v>
      </c>
      <c r="O318" s="888">
        <v>0</v>
      </c>
      <c r="P318" s="888">
        <v>0.5</v>
      </c>
      <c r="Q318" s="888">
        <v>0.6</v>
      </c>
      <c r="R318" s="888">
        <v>0.7</v>
      </c>
      <c r="S318" s="888">
        <v>0.1</v>
      </c>
      <c r="T318" s="888">
        <v>0.8</v>
      </c>
      <c r="U318" s="843"/>
      <c r="V318" s="840">
        <v>0.23</v>
      </c>
      <c r="W318" s="888">
        <v>1.1000000000000001</v>
      </c>
      <c r="X318" s="888">
        <v>-0.5</v>
      </c>
      <c r="Y318" s="888">
        <v>0.37</v>
      </c>
      <c r="Z318" s="888">
        <v>0.4</v>
      </c>
      <c r="AA318" s="888">
        <v>0.7</v>
      </c>
      <c r="AB318" s="888">
        <v>-1.5</v>
      </c>
      <c r="AC318" s="888">
        <v>0.1</v>
      </c>
      <c r="AD318" s="214"/>
    </row>
    <row r="319" spans="1:30" ht="15" customHeight="1">
      <c r="A319" s="851" t="s">
        <v>652</v>
      </c>
      <c r="B319" s="852">
        <v>2019</v>
      </c>
      <c r="C319" s="853">
        <v>1</v>
      </c>
      <c r="D319" s="837">
        <v>0.1</v>
      </c>
      <c r="E319" s="889">
        <v>0.6</v>
      </c>
      <c r="F319" s="889">
        <v>0</v>
      </c>
      <c r="G319" s="889">
        <v>-0.1</v>
      </c>
      <c r="H319" s="889">
        <v>0.6</v>
      </c>
      <c r="I319" s="889">
        <v>1.3</v>
      </c>
      <c r="J319" s="889">
        <v>-0.8</v>
      </c>
      <c r="K319" s="889">
        <v>-1.9</v>
      </c>
      <c r="L319" s="859"/>
      <c r="M319" s="887">
        <v>-2.2879999999999998</v>
      </c>
      <c r="N319" s="887">
        <v>0.1</v>
      </c>
      <c r="O319" s="887">
        <v>1.3</v>
      </c>
      <c r="P319" s="887">
        <v>-2.2000000000000002</v>
      </c>
      <c r="Q319" s="887">
        <v>-2.2999999999999998</v>
      </c>
      <c r="R319" s="887">
        <v>-2.2000000000000002</v>
      </c>
      <c r="S319" s="887">
        <v>-0.3</v>
      </c>
      <c r="T319" s="887">
        <v>-0.7</v>
      </c>
      <c r="U319" s="426"/>
      <c r="V319" s="862">
        <v>0.17</v>
      </c>
      <c r="W319" s="887">
        <v>-2.1</v>
      </c>
      <c r="X319" s="887">
        <v>1.1000000000000001</v>
      </c>
      <c r="Y319" s="887">
        <v>-0.54</v>
      </c>
      <c r="Z319" s="887">
        <v>-0.4</v>
      </c>
      <c r="AA319" s="887">
        <v>-0.2</v>
      </c>
      <c r="AB319" s="887">
        <v>-0.1</v>
      </c>
      <c r="AC319" s="887">
        <v>0.2</v>
      </c>
      <c r="AD319" s="214"/>
    </row>
    <row r="320" spans="1:30" ht="15" customHeight="1">
      <c r="A320" s="761"/>
      <c r="B320" s="762"/>
      <c r="C320" s="763">
        <v>2</v>
      </c>
      <c r="D320" s="836">
        <v>0.13</v>
      </c>
      <c r="E320" s="889">
        <v>0.8</v>
      </c>
      <c r="F320" s="889">
        <v>-0.1</v>
      </c>
      <c r="G320" s="889">
        <v>0.6</v>
      </c>
      <c r="H320" s="889">
        <v>1</v>
      </c>
      <c r="I320" s="889">
        <v>-0.6</v>
      </c>
      <c r="J320" s="889">
        <v>-1.2</v>
      </c>
      <c r="K320" s="889">
        <v>-1.9</v>
      </c>
      <c r="L320" s="426"/>
      <c r="M320" s="887">
        <v>-0.96899999999999997</v>
      </c>
      <c r="N320" s="887">
        <v>-0.3</v>
      </c>
      <c r="O320" s="887">
        <v>-0.6</v>
      </c>
      <c r="P320" s="887">
        <v>2.2999999999999998</v>
      </c>
      <c r="Q320" s="887">
        <v>1.5</v>
      </c>
      <c r="R320" s="887">
        <v>-0.1</v>
      </c>
      <c r="S320" s="887">
        <v>1.6</v>
      </c>
      <c r="T320" s="887">
        <v>0</v>
      </c>
      <c r="U320" s="426"/>
      <c r="V320" s="841">
        <v>0.16</v>
      </c>
      <c r="W320" s="887">
        <v>-2.2000000000000002</v>
      </c>
      <c r="X320" s="887">
        <v>-0.2</v>
      </c>
      <c r="Y320" s="887">
        <v>1.08</v>
      </c>
      <c r="Z320" s="887">
        <v>1.1000000000000001</v>
      </c>
      <c r="AA320" s="887">
        <v>0</v>
      </c>
      <c r="AB320" s="887">
        <v>-0.3</v>
      </c>
      <c r="AC320" s="887">
        <v>-0.3</v>
      </c>
      <c r="AD320" s="214"/>
    </row>
    <row r="321" spans="1:30" ht="15" customHeight="1">
      <c r="A321" s="761"/>
      <c r="B321" s="762"/>
      <c r="C321" s="763">
        <v>3</v>
      </c>
      <c r="D321" s="836">
        <v>0.18</v>
      </c>
      <c r="E321" s="889">
        <v>-2</v>
      </c>
      <c r="F321" s="889">
        <v>-0.7</v>
      </c>
      <c r="G321" s="889">
        <v>0</v>
      </c>
      <c r="H321" s="889">
        <v>-0.9</v>
      </c>
      <c r="I321" s="889">
        <v>1.1000000000000001</v>
      </c>
      <c r="J321" s="889">
        <v>0.4</v>
      </c>
      <c r="K321" s="889">
        <v>-1.8</v>
      </c>
      <c r="L321" s="426"/>
      <c r="M321" s="887">
        <v>0.90600000000000003</v>
      </c>
      <c r="N321" s="887">
        <v>0.5</v>
      </c>
      <c r="O321" s="887">
        <v>-1.3</v>
      </c>
      <c r="P321" s="887">
        <v>-0.3</v>
      </c>
      <c r="Q321" s="887">
        <v>-0.2</v>
      </c>
      <c r="R321" s="887">
        <v>0.3</v>
      </c>
      <c r="S321" s="887">
        <v>-0.2</v>
      </c>
      <c r="T321" s="887">
        <v>-0.2</v>
      </c>
      <c r="U321" s="426"/>
      <c r="V321" s="841">
        <v>0.17</v>
      </c>
      <c r="W321" s="887">
        <v>0.4</v>
      </c>
      <c r="X321" s="887">
        <v>-0.6</v>
      </c>
      <c r="Y321" s="887">
        <v>-0.98</v>
      </c>
      <c r="Z321" s="887">
        <v>-0.7</v>
      </c>
      <c r="AA321" s="887">
        <v>0.5</v>
      </c>
      <c r="AB321" s="887">
        <v>0.9</v>
      </c>
      <c r="AC321" s="887">
        <v>-0.4</v>
      </c>
      <c r="AD321" s="214"/>
    </row>
    <row r="322" spans="1:30" ht="15" customHeight="1">
      <c r="A322" s="761"/>
      <c r="B322" s="762"/>
      <c r="C322" s="763">
        <v>4</v>
      </c>
      <c r="D322" s="836">
        <v>0.18</v>
      </c>
      <c r="E322" s="889">
        <v>1.4</v>
      </c>
      <c r="F322" s="889">
        <v>-0.3</v>
      </c>
      <c r="G322" s="889">
        <v>-0.9</v>
      </c>
      <c r="H322" s="889">
        <v>1.1000000000000001</v>
      </c>
      <c r="I322" s="889">
        <v>-2.7</v>
      </c>
      <c r="J322" s="889">
        <v>1.5</v>
      </c>
      <c r="K322" s="889">
        <v>1.1000000000000001</v>
      </c>
      <c r="L322" s="426"/>
      <c r="M322" s="887">
        <v>-0.97399999999999998</v>
      </c>
      <c r="N322" s="887">
        <v>-1.8</v>
      </c>
      <c r="O322" s="887">
        <v>1.7</v>
      </c>
      <c r="P322" s="887">
        <v>-0.3</v>
      </c>
      <c r="Q322" s="887">
        <v>-0.9</v>
      </c>
      <c r="R322" s="887">
        <v>-1.4</v>
      </c>
      <c r="S322" s="887">
        <v>-0.5</v>
      </c>
      <c r="T322" s="887">
        <v>0.5</v>
      </c>
      <c r="U322" s="426"/>
      <c r="V322" s="841">
        <v>0.21</v>
      </c>
      <c r="W322" s="887">
        <v>0.3</v>
      </c>
      <c r="X322" s="887">
        <v>0.3</v>
      </c>
      <c r="Y322" s="887">
        <v>0.35</v>
      </c>
      <c r="Z322" s="887">
        <v>0.2</v>
      </c>
      <c r="AA322" s="887">
        <v>-1.9</v>
      </c>
      <c r="AB322" s="887">
        <v>0.6</v>
      </c>
      <c r="AC322" s="887">
        <v>-1.2</v>
      </c>
      <c r="AD322" s="214"/>
    </row>
    <row r="323" spans="1:30" ht="15" customHeight="1">
      <c r="A323" s="761"/>
      <c r="B323" s="762"/>
      <c r="C323" s="763">
        <v>5</v>
      </c>
      <c r="D323" s="836">
        <v>0.17</v>
      </c>
      <c r="E323" s="889">
        <v>-1</v>
      </c>
      <c r="F323" s="889">
        <v>0.7</v>
      </c>
      <c r="G323" s="889">
        <v>1.4</v>
      </c>
      <c r="H323" s="889">
        <v>0.4</v>
      </c>
      <c r="I323" s="889">
        <v>2.7</v>
      </c>
      <c r="J323" s="889">
        <v>-1.2</v>
      </c>
      <c r="K323" s="889">
        <v>1.1000000000000001</v>
      </c>
      <c r="L323" s="426"/>
      <c r="M323" s="887">
        <v>-0.97</v>
      </c>
      <c r="N323" s="887">
        <v>1.1000000000000001</v>
      </c>
      <c r="O323" s="887">
        <v>1</v>
      </c>
      <c r="P323" s="887">
        <v>0.5</v>
      </c>
      <c r="Q323" s="887">
        <v>0.6</v>
      </c>
      <c r="R323" s="887">
        <v>1.9</v>
      </c>
      <c r="S323" s="887">
        <v>-1.1000000000000001</v>
      </c>
      <c r="T323" s="887">
        <v>-0.7</v>
      </c>
      <c r="U323" s="426"/>
      <c r="V323" s="841">
        <v>0.17</v>
      </c>
      <c r="W323" s="887">
        <v>2.9</v>
      </c>
      <c r="X323" s="887">
        <v>0.5</v>
      </c>
      <c r="Y323" s="887">
        <v>0.45</v>
      </c>
      <c r="Z323" s="887">
        <v>0.3</v>
      </c>
      <c r="AA323" s="887">
        <v>2.5</v>
      </c>
      <c r="AB323" s="887">
        <v>-0.8</v>
      </c>
      <c r="AC323" s="887">
        <v>0.8</v>
      </c>
      <c r="AD323" s="214"/>
    </row>
    <row r="324" spans="1:30" ht="15" customHeight="1">
      <c r="A324" s="761"/>
      <c r="B324" s="762"/>
      <c r="C324" s="763">
        <v>6</v>
      </c>
      <c r="D324" s="836">
        <v>0.13</v>
      </c>
      <c r="E324" s="889">
        <v>-1.7</v>
      </c>
      <c r="F324" s="889">
        <v>-1.4</v>
      </c>
      <c r="G324" s="889">
        <v>-0.6</v>
      </c>
      <c r="H324" s="889">
        <v>-0.4</v>
      </c>
      <c r="I324" s="889">
        <v>1.3</v>
      </c>
      <c r="J324" s="889">
        <v>0.4</v>
      </c>
      <c r="K324" s="889">
        <v>1.1000000000000001</v>
      </c>
      <c r="L324" s="426"/>
      <c r="M324" s="887">
        <v>-2.19</v>
      </c>
      <c r="N324" s="887">
        <v>0.1</v>
      </c>
      <c r="O324" s="887">
        <v>-0.2</v>
      </c>
      <c r="P324" s="887">
        <v>-0.3</v>
      </c>
      <c r="Q324" s="887">
        <v>-0.9</v>
      </c>
      <c r="R324" s="887">
        <v>-1.4</v>
      </c>
      <c r="S324" s="887">
        <v>-1</v>
      </c>
      <c r="T324" s="887">
        <v>0.9</v>
      </c>
      <c r="U324" s="426"/>
      <c r="V324" s="841">
        <v>0.16</v>
      </c>
      <c r="W324" s="887">
        <v>-0.3</v>
      </c>
      <c r="X324" s="887">
        <v>-0.5</v>
      </c>
      <c r="Y324" s="887">
        <v>-0.12</v>
      </c>
      <c r="Z324" s="887">
        <v>0</v>
      </c>
      <c r="AA324" s="887">
        <v>1.1000000000000001</v>
      </c>
      <c r="AB324" s="887">
        <v>-0.5</v>
      </c>
      <c r="AC324" s="887">
        <v>0.6</v>
      </c>
      <c r="AD324" s="214"/>
    </row>
    <row r="325" spans="1:30" ht="15" customHeight="1">
      <c r="A325" s="761"/>
      <c r="B325" s="762"/>
      <c r="C325" s="763">
        <v>7</v>
      </c>
      <c r="D325" s="836">
        <v>0.04</v>
      </c>
      <c r="E325" s="889">
        <v>2.2999999999999998</v>
      </c>
      <c r="F325" s="889">
        <v>-0.2</v>
      </c>
      <c r="G325" s="889">
        <v>-0.8</v>
      </c>
      <c r="H325" s="889">
        <v>0.1</v>
      </c>
      <c r="I325" s="889">
        <v>-2.2000000000000002</v>
      </c>
      <c r="J325" s="889">
        <v>0</v>
      </c>
      <c r="K325" s="889">
        <v>-1.5</v>
      </c>
      <c r="L325" s="426"/>
      <c r="M325" s="887">
        <v>-0.93400000000000005</v>
      </c>
      <c r="N325" s="887">
        <v>-1</v>
      </c>
      <c r="O325" s="887">
        <v>-0.6</v>
      </c>
      <c r="P325" s="887">
        <v>0.2</v>
      </c>
      <c r="Q325" s="887">
        <v>-0.1</v>
      </c>
      <c r="R325" s="887">
        <v>0.1</v>
      </c>
      <c r="S325" s="887">
        <v>1.2</v>
      </c>
      <c r="T325" s="887">
        <v>-1</v>
      </c>
      <c r="U325" s="426"/>
      <c r="V325" s="841">
        <v>0.1</v>
      </c>
      <c r="W325" s="887">
        <v>-1.4</v>
      </c>
      <c r="X325" s="887">
        <v>0.2</v>
      </c>
      <c r="Y325" s="887">
        <v>0.33</v>
      </c>
      <c r="Z325" s="887">
        <v>-1.5</v>
      </c>
      <c r="AA325" s="887">
        <v>-1.6</v>
      </c>
      <c r="AB325" s="887">
        <v>-0.3</v>
      </c>
      <c r="AC325" s="887">
        <v>-0.5</v>
      </c>
      <c r="AD325" s="214"/>
    </row>
    <row r="326" spans="1:30" ht="15" customHeight="1">
      <c r="A326" s="761"/>
      <c r="B326" s="762"/>
      <c r="C326" s="763">
        <v>8</v>
      </c>
      <c r="D326" s="836">
        <v>0.11</v>
      </c>
      <c r="E326" s="889">
        <v>-1</v>
      </c>
      <c r="F326" s="889">
        <v>-0.7</v>
      </c>
      <c r="G326" s="889">
        <v>-2.1</v>
      </c>
      <c r="H326" s="889">
        <v>-0.1</v>
      </c>
      <c r="I326" s="889">
        <v>0.3</v>
      </c>
      <c r="J326" s="889">
        <v>0.4</v>
      </c>
      <c r="K326" s="889">
        <v>-1.5</v>
      </c>
      <c r="L326" s="426"/>
      <c r="M326" s="887">
        <v>0.26700000000000002</v>
      </c>
      <c r="N326" s="887">
        <v>0.7</v>
      </c>
      <c r="O326" s="887">
        <v>-0.2</v>
      </c>
      <c r="P326" s="887">
        <v>0.1</v>
      </c>
      <c r="Q326" s="887">
        <v>-0.8</v>
      </c>
      <c r="R326" s="887">
        <v>-1.2</v>
      </c>
      <c r="S326" s="887">
        <v>-1.7</v>
      </c>
      <c r="T326" s="887">
        <v>0</v>
      </c>
      <c r="U326" s="426"/>
      <c r="V326" s="841">
        <v>0.14000000000000001</v>
      </c>
      <c r="W326" s="887">
        <v>1.7</v>
      </c>
      <c r="X326" s="887">
        <v>-1.2</v>
      </c>
      <c r="Y326" s="887">
        <v>-0.19</v>
      </c>
      <c r="Z326" s="887">
        <v>2.2000000000000002</v>
      </c>
      <c r="AA326" s="887">
        <v>0</v>
      </c>
      <c r="AB326" s="887">
        <v>0.3</v>
      </c>
      <c r="AC326" s="887">
        <v>0.5</v>
      </c>
      <c r="AD326" s="214"/>
    </row>
    <row r="327" spans="1:30" ht="15" customHeight="1">
      <c r="A327" s="761"/>
      <c r="B327" s="762"/>
      <c r="C327" s="763">
        <v>9</v>
      </c>
      <c r="D327" s="836">
        <v>0.14000000000000001</v>
      </c>
      <c r="E327" s="889">
        <v>-1.4</v>
      </c>
      <c r="F327" s="889">
        <v>0.1</v>
      </c>
      <c r="G327" s="889">
        <v>0.2</v>
      </c>
      <c r="H327" s="889">
        <v>0.8</v>
      </c>
      <c r="I327" s="889">
        <v>1.1000000000000001</v>
      </c>
      <c r="J327" s="889">
        <v>-0.8</v>
      </c>
      <c r="K327" s="889">
        <v>-1.4</v>
      </c>
      <c r="L327" s="426"/>
      <c r="M327" s="887">
        <v>-0.90400000000000003</v>
      </c>
      <c r="N327" s="887">
        <v>-0.5</v>
      </c>
      <c r="O327" s="887">
        <v>0.2</v>
      </c>
      <c r="P327" s="887">
        <v>0.3</v>
      </c>
      <c r="Q327" s="887">
        <v>0.4</v>
      </c>
      <c r="R327" s="887">
        <v>0.7</v>
      </c>
      <c r="S327" s="887">
        <v>0.3</v>
      </c>
      <c r="T327" s="887">
        <v>1.7</v>
      </c>
      <c r="U327" s="426"/>
      <c r="V327" s="841">
        <v>0.18</v>
      </c>
      <c r="W327" s="887">
        <v>0</v>
      </c>
      <c r="X327" s="887">
        <v>1.3</v>
      </c>
      <c r="Y327" s="887">
        <v>-1.6</v>
      </c>
      <c r="Z327" s="887">
        <v>1.1000000000000001</v>
      </c>
      <c r="AA327" s="887">
        <v>0.4</v>
      </c>
      <c r="AB327" s="887">
        <v>-0.3</v>
      </c>
      <c r="AC327" s="887">
        <v>0.3</v>
      </c>
      <c r="AD327" s="214"/>
    </row>
    <row r="328" spans="1:30" ht="15" customHeight="1">
      <c r="A328" s="761"/>
      <c r="B328" s="762"/>
      <c r="C328" s="763">
        <v>10</v>
      </c>
      <c r="D328" s="836">
        <v>0.06</v>
      </c>
      <c r="E328" s="889">
        <v>1</v>
      </c>
      <c r="F328" s="889">
        <v>-0.7</v>
      </c>
      <c r="G328" s="889">
        <v>-0.4</v>
      </c>
      <c r="H328" s="889">
        <v>-3.3</v>
      </c>
      <c r="I328" s="889">
        <v>-0.1</v>
      </c>
      <c r="J328" s="889">
        <v>0</v>
      </c>
      <c r="K328" s="889">
        <v>0.3</v>
      </c>
      <c r="L328" s="426"/>
      <c r="M328" s="887">
        <v>-0.86199999999999999</v>
      </c>
      <c r="N328" s="887">
        <v>0.4</v>
      </c>
      <c r="O328" s="887">
        <v>0.2</v>
      </c>
      <c r="P328" s="887">
        <v>-0.1</v>
      </c>
      <c r="Q328" s="887">
        <v>-0.1</v>
      </c>
      <c r="R328" s="887">
        <v>0.3</v>
      </c>
      <c r="S328" s="887">
        <v>1.5</v>
      </c>
      <c r="T328" s="887">
        <v>-1.6</v>
      </c>
      <c r="U328" s="426"/>
      <c r="V328" s="841">
        <v>0.12</v>
      </c>
      <c r="W328" s="887">
        <v>-0.5</v>
      </c>
      <c r="X328" s="887">
        <v>-0.2</v>
      </c>
      <c r="Y328" s="887">
        <v>0</v>
      </c>
      <c r="Z328" s="887">
        <v>-2.6</v>
      </c>
      <c r="AA328" s="887">
        <v>-0.5</v>
      </c>
      <c r="AB328" s="887">
        <v>1.2</v>
      </c>
      <c r="AC328" s="887">
        <v>-1</v>
      </c>
      <c r="AD328" s="214"/>
    </row>
    <row r="329" spans="1:30" ht="15" customHeight="1">
      <c r="A329" s="761"/>
      <c r="B329" s="762"/>
      <c r="C329" s="763">
        <v>11</v>
      </c>
      <c r="D329" s="836">
        <v>-0.12</v>
      </c>
      <c r="E329" s="889">
        <v>2.7</v>
      </c>
      <c r="F329" s="889">
        <v>-0.1</v>
      </c>
      <c r="G329" s="889">
        <v>0.6</v>
      </c>
      <c r="H329" s="889">
        <v>2.1</v>
      </c>
      <c r="I329" s="889">
        <v>-0.7</v>
      </c>
      <c r="J329" s="889">
        <v>0.7</v>
      </c>
      <c r="K329" s="889">
        <v>0.4</v>
      </c>
      <c r="L329" s="426"/>
      <c r="M329" s="887">
        <v>-3.089</v>
      </c>
      <c r="N329" s="887">
        <v>-1</v>
      </c>
      <c r="O329" s="887">
        <v>0.2</v>
      </c>
      <c r="P329" s="887">
        <v>-0.7</v>
      </c>
      <c r="Q329" s="887">
        <v>-0.7</v>
      </c>
      <c r="R329" s="887">
        <v>-0.6</v>
      </c>
      <c r="S329" s="887">
        <v>-0.7</v>
      </c>
      <c r="T329" s="887">
        <v>0.3</v>
      </c>
      <c r="U329" s="426"/>
      <c r="V329" s="841">
        <v>-0.01</v>
      </c>
      <c r="W329" s="887">
        <v>0.1</v>
      </c>
      <c r="X329" s="887">
        <v>-0.6</v>
      </c>
      <c r="Y329" s="887">
        <v>0.84</v>
      </c>
      <c r="Z329" s="887">
        <v>1.5</v>
      </c>
      <c r="AA329" s="887">
        <v>-0.3</v>
      </c>
      <c r="AB329" s="887">
        <v>0</v>
      </c>
      <c r="AC329" s="887">
        <v>0.6</v>
      </c>
      <c r="AD329" s="214"/>
    </row>
    <row r="330" spans="1:30" ht="15" customHeight="1">
      <c r="A330" s="846"/>
      <c r="B330" s="847"/>
      <c r="C330" s="848">
        <v>12</v>
      </c>
      <c r="D330" s="866">
        <v>0.05</v>
      </c>
      <c r="E330" s="890">
        <v>-3.3</v>
      </c>
      <c r="F330" s="890">
        <v>-0.9</v>
      </c>
      <c r="G330" s="890">
        <v>-0.2</v>
      </c>
      <c r="H330" s="890">
        <v>-1.6</v>
      </c>
      <c r="I330" s="890">
        <v>0</v>
      </c>
      <c r="J330" s="890">
        <v>-1.1000000000000001</v>
      </c>
      <c r="K330" s="890">
        <v>0.4</v>
      </c>
      <c r="L330" s="843"/>
      <c r="M330" s="888">
        <v>-3.395</v>
      </c>
      <c r="N330" s="888">
        <v>-0.6</v>
      </c>
      <c r="O330" s="888">
        <v>-1.4</v>
      </c>
      <c r="P330" s="888">
        <v>-0.5</v>
      </c>
      <c r="Q330" s="888">
        <v>-0.4</v>
      </c>
      <c r="R330" s="888">
        <v>0.1</v>
      </c>
      <c r="S330" s="888">
        <v>-1.1000000000000001</v>
      </c>
      <c r="T330" s="888">
        <v>0.1</v>
      </c>
      <c r="U330" s="843"/>
      <c r="V330" s="840">
        <v>0.14000000000000001</v>
      </c>
      <c r="W330" s="888">
        <v>2.2999999999999998</v>
      </c>
      <c r="X330" s="888">
        <v>0.4</v>
      </c>
      <c r="Y330" s="888">
        <v>0.1</v>
      </c>
      <c r="Z330" s="888">
        <v>-0.3</v>
      </c>
      <c r="AA330" s="888">
        <v>-0.6</v>
      </c>
      <c r="AB330" s="888">
        <v>1.2</v>
      </c>
      <c r="AC330" s="888">
        <v>-0.2</v>
      </c>
      <c r="AD330" s="214"/>
    </row>
    <row r="331" spans="1:30" ht="15" customHeight="1">
      <c r="A331" s="851" t="s">
        <v>668</v>
      </c>
      <c r="B331" s="852">
        <v>2020</v>
      </c>
      <c r="C331" s="853">
        <v>1</v>
      </c>
      <c r="D331" s="837">
        <v>-0.05</v>
      </c>
      <c r="E331" s="889">
        <v>-1.7</v>
      </c>
      <c r="F331" s="889">
        <v>2.5</v>
      </c>
      <c r="G331" s="889">
        <v>0.6</v>
      </c>
      <c r="H331" s="889">
        <v>0.6</v>
      </c>
      <c r="I331" s="889">
        <v>-1.8</v>
      </c>
      <c r="J331" s="889">
        <v>0.7</v>
      </c>
      <c r="K331" s="889">
        <v>-1.9</v>
      </c>
      <c r="L331" s="859"/>
      <c r="M331" s="887">
        <v>-2.145</v>
      </c>
      <c r="N331" s="887">
        <v>0.5</v>
      </c>
      <c r="O331" s="887">
        <v>-1.3</v>
      </c>
      <c r="P331" s="887">
        <v>0.4</v>
      </c>
      <c r="Q331" s="887">
        <v>-0.1</v>
      </c>
      <c r="R331" s="887">
        <v>-0.6</v>
      </c>
      <c r="S331" s="887">
        <v>-0.8</v>
      </c>
      <c r="T331" s="887">
        <v>0</v>
      </c>
      <c r="U331" s="426"/>
      <c r="V331" s="862">
        <v>0.03</v>
      </c>
      <c r="W331" s="887">
        <v>2</v>
      </c>
      <c r="X331" s="887">
        <v>-1.4</v>
      </c>
      <c r="Y331" s="887">
        <v>-1.54</v>
      </c>
      <c r="Z331" s="887">
        <v>0.5</v>
      </c>
      <c r="AA331" s="887">
        <v>0</v>
      </c>
      <c r="AB331" s="887">
        <v>0.2</v>
      </c>
      <c r="AC331" s="887">
        <v>-0.2</v>
      </c>
      <c r="AD331" s="214"/>
    </row>
    <row r="332" spans="1:30" ht="15" customHeight="1">
      <c r="A332" s="761"/>
      <c r="B332" s="762"/>
      <c r="C332" s="763">
        <v>2</v>
      </c>
      <c r="D332" s="836">
        <v>0.09</v>
      </c>
      <c r="E332" s="889">
        <v>0.7</v>
      </c>
      <c r="F332" s="889">
        <v>-2</v>
      </c>
      <c r="G332" s="889">
        <v>1.6</v>
      </c>
      <c r="H332" s="889">
        <v>2.8</v>
      </c>
      <c r="I332" s="889">
        <v>0.2</v>
      </c>
      <c r="J332" s="889">
        <v>-0.7</v>
      </c>
      <c r="K332" s="889">
        <v>-1.9</v>
      </c>
      <c r="L332" s="426"/>
      <c r="M332" s="887">
        <v>1.5049999999999999</v>
      </c>
      <c r="N332" s="887">
        <v>-0.1</v>
      </c>
      <c r="O332" s="887">
        <v>1.5</v>
      </c>
      <c r="P332" s="887">
        <v>-0.2</v>
      </c>
      <c r="Q332" s="887">
        <v>1.7</v>
      </c>
      <c r="R332" s="887">
        <v>1.5</v>
      </c>
      <c r="S332" s="887">
        <v>2</v>
      </c>
      <c r="T332" s="887">
        <v>0.2</v>
      </c>
      <c r="U332" s="426"/>
      <c r="V332" s="841">
        <v>0.09</v>
      </c>
      <c r="W332" s="887">
        <v>0.5</v>
      </c>
      <c r="X332" s="887">
        <v>0.1</v>
      </c>
      <c r="Y332" s="887">
        <v>-0.37</v>
      </c>
      <c r="Z332" s="887">
        <v>0.9</v>
      </c>
      <c r="AA332" s="887">
        <v>0.2</v>
      </c>
      <c r="AB332" s="887">
        <v>-0.9</v>
      </c>
      <c r="AC332" s="887">
        <v>-0.2</v>
      </c>
      <c r="AD332" s="214"/>
    </row>
    <row r="333" spans="1:30" ht="15" customHeight="1">
      <c r="A333" s="761"/>
      <c r="B333" s="762"/>
      <c r="C333" s="763">
        <v>3</v>
      </c>
      <c r="D333" s="836">
        <v>0</v>
      </c>
      <c r="E333" s="889">
        <v>-0.7</v>
      </c>
      <c r="F333" s="889">
        <v>0.2</v>
      </c>
      <c r="G333" s="889">
        <v>-1.4</v>
      </c>
      <c r="H333" s="889">
        <v>-1.3</v>
      </c>
      <c r="I333" s="889">
        <v>0</v>
      </c>
      <c r="J333" s="889">
        <v>-0.7</v>
      </c>
      <c r="K333" s="889">
        <v>-1.9</v>
      </c>
      <c r="L333" s="426"/>
      <c r="M333" s="887">
        <v>-2.718</v>
      </c>
      <c r="N333" s="887">
        <v>-0.1</v>
      </c>
      <c r="O333" s="887">
        <v>-2.6</v>
      </c>
      <c r="P333" s="887">
        <v>-0.5</v>
      </c>
      <c r="Q333" s="887">
        <v>-0.2</v>
      </c>
      <c r="R333" s="887">
        <v>0.6</v>
      </c>
      <c r="S333" s="887">
        <v>-0.4</v>
      </c>
      <c r="T333" s="887">
        <v>-0.1</v>
      </c>
      <c r="U333" s="426"/>
      <c r="V333" s="841">
        <v>0.04</v>
      </c>
      <c r="W333" s="887">
        <v>0.1</v>
      </c>
      <c r="X333" s="887">
        <v>-0.3</v>
      </c>
      <c r="Y333" s="887">
        <v>-1.28</v>
      </c>
      <c r="Z333" s="887">
        <v>-2.5</v>
      </c>
      <c r="AA333" s="887">
        <v>-1</v>
      </c>
      <c r="AB333" s="887">
        <v>-0.2</v>
      </c>
      <c r="AC333" s="887">
        <v>0.6</v>
      </c>
      <c r="AD333" s="214"/>
    </row>
    <row r="334" spans="1:30" ht="15" customHeight="1">
      <c r="A334" s="761"/>
      <c r="B334" s="762"/>
      <c r="C334" s="763">
        <v>4</v>
      </c>
      <c r="D334" s="836">
        <v>-0.1</v>
      </c>
      <c r="E334" s="889">
        <v>-2</v>
      </c>
      <c r="F334" s="889">
        <v>-1.2</v>
      </c>
      <c r="G334" s="889">
        <v>0.4</v>
      </c>
      <c r="H334" s="889">
        <v>-4</v>
      </c>
      <c r="I334" s="889">
        <v>-0.6</v>
      </c>
      <c r="J334" s="889">
        <v>1.3</v>
      </c>
      <c r="K334" s="889">
        <v>-3.6</v>
      </c>
      <c r="L334" s="426"/>
      <c r="M334" s="887">
        <v>-3.3719999999999999</v>
      </c>
      <c r="N334" s="887">
        <v>1.6</v>
      </c>
      <c r="O334" s="887">
        <v>-0.2</v>
      </c>
      <c r="P334" s="887">
        <v>0.4</v>
      </c>
      <c r="Q334" s="887">
        <v>-0.9</v>
      </c>
      <c r="R334" s="887">
        <v>-1.3</v>
      </c>
      <c r="S334" s="887">
        <v>-1.1000000000000001</v>
      </c>
      <c r="T334" s="887">
        <v>0</v>
      </c>
      <c r="U334" s="426"/>
      <c r="V334" s="841">
        <v>-7.0000000000000007E-2</v>
      </c>
      <c r="W334" s="887">
        <v>1.4</v>
      </c>
      <c r="X334" s="887">
        <v>-0.5</v>
      </c>
      <c r="Y334" s="887">
        <v>-0.76</v>
      </c>
      <c r="Z334" s="887">
        <v>-0.9</v>
      </c>
      <c r="AA334" s="887">
        <v>0.1</v>
      </c>
      <c r="AB334" s="887">
        <v>-1.1000000000000001</v>
      </c>
      <c r="AC334" s="887">
        <v>0</v>
      </c>
      <c r="AD334" s="214"/>
    </row>
    <row r="335" spans="1:30" ht="15" customHeight="1">
      <c r="A335" s="761"/>
      <c r="B335" s="762"/>
      <c r="C335" s="763">
        <v>5</v>
      </c>
      <c r="D335" s="836">
        <v>-0.18</v>
      </c>
      <c r="E335" s="889">
        <v>0.5</v>
      </c>
      <c r="F335" s="889">
        <v>-0.6</v>
      </c>
      <c r="G335" s="889">
        <v>-2.5</v>
      </c>
      <c r="H335" s="889">
        <v>-3.1</v>
      </c>
      <c r="I335" s="889">
        <v>0.5</v>
      </c>
      <c r="J335" s="889">
        <v>-0.3</v>
      </c>
      <c r="K335" s="889">
        <v>-3</v>
      </c>
      <c r="L335" s="426"/>
      <c r="M335" s="887">
        <v>-4.4130000000000003</v>
      </c>
      <c r="N335" s="887">
        <v>-1.9</v>
      </c>
      <c r="O335" s="887">
        <v>-2.7</v>
      </c>
      <c r="P335" s="887">
        <v>-0.3</v>
      </c>
      <c r="Q335" s="887">
        <v>-2.5</v>
      </c>
      <c r="R335" s="887">
        <v>-1.1000000000000001</v>
      </c>
      <c r="S335" s="887">
        <v>-1.9</v>
      </c>
      <c r="T335" s="887">
        <v>-1.2</v>
      </c>
      <c r="U335" s="426"/>
      <c r="V335" s="841">
        <v>-0.12</v>
      </c>
      <c r="W335" s="887">
        <v>-0.4</v>
      </c>
      <c r="X335" s="887">
        <v>-0.2</v>
      </c>
      <c r="Y335" s="887">
        <v>-1.68</v>
      </c>
      <c r="Z335" s="887">
        <v>0.6</v>
      </c>
      <c r="AA335" s="887">
        <v>-0.4</v>
      </c>
      <c r="AB335" s="887">
        <v>0.4</v>
      </c>
      <c r="AC335" s="887">
        <v>-1.5</v>
      </c>
      <c r="AD335" s="214"/>
    </row>
    <row r="336" spans="1:30" ht="15" customHeight="1">
      <c r="A336" s="761"/>
      <c r="B336" s="762"/>
      <c r="C336" s="763">
        <v>6</v>
      </c>
      <c r="D336" s="836">
        <v>-0.13</v>
      </c>
      <c r="E336" s="889">
        <v>0.3</v>
      </c>
      <c r="F336" s="889">
        <v>-0.2</v>
      </c>
      <c r="G336" s="889">
        <v>-1.1000000000000001</v>
      </c>
      <c r="H336" s="889">
        <v>2.2000000000000002</v>
      </c>
      <c r="I336" s="889">
        <v>-0.3</v>
      </c>
      <c r="J336" s="889">
        <v>-0.6</v>
      </c>
      <c r="K336" s="889">
        <v>-2.6</v>
      </c>
      <c r="L336" s="426"/>
      <c r="M336" s="887">
        <v>0.115</v>
      </c>
      <c r="N336" s="887">
        <v>-1.7</v>
      </c>
      <c r="O336" s="887">
        <v>0.4</v>
      </c>
      <c r="P336" s="887">
        <v>-0.8</v>
      </c>
      <c r="Q336" s="887">
        <v>0.1</v>
      </c>
      <c r="R336" s="887">
        <v>-0.2</v>
      </c>
      <c r="S336" s="887">
        <v>-0.1</v>
      </c>
      <c r="T336" s="887">
        <v>0.2</v>
      </c>
      <c r="U336" s="426"/>
      <c r="V336" s="841">
        <v>-0.04</v>
      </c>
      <c r="W336" s="887">
        <v>-1.1000000000000001</v>
      </c>
      <c r="X336" s="887">
        <v>0</v>
      </c>
      <c r="Y336" s="887">
        <v>-0.09</v>
      </c>
      <c r="Z336" s="887">
        <v>1.7</v>
      </c>
      <c r="AA336" s="887">
        <v>1</v>
      </c>
      <c r="AB336" s="887">
        <v>0.7</v>
      </c>
      <c r="AC336" s="887">
        <v>1.2</v>
      </c>
      <c r="AD336" s="214"/>
    </row>
    <row r="337" spans="1:30" ht="15" customHeight="1">
      <c r="A337" s="761"/>
      <c r="B337" s="762"/>
      <c r="C337" s="763">
        <v>7</v>
      </c>
      <c r="D337" s="836">
        <v>-0.1</v>
      </c>
      <c r="E337" s="889">
        <v>-0.7</v>
      </c>
      <c r="F337" s="889">
        <v>-0.1</v>
      </c>
      <c r="G337" s="889">
        <v>2.7</v>
      </c>
      <c r="H337" s="889">
        <v>1.2</v>
      </c>
      <c r="I337" s="889">
        <v>0.3</v>
      </c>
      <c r="J337" s="889">
        <v>0.9</v>
      </c>
      <c r="K337" s="889">
        <v>0.9</v>
      </c>
      <c r="L337" s="426"/>
      <c r="M337" s="887">
        <v>-0.28299999999999997</v>
      </c>
      <c r="N337" s="887">
        <v>0.6</v>
      </c>
      <c r="O337" s="887">
        <v>-0.2</v>
      </c>
      <c r="P337" s="887">
        <v>-0.3</v>
      </c>
      <c r="Q337" s="887">
        <v>0.3</v>
      </c>
      <c r="R337" s="887">
        <v>0.2</v>
      </c>
      <c r="S337" s="887">
        <v>0.3</v>
      </c>
      <c r="T337" s="887">
        <v>1</v>
      </c>
      <c r="U337" s="426"/>
      <c r="V337" s="841">
        <v>-0.03</v>
      </c>
      <c r="W337" s="887">
        <v>0.8</v>
      </c>
      <c r="X337" s="887">
        <v>-0.8</v>
      </c>
      <c r="Y337" s="887">
        <v>-0.98</v>
      </c>
      <c r="Z337" s="887">
        <v>-0.1</v>
      </c>
      <c r="AA337" s="887">
        <v>0.6</v>
      </c>
      <c r="AB337" s="887">
        <v>-0.4</v>
      </c>
      <c r="AC337" s="887">
        <v>1.6</v>
      </c>
      <c r="AD337" s="214"/>
    </row>
    <row r="338" spans="1:30" ht="15" customHeight="1">
      <c r="A338" s="761"/>
      <c r="B338" s="762"/>
      <c r="C338" s="763">
        <v>8</v>
      </c>
      <c r="D338" s="836">
        <v>-0.09</v>
      </c>
      <c r="E338" s="889">
        <v>0.9</v>
      </c>
      <c r="F338" s="889">
        <v>0.1</v>
      </c>
      <c r="G338" s="889">
        <v>1.3</v>
      </c>
      <c r="H338" s="889">
        <v>0.9</v>
      </c>
      <c r="I338" s="889">
        <v>0</v>
      </c>
      <c r="J338" s="889">
        <v>0.6</v>
      </c>
      <c r="K338" s="889">
        <v>0.9</v>
      </c>
      <c r="L338" s="426"/>
      <c r="M338" s="887">
        <v>-0.26100000000000001</v>
      </c>
      <c r="N338" s="887">
        <v>0</v>
      </c>
      <c r="O338" s="887">
        <v>1</v>
      </c>
      <c r="P338" s="887">
        <v>0.4</v>
      </c>
      <c r="Q338" s="887">
        <v>0.2</v>
      </c>
      <c r="R338" s="887">
        <v>0</v>
      </c>
      <c r="S338" s="887">
        <v>0.9</v>
      </c>
      <c r="T338" s="887">
        <v>-0.2</v>
      </c>
      <c r="U338" s="426"/>
      <c r="V338" s="841">
        <v>0</v>
      </c>
      <c r="W338" s="887">
        <v>-2.1</v>
      </c>
      <c r="X338" s="887">
        <v>0.9</v>
      </c>
      <c r="Y338" s="887">
        <v>-0.86</v>
      </c>
      <c r="Z338" s="887">
        <v>-0.9</v>
      </c>
      <c r="AA338" s="887">
        <v>0.1</v>
      </c>
      <c r="AB338" s="887">
        <v>-0.9</v>
      </c>
      <c r="AC338" s="887">
        <v>-1.3</v>
      </c>
      <c r="AD338" s="214"/>
    </row>
    <row r="339" spans="1:30" ht="15" customHeight="1">
      <c r="A339" s="761"/>
      <c r="B339" s="762"/>
      <c r="C339" s="763">
        <v>9</v>
      </c>
      <c r="D339" s="836">
        <v>-0.09</v>
      </c>
      <c r="E339" s="889">
        <v>1.2</v>
      </c>
      <c r="F339" s="889">
        <v>-1</v>
      </c>
      <c r="G339" s="889">
        <v>0.4</v>
      </c>
      <c r="H339" s="889">
        <v>0.3</v>
      </c>
      <c r="I339" s="889">
        <v>0.5</v>
      </c>
      <c r="J339" s="889">
        <v>-0.3</v>
      </c>
      <c r="K339" s="889">
        <v>1</v>
      </c>
      <c r="L339" s="426"/>
      <c r="M339" s="887">
        <v>1.004</v>
      </c>
      <c r="N339" s="887">
        <v>0.1</v>
      </c>
      <c r="O339" s="887">
        <v>0.6</v>
      </c>
      <c r="P339" s="887">
        <v>-0.1</v>
      </c>
      <c r="Q339" s="887">
        <v>0.1</v>
      </c>
      <c r="R339" s="887">
        <v>0.4</v>
      </c>
      <c r="S339" s="887">
        <v>-1</v>
      </c>
      <c r="T339" s="887">
        <v>-0.1</v>
      </c>
      <c r="U339" s="426"/>
      <c r="V339" s="841">
        <v>0.01</v>
      </c>
      <c r="W339" s="887">
        <v>1.8</v>
      </c>
      <c r="X339" s="887">
        <v>0.6</v>
      </c>
      <c r="Y339" s="887">
        <v>-0.41</v>
      </c>
      <c r="Z339" s="887">
        <v>-1.5</v>
      </c>
      <c r="AA339" s="887">
        <v>0.6</v>
      </c>
      <c r="AB339" s="887">
        <v>0.5</v>
      </c>
      <c r="AC339" s="887">
        <v>0.2</v>
      </c>
      <c r="AD339" s="214"/>
    </row>
    <row r="340" spans="1:30" ht="15" customHeight="1">
      <c r="A340" s="761"/>
      <c r="B340" s="762"/>
      <c r="C340" s="763">
        <v>10</v>
      </c>
      <c r="D340" s="836">
        <v>0</v>
      </c>
      <c r="E340" s="889">
        <v>-0.2</v>
      </c>
      <c r="F340" s="889">
        <v>1.9</v>
      </c>
      <c r="G340" s="889">
        <v>-0.4</v>
      </c>
      <c r="H340" s="889">
        <v>-0.5</v>
      </c>
      <c r="I340" s="889">
        <v>-1.1000000000000001</v>
      </c>
      <c r="J340" s="889">
        <v>0.6</v>
      </c>
      <c r="K340" s="889">
        <v>3.1</v>
      </c>
      <c r="L340" s="426"/>
      <c r="M340" s="887">
        <v>0.57899999999999996</v>
      </c>
      <c r="N340" s="887">
        <v>-0.2</v>
      </c>
      <c r="O340" s="887">
        <v>0.7</v>
      </c>
      <c r="P340" s="887">
        <v>0.5</v>
      </c>
      <c r="Q340" s="887">
        <v>0.8</v>
      </c>
      <c r="R340" s="887">
        <v>0.6</v>
      </c>
      <c r="S340" s="887">
        <v>0.9</v>
      </c>
      <c r="T340" s="887">
        <v>0.6</v>
      </c>
      <c r="U340" s="426"/>
      <c r="V340" s="841">
        <v>0.11</v>
      </c>
      <c r="W340" s="887">
        <v>1</v>
      </c>
      <c r="X340" s="887">
        <v>1.3</v>
      </c>
      <c r="Y340" s="887">
        <v>-1.07</v>
      </c>
      <c r="Z340" s="887">
        <v>1.8</v>
      </c>
      <c r="AA340" s="887">
        <v>-1.5</v>
      </c>
      <c r="AB340" s="887">
        <v>-0.7</v>
      </c>
      <c r="AC340" s="887">
        <v>-0.4</v>
      </c>
      <c r="AD340" s="214"/>
    </row>
    <row r="341" spans="1:30" ht="15" customHeight="1">
      <c r="A341" s="761"/>
      <c r="B341" s="762"/>
      <c r="C341" s="763">
        <v>11</v>
      </c>
      <c r="D341" s="836">
        <v>0.06</v>
      </c>
      <c r="E341" s="889">
        <v>0.1</v>
      </c>
      <c r="F341" s="889">
        <v>-0.7</v>
      </c>
      <c r="G341" s="889">
        <v>-0.6</v>
      </c>
      <c r="H341" s="889">
        <v>-0.7</v>
      </c>
      <c r="I341" s="889">
        <v>0.4</v>
      </c>
      <c r="J341" s="889">
        <v>-1</v>
      </c>
      <c r="K341" s="889">
        <v>2.7</v>
      </c>
      <c r="L341" s="426"/>
      <c r="M341" s="887">
        <v>1.046</v>
      </c>
      <c r="N341" s="887">
        <v>0.1</v>
      </c>
      <c r="O341" s="887">
        <v>0.9</v>
      </c>
      <c r="P341" s="887">
        <v>-0.1</v>
      </c>
      <c r="Q341" s="887">
        <v>0.1</v>
      </c>
      <c r="R341" s="887">
        <v>0.9</v>
      </c>
      <c r="S341" s="887">
        <v>-0.1</v>
      </c>
      <c r="T341" s="887">
        <v>0.2</v>
      </c>
      <c r="U341" s="426"/>
      <c r="V341" s="841">
        <v>0.14000000000000001</v>
      </c>
      <c r="W341" s="887">
        <v>-0.1</v>
      </c>
      <c r="X341" s="887">
        <v>-1.3</v>
      </c>
      <c r="Y341" s="887">
        <v>1.54</v>
      </c>
      <c r="Z341" s="887">
        <v>-1.3</v>
      </c>
      <c r="AA341" s="887">
        <v>1</v>
      </c>
      <c r="AB341" s="887">
        <v>-0.9</v>
      </c>
      <c r="AC341" s="887">
        <v>-0.2</v>
      </c>
      <c r="AD341" s="214"/>
    </row>
    <row r="342" spans="1:30" ht="15" customHeight="1">
      <c r="A342" s="846"/>
      <c r="B342" s="847"/>
      <c r="C342" s="848">
        <v>12</v>
      </c>
      <c r="D342" s="866">
        <v>-0.05</v>
      </c>
      <c r="E342" s="890">
        <v>0.3</v>
      </c>
      <c r="F342" s="890">
        <v>1</v>
      </c>
      <c r="G342" s="890">
        <v>-0.6</v>
      </c>
      <c r="H342" s="890">
        <v>0.9</v>
      </c>
      <c r="I342" s="890">
        <v>-0.2</v>
      </c>
      <c r="J342" s="890">
        <v>-0.7</v>
      </c>
      <c r="K342" s="890">
        <v>0</v>
      </c>
      <c r="L342" s="843"/>
      <c r="M342" s="888">
        <v>0.58799999999999997</v>
      </c>
      <c r="N342" s="888">
        <v>0.8</v>
      </c>
      <c r="O342" s="888">
        <v>0.7</v>
      </c>
      <c r="P342" s="888">
        <v>0.6</v>
      </c>
      <c r="Q342" s="888">
        <v>-0.1</v>
      </c>
      <c r="R342" s="888">
        <v>0.2</v>
      </c>
      <c r="S342" s="888">
        <v>0.6</v>
      </c>
      <c r="T342" s="888">
        <v>-0.8</v>
      </c>
      <c r="U342" s="843"/>
      <c r="V342" s="840">
        <v>0.06</v>
      </c>
      <c r="W342" s="888">
        <v>-1.5</v>
      </c>
      <c r="X342" s="888">
        <v>0.8</v>
      </c>
      <c r="Y342" s="888">
        <v>-0.81</v>
      </c>
      <c r="Z342" s="888">
        <v>-0.7</v>
      </c>
      <c r="AA342" s="888">
        <v>-0.9</v>
      </c>
      <c r="AB342" s="888">
        <v>0</v>
      </c>
      <c r="AC342" s="888">
        <v>0.5</v>
      </c>
      <c r="AD342" s="214"/>
    </row>
    <row r="343" spans="1:30" ht="15" customHeight="1">
      <c r="A343" s="851" t="s">
        <v>682</v>
      </c>
      <c r="B343" s="852">
        <v>2021</v>
      </c>
      <c r="C343" s="853">
        <v>1</v>
      </c>
      <c r="D343" s="837">
        <v>0.13</v>
      </c>
      <c r="E343" s="889">
        <v>0.5</v>
      </c>
      <c r="F343" s="889">
        <v>-1.4</v>
      </c>
      <c r="G343" s="889">
        <v>0.4</v>
      </c>
      <c r="H343" s="889">
        <v>-0.8</v>
      </c>
      <c r="I343" s="889">
        <v>0.9</v>
      </c>
      <c r="J343" s="889">
        <v>1.7</v>
      </c>
      <c r="K343" s="889">
        <v>1.6</v>
      </c>
      <c r="L343" s="859"/>
      <c r="M343" s="887">
        <v>1.137</v>
      </c>
      <c r="N343" s="887">
        <v>-0.9</v>
      </c>
      <c r="O343" s="887">
        <v>0.7</v>
      </c>
      <c r="P343" s="887">
        <v>2</v>
      </c>
      <c r="Q343" s="887">
        <v>2.8</v>
      </c>
      <c r="R343" s="887">
        <v>3.2</v>
      </c>
      <c r="S343" s="887">
        <v>2.9</v>
      </c>
      <c r="T343" s="887">
        <v>0.4</v>
      </c>
      <c r="U343" s="426"/>
      <c r="V343" s="862">
        <v>0.18</v>
      </c>
      <c r="W343" s="887">
        <v>1</v>
      </c>
      <c r="X343" s="887">
        <v>0.2</v>
      </c>
      <c r="Y343" s="887">
        <v>0.56000000000000005</v>
      </c>
      <c r="Z343" s="887">
        <v>-0.5</v>
      </c>
      <c r="AA343" s="887">
        <v>0.4</v>
      </c>
      <c r="AB343" s="887">
        <v>0.5</v>
      </c>
      <c r="AC343" s="887">
        <v>-0.7</v>
      </c>
      <c r="AD343" s="214"/>
    </row>
    <row r="344" spans="1:30" ht="15" customHeight="1">
      <c r="A344" s="761"/>
      <c r="B344" s="762"/>
      <c r="C344" s="763">
        <v>2</v>
      </c>
      <c r="D344" s="836">
        <v>0.18</v>
      </c>
      <c r="E344" s="889">
        <v>-0.3</v>
      </c>
      <c r="F344" s="889">
        <v>-0.4</v>
      </c>
      <c r="G344" s="889">
        <v>-0.4</v>
      </c>
      <c r="H344" s="889">
        <v>0.1</v>
      </c>
      <c r="I344" s="889">
        <v>0.1</v>
      </c>
      <c r="J344" s="889">
        <v>-1</v>
      </c>
      <c r="K344" s="889">
        <v>-2</v>
      </c>
      <c r="L344" s="426"/>
      <c r="M344" s="887">
        <v>1.2070000000000001</v>
      </c>
      <c r="N344" s="887">
        <v>-0.9</v>
      </c>
      <c r="O344" s="887">
        <v>-0.2</v>
      </c>
      <c r="P344" s="887">
        <v>-0.8</v>
      </c>
      <c r="Q344" s="887">
        <v>-0.8</v>
      </c>
      <c r="R344" s="887">
        <v>-0.8</v>
      </c>
      <c r="S344" s="887">
        <v>-0.8</v>
      </c>
      <c r="T344" s="887">
        <v>0.9</v>
      </c>
      <c r="U344" s="426"/>
      <c r="V344" s="841">
        <v>0.2</v>
      </c>
      <c r="W344" s="887">
        <v>-0.2</v>
      </c>
      <c r="X344" s="887">
        <v>-1.5</v>
      </c>
      <c r="Y344" s="887">
        <v>0.12</v>
      </c>
      <c r="Z344" s="887">
        <v>0.2</v>
      </c>
      <c r="AA344" s="887">
        <v>-0.4</v>
      </c>
      <c r="AB344" s="887">
        <v>0.5</v>
      </c>
      <c r="AC344" s="887">
        <v>-0.4</v>
      </c>
      <c r="AD344" s="214"/>
    </row>
    <row r="345" spans="1:30" ht="15" customHeight="1">
      <c r="A345" s="761"/>
      <c r="B345" s="762"/>
      <c r="C345" s="763">
        <v>3</v>
      </c>
      <c r="D345" s="836">
        <v>0.11</v>
      </c>
      <c r="E345" s="889">
        <v>1.5</v>
      </c>
      <c r="F345" s="889">
        <v>-0.6</v>
      </c>
      <c r="G345" s="889">
        <v>0.1</v>
      </c>
      <c r="H345" s="889">
        <v>0.7</v>
      </c>
      <c r="I345" s="889">
        <v>-2.2000000000000002</v>
      </c>
      <c r="J345" s="889">
        <v>-0.3</v>
      </c>
      <c r="K345" s="889">
        <v>3.4</v>
      </c>
      <c r="L345" s="426"/>
      <c r="M345" s="887">
        <v>2.2309999999999999</v>
      </c>
      <c r="N345" s="887">
        <v>0.1</v>
      </c>
      <c r="O345" s="887">
        <v>0.2</v>
      </c>
      <c r="P345" s="887">
        <v>-1.5</v>
      </c>
      <c r="Q345" s="887">
        <v>0.1</v>
      </c>
      <c r="R345" s="887">
        <v>0.2</v>
      </c>
      <c r="S345" s="887">
        <v>0.6</v>
      </c>
      <c r="T345" s="887">
        <v>-0.9</v>
      </c>
      <c r="U345" s="426"/>
      <c r="V345" s="841">
        <v>0.18</v>
      </c>
      <c r="W345" s="887">
        <v>0.8</v>
      </c>
      <c r="X345" s="887">
        <v>0.6</v>
      </c>
      <c r="Y345" s="887">
        <v>1.96</v>
      </c>
      <c r="Z345" s="887">
        <v>1.1000000000000001</v>
      </c>
      <c r="AA345" s="887">
        <v>1</v>
      </c>
      <c r="AB345" s="887">
        <v>0.5</v>
      </c>
      <c r="AC345" s="887">
        <v>0.9</v>
      </c>
      <c r="AD345" s="214"/>
    </row>
    <row r="346" spans="1:30" ht="15" customHeight="1">
      <c r="A346" s="761"/>
      <c r="B346" s="762"/>
      <c r="C346" s="763">
        <v>4</v>
      </c>
      <c r="D346" s="836">
        <v>0.19</v>
      </c>
      <c r="E346" s="889">
        <v>0</v>
      </c>
      <c r="F346" s="889">
        <v>0.1</v>
      </c>
      <c r="G346" s="889">
        <v>0.8</v>
      </c>
      <c r="H346" s="889">
        <v>-0.9</v>
      </c>
      <c r="I346" s="889">
        <v>2.5</v>
      </c>
      <c r="J346" s="889">
        <v>1.4</v>
      </c>
      <c r="K346" s="889">
        <v>0.1</v>
      </c>
      <c r="L346" s="426"/>
      <c r="M346" s="887">
        <v>1.1970000000000001</v>
      </c>
      <c r="N346" s="887">
        <v>1.5</v>
      </c>
      <c r="O346" s="887">
        <v>0</v>
      </c>
      <c r="P346" s="887">
        <v>2.4</v>
      </c>
      <c r="Q346" s="887">
        <v>0.6</v>
      </c>
      <c r="R346" s="887">
        <v>-0.4</v>
      </c>
      <c r="S346" s="887">
        <v>0.7</v>
      </c>
      <c r="T346" s="887">
        <v>0.5</v>
      </c>
      <c r="U346" s="426"/>
      <c r="V346" s="841">
        <v>0.21</v>
      </c>
      <c r="W346" s="887">
        <v>-1.8</v>
      </c>
      <c r="X346" s="887">
        <v>0.4</v>
      </c>
      <c r="Y346" s="887">
        <v>-1.25</v>
      </c>
      <c r="Z346" s="887">
        <v>0.7</v>
      </c>
      <c r="AA346" s="887">
        <v>1.4</v>
      </c>
      <c r="AB346" s="887">
        <v>-1.1000000000000001</v>
      </c>
      <c r="AC346" s="887">
        <v>1.1000000000000001</v>
      </c>
      <c r="AD346" s="214"/>
    </row>
    <row r="347" spans="1:30" ht="15" customHeight="1">
      <c r="A347" s="761"/>
      <c r="B347" s="762"/>
      <c r="C347" s="763">
        <v>5</v>
      </c>
      <c r="D347" s="836">
        <v>0.23</v>
      </c>
      <c r="E347" s="889">
        <v>0.2</v>
      </c>
      <c r="F347" s="889">
        <v>1.1000000000000001</v>
      </c>
      <c r="G347" s="889">
        <v>-1</v>
      </c>
      <c r="H347" s="889">
        <v>-0.4</v>
      </c>
      <c r="I347" s="889">
        <v>-0.2</v>
      </c>
      <c r="J347" s="889">
        <v>-0.4</v>
      </c>
      <c r="K347" s="889">
        <v>0</v>
      </c>
      <c r="L347" s="426"/>
      <c r="M347" s="887">
        <v>1.7809999999999999</v>
      </c>
      <c r="N347" s="887">
        <v>2.1</v>
      </c>
      <c r="O347" s="887">
        <v>0.4</v>
      </c>
      <c r="P347" s="887">
        <v>-0.7</v>
      </c>
      <c r="Q347" s="887">
        <v>-1.4</v>
      </c>
      <c r="R347" s="887">
        <v>-0.4</v>
      </c>
      <c r="S347" s="887">
        <v>-0.9</v>
      </c>
      <c r="T347" s="887">
        <v>0.4</v>
      </c>
      <c r="U347" s="426"/>
      <c r="V347" s="841">
        <v>0.26</v>
      </c>
      <c r="W347" s="887">
        <v>-0.7</v>
      </c>
      <c r="X347" s="887">
        <v>-0.4</v>
      </c>
      <c r="Y347" s="887">
        <v>-0.76</v>
      </c>
      <c r="Z347" s="887">
        <v>-0.4</v>
      </c>
      <c r="AA347" s="887">
        <v>-1.2</v>
      </c>
      <c r="AB347" s="887">
        <v>0.5</v>
      </c>
      <c r="AC347" s="887">
        <v>0.6</v>
      </c>
      <c r="AD347" s="214"/>
    </row>
    <row r="348" spans="1:30" ht="15" customHeight="1">
      <c r="A348" s="761"/>
      <c r="B348" s="762"/>
      <c r="C348" s="763">
        <v>6</v>
      </c>
      <c r="D348" s="836">
        <v>0.28000000000000003</v>
      </c>
      <c r="E348" s="889">
        <v>0.9</v>
      </c>
      <c r="F348" s="889">
        <v>-0.9</v>
      </c>
      <c r="G348" s="889">
        <v>-1.6</v>
      </c>
      <c r="H348" s="889">
        <v>-2.8</v>
      </c>
      <c r="I348" s="889">
        <v>0.7</v>
      </c>
      <c r="J348" s="889">
        <v>-0.4</v>
      </c>
      <c r="K348" s="889">
        <v>0</v>
      </c>
      <c r="L348" s="426"/>
      <c r="M348" s="887">
        <v>1.258</v>
      </c>
      <c r="N348" s="887">
        <v>-0.7</v>
      </c>
      <c r="O348" s="887">
        <v>0.2</v>
      </c>
      <c r="P348" s="887">
        <v>1.7</v>
      </c>
      <c r="Q348" s="887">
        <v>2.4</v>
      </c>
      <c r="R348" s="887">
        <v>2.5</v>
      </c>
      <c r="S348" s="887">
        <v>2.1</v>
      </c>
      <c r="T348" s="887">
        <v>-0.7</v>
      </c>
      <c r="U348" s="426"/>
      <c r="V348" s="841">
        <v>0.31</v>
      </c>
      <c r="W348" s="887">
        <v>0</v>
      </c>
      <c r="X348" s="887">
        <v>0.4</v>
      </c>
      <c r="Y348" s="887">
        <v>0.14000000000000001</v>
      </c>
      <c r="Z348" s="887">
        <v>-1.6</v>
      </c>
      <c r="AA348" s="887">
        <v>-0.6</v>
      </c>
      <c r="AB348" s="887">
        <v>1</v>
      </c>
      <c r="AC348" s="887">
        <v>-1.8</v>
      </c>
      <c r="AD348" s="214"/>
    </row>
    <row r="349" spans="1:30" ht="15" customHeight="1">
      <c r="A349" s="761"/>
      <c r="B349" s="762"/>
      <c r="C349" s="763">
        <v>7</v>
      </c>
      <c r="D349" s="836">
        <v>0.33</v>
      </c>
      <c r="E349" s="889">
        <v>0.3</v>
      </c>
      <c r="F349" s="889">
        <v>0.4</v>
      </c>
      <c r="G349" s="889">
        <v>3.1</v>
      </c>
      <c r="H349" s="889">
        <v>1.9</v>
      </c>
      <c r="I349" s="889">
        <v>-0.2</v>
      </c>
      <c r="J349" s="889">
        <v>-0.3</v>
      </c>
      <c r="K349" s="889">
        <v>-0.7</v>
      </c>
      <c r="L349" s="426"/>
      <c r="M349" s="887">
        <v>1.9079999999999999</v>
      </c>
      <c r="N349" s="887">
        <v>1.2</v>
      </c>
      <c r="O349" s="887">
        <v>0.6</v>
      </c>
      <c r="P349" s="887">
        <v>-1.8</v>
      </c>
      <c r="Q349" s="887">
        <v>-0.7</v>
      </c>
      <c r="R349" s="887">
        <v>-0.2</v>
      </c>
      <c r="S349" s="887">
        <v>-0.4</v>
      </c>
      <c r="T349" s="887">
        <v>0.7</v>
      </c>
      <c r="U349" s="426"/>
      <c r="V349" s="841">
        <v>0.44</v>
      </c>
      <c r="W349" s="887">
        <v>-0.9</v>
      </c>
      <c r="X349" s="887">
        <v>0.6</v>
      </c>
      <c r="Y349" s="887">
        <v>1.1100000000000001</v>
      </c>
      <c r="Z349" s="887">
        <v>0.7</v>
      </c>
      <c r="AA349" s="887">
        <v>-1</v>
      </c>
      <c r="AB349" s="887">
        <v>0.7</v>
      </c>
      <c r="AC349" s="887">
        <v>0.1</v>
      </c>
      <c r="AD349" s="214"/>
    </row>
    <row r="350" spans="1:30" ht="15" customHeight="1">
      <c r="A350" s="761"/>
      <c r="B350" s="762"/>
      <c r="C350" s="763">
        <v>8</v>
      </c>
      <c r="D350" s="836">
        <v>0.38</v>
      </c>
      <c r="E350" s="889">
        <v>-0.4</v>
      </c>
      <c r="F350" s="889">
        <v>1.2</v>
      </c>
      <c r="G350" s="889">
        <v>-1.5</v>
      </c>
      <c r="H350" s="889">
        <v>0.7</v>
      </c>
      <c r="I350" s="889">
        <v>-0.3</v>
      </c>
      <c r="J350" s="889">
        <v>0</v>
      </c>
      <c r="K350" s="889">
        <v>-0.7</v>
      </c>
      <c r="L350" s="426"/>
      <c r="M350" s="887">
        <v>0.66800000000000004</v>
      </c>
      <c r="N350" s="887">
        <v>-0.9</v>
      </c>
      <c r="O350" s="887">
        <v>0.4</v>
      </c>
      <c r="P350" s="887">
        <v>0.4</v>
      </c>
      <c r="Q350" s="887">
        <v>2.2999999999999998</v>
      </c>
      <c r="R350" s="887">
        <v>1.7</v>
      </c>
      <c r="S350" s="887">
        <v>1.6</v>
      </c>
      <c r="T350" s="887">
        <v>1</v>
      </c>
      <c r="U350" s="426"/>
      <c r="V350" s="841">
        <v>0.49</v>
      </c>
      <c r="W350" s="887">
        <v>0.2</v>
      </c>
      <c r="X350" s="887">
        <v>0.4</v>
      </c>
      <c r="Y350" s="887">
        <v>-0.05</v>
      </c>
      <c r="Z350" s="887">
        <v>-0.8</v>
      </c>
      <c r="AA350" s="887">
        <v>1</v>
      </c>
      <c r="AB350" s="887">
        <v>0.1</v>
      </c>
      <c r="AC350" s="887">
        <v>0</v>
      </c>
      <c r="AD350" s="214"/>
    </row>
    <row r="351" spans="1:30" ht="15" customHeight="1">
      <c r="A351" s="761"/>
      <c r="B351" s="762"/>
      <c r="C351" s="763">
        <v>9</v>
      </c>
      <c r="D351" s="836">
        <v>0.23</v>
      </c>
      <c r="E351" s="889">
        <v>-0.2</v>
      </c>
      <c r="F351" s="889">
        <v>0</v>
      </c>
      <c r="G351" s="889">
        <v>-3</v>
      </c>
      <c r="H351" s="889">
        <v>-3.1</v>
      </c>
      <c r="I351" s="889">
        <v>0.4</v>
      </c>
      <c r="J351" s="889">
        <v>0.7</v>
      </c>
      <c r="K351" s="889">
        <v>-0.7</v>
      </c>
      <c r="L351" s="426"/>
      <c r="M351" s="887">
        <v>-0.60099999999999998</v>
      </c>
      <c r="N351" s="887">
        <v>0.7</v>
      </c>
      <c r="O351" s="887">
        <v>-3.3</v>
      </c>
      <c r="P351" s="887">
        <v>-0.6</v>
      </c>
      <c r="Q351" s="887">
        <v>-1.2</v>
      </c>
      <c r="R351" s="887">
        <v>1.3</v>
      </c>
      <c r="S351" s="887">
        <v>-0.3</v>
      </c>
      <c r="T351" s="887">
        <v>0.3</v>
      </c>
      <c r="U351" s="426"/>
      <c r="V351" s="841">
        <v>0.33</v>
      </c>
      <c r="W351" s="887">
        <v>0.3</v>
      </c>
      <c r="X351" s="887">
        <v>-1.6</v>
      </c>
      <c r="Y351" s="887">
        <v>0.14000000000000001</v>
      </c>
      <c r="Z351" s="887">
        <v>0.1</v>
      </c>
      <c r="AA351" s="887">
        <v>-0.6</v>
      </c>
      <c r="AB351" s="887">
        <v>0</v>
      </c>
      <c r="AC351" s="887">
        <v>0.2</v>
      </c>
      <c r="AD351" s="214"/>
    </row>
    <row r="352" spans="1:30" ht="15" customHeight="1">
      <c r="A352" s="761"/>
      <c r="B352" s="762"/>
      <c r="C352" s="763">
        <v>10</v>
      </c>
      <c r="D352" s="836">
        <v>0.37</v>
      </c>
      <c r="E352" s="889">
        <v>0.5</v>
      </c>
      <c r="F352" s="889">
        <v>0.1</v>
      </c>
      <c r="G352" s="889">
        <v>0</v>
      </c>
      <c r="H352" s="889">
        <v>0.7</v>
      </c>
      <c r="I352" s="889">
        <v>-0.3</v>
      </c>
      <c r="J352" s="889">
        <v>0</v>
      </c>
      <c r="K352" s="889">
        <v>0.3</v>
      </c>
      <c r="L352" s="426"/>
      <c r="M352" s="887">
        <v>6.9000000000000006E-2</v>
      </c>
      <c r="N352" s="887">
        <v>-0.4</v>
      </c>
      <c r="O352" s="887">
        <v>1.2</v>
      </c>
      <c r="P352" s="887">
        <v>0.5</v>
      </c>
      <c r="Q352" s="887">
        <v>-0.9</v>
      </c>
      <c r="R352" s="887">
        <v>-1.4</v>
      </c>
      <c r="S352" s="887">
        <v>-0.4</v>
      </c>
      <c r="T352" s="887">
        <v>-0.2</v>
      </c>
      <c r="U352" s="426"/>
      <c r="V352" s="841">
        <v>0.47</v>
      </c>
      <c r="W352" s="887">
        <v>-0.1</v>
      </c>
      <c r="X352" s="887">
        <v>0.3</v>
      </c>
      <c r="Y352" s="887">
        <v>0.5</v>
      </c>
      <c r="Z352" s="887">
        <v>0.7</v>
      </c>
      <c r="AA352" s="887">
        <v>0.3</v>
      </c>
      <c r="AB352" s="887">
        <v>-0.4</v>
      </c>
      <c r="AC352" s="887">
        <v>0.6</v>
      </c>
      <c r="AD352" s="214"/>
    </row>
    <row r="353" spans="1:30" ht="15" customHeight="1">
      <c r="A353" s="761"/>
      <c r="B353" s="762"/>
      <c r="C353" s="763">
        <v>11</v>
      </c>
      <c r="D353" s="836">
        <v>0.28000000000000003</v>
      </c>
      <c r="E353" s="889">
        <v>-0.4</v>
      </c>
      <c r="F353" s="889">
        <v>0</v>
      </c>
      <c r="G353" s="889">
        <v>2.4</v>
      </c>
      <c r="H353" s="889">
        <v>3.4</v>
      </c>
      <c r="I353" s="889">
        <v>-1.1000000000000001</v>
      </c>
      <c r="J353" s="889">
        <v>0.3</v>
      </c>
      <c r="K353" s="889">
        <v>0.4</v>
      </c>
      <c r="L353" s="426"/>
      <c r="M353" s="887">
        <v>4.8000000000000001E-2</v>
      </c>
      <c r="N353" s="887">
        <v>0.6</v>
      </c>
      <c r="O353" s="887">
        <v>0.5</v>
      </c>
      <c r="P353" s="887">
        <v>1.3</v>
      </c>
      <c r="Q353" s="887">
        <v>0.4</v>
      </c>
      <c r="R353" s="887">
        <v>-0.1</v>
      </c>
      <c r="S353" s="887">
        <v>0</v>
      </c>
      <c r="T353" s="887">
        <v>-0.6</v>
      </c>
      <c r="U353" s="426"/>
      <c r="V353" s="841">
        <v>0.32</v>
      </c>
      <c r="W353" s="887">
        <v>0.9</v>
      </c>
      <c r="X353" s="887">
        <v>-0.4</v>
      </c>
      <c r="Y353" s="887">
        <v>-0.95</v>
      </c>
      <c r="Z353" s="887">
        <v>-0.2</v>
      </c>
      <c r="AA353" s="887">
        <v>0</v>
      </c>
      <c r="AB353" s="887">
        <v>0.5</v>
      </c>
      <c r="AC353" s="887">
        <v>-0.4</v>
      </c>
      <c r="AD353" s="214"/>
    </row>
    <row r="354" spans="1:30" ht="15" customHeight="1">
      <c r="A354" s="846"/>
      <c r="B354" s="847"/>
      <c r="C354" s="848">
        <v>12</v>
      </c>
      <c r="D354" s="866">
        <v>0.35</v>
      </c>
      <c r="E354" s="890">
        <v>1.3</v>
      </c>
      <c r="F354" s="890">
        <v>0.3</v>
      </c>
      <c r="G354" s="890">
        <v>3.3</v>
      </c>
      <c r="H354" s="890">
        <v>1.6</v>
      </c>
      <c r="I354" s="890">
        <v>-0.4</v>
      </c>
      <c r="J354" s="890">
        <v>-2.5</v>
      </c>
      <c r="K354" s="890">
        <v>0.4</v>
      </c>
      <c r="L354" s="843"/>
      <c r="M354" s="888">
        <v>2.6880000000000002</v>
      </c>
      <c r="N354" s="888">
        <v>-0.1</v>
      </c>
      <c r="O354" s="888">
        <v>0.3</v>
      </c>
      <c r="P354" s="888">
        <v>0.3</v>
      </c>
      <c r="Q354" s="888">
        <v>1.4</v>
      </c>
      <c r="R354" s="888">
        <v>0.3</v>
      </c>
      <c r="S354" s="888">
        <v>0.7</v>
      </c>
      <c r="T354" s="888">
        <v>1.3</v>
      </c>
      <c r="U354" s="843"/>
      <c r="V354" s="840">
        <v>0.4</v>
      </c>
      <c r="W354" s="888">
        <v>0.3</v>
      </c>
      <c r="X354" s="888">
        <v>0</v>
      </c>
      <c r="Y354" s="888">
        <v>0.78</v>
      </c>
      <c r="Z354" s="888">
        <v>0.2</v>
      </c>
      <c r="AA354" s="888">
        <v>0.7</v>
      </c>
      <c r="AB354" s="888">
        <v>-0.6</v>
      </c>
      <c r="AC354" s="888">
        <v>0.6</v>
      </c>
      <c r="AD354" s="214"/>
    </row>
    <row r="355" spans="1:30" ht="15" customHeight="1">
      <c r="A355" s="851" t="s">
        <v>688</v>
      </c>
      <c r="B355" s="852">
        <v>2022</v>
      </c>
      <c r="C355" s="853">
        <v>1</v>
      </c>
      <c r="D355" s="837">
        <v>0.28999999999999998</v>
      </c>
      <c r="E355" s="889">
        <v>0</v>
      </c>
      <c r="F355" s="889">
        <v>-0.9</v>
      </c>
      <c r="G355" s="889">
        <v>-3.9</v>
      </c>
      <c r="H355" s="889">
        <v>-2.5</v>
      </c>
      <c r="I355" s="889">
        <v>2.6</v>
      </c>
      <c r="J355" s="889">
        <v>1.4</v>
      </c>
      <c r="K355" s="889">
        <v>-1.6</v>
      </c>
      <c r="L355" s="859"/>
      <c r="M355" s="887">
        <v>2.786</v>
      </c>
      <c r="N355" s="887">
        <v>1.4</v>
      </c>
      <c r="O355" s="887">
        <v>2.8</v>
      </c>
      <c r="P355" s="887">
        <v>-1.7</v>
      </c>
      <c r="Q355" s="887">
        <v>-0.8</v>
      </c>
      <c r="R355" s="887">
        <v>1.7</v>
      </c>
      <c r="S355" s="887">
        <v>-0.9</v>
      </c>
      <c r="T355" s="887">
        <v>0.6</v>
      </c>
      <c r="U355" s="426"/>
      <c r="V355" s="862">
        <v>0.36</v>
      </c>
      <c r="W355" s="887">
        <v>2.2000000000000002</v>
      </c>
      <c r="X355" s="887">
        <v>-0.3</v>
      </c>
      <c r="Y355" s="887">
        <v>-0.69</v>
      </c>
      <c r="Z355" s="887">
        <v>0.4</v>
      </c>
      <c r="AA355" s="887">
        <v>-0.2</v>
      </c>
      <c r="AB355" s="887">
        <v>-0.7</v>
      </c>
      <c r="AC355" s="887">
        <v>-0.3</v>
      </c>
      <c r="AD355" s="214"/>
    </row>
    <row r="356" spans="1:30" ht="15" customHeight="1">
      <c r="A356" s="761"/>
      <c r="B356" s="762"/>
      <c r="C356" s="763">
        <v>2</v>
      </c>
      <c r="D356" s="836">
        <v>0.35</v>
      </c>
      <c r="E356" s="889">
        <v>-0.3</v>
      </c>
      <c r="F356" s="889">
        <v>0.6</v>
      </c>
      <c r="G356" s="889">
        <v>-0.2</v>
      </c>
      <c r="H356" s="889">
        <v>0.3</v>
      </c>
      <c r="I356" s="889">
        <v>-2.9</v>
      </c>
      <c r="J356" s="889">
        <v>-0.7</v>
      </c>
      <c r="K356" s="889">
        <v>-1.5</v>
      </c>
      <c r="L356" s="426"/>
      <c r="M356" s="887">
        <v>2.1230000000000002</v>
      </c>
      <c r="N356" s="887">
        <v>0.7</v>
      </c>
      <c r="O356" s="887">
        <v>-1.1000000000000001</v>
      </c>
      <c r="P356" s="887">
        <v>-1</v>
      </c>
      <c r="Q356" s="887">
        <v>-0.8</v>
      </c>
      <c r="R356" s="887">
        <v>-1.9</v>
      </c>
      <c r="S356" s="887">
        <v>0.4</v>
      </c>
      <c r="T356" s="887">
        <v>1</v>
      </c>
      <c r="U356" s="426"/>
      <c r="V356" s="841">
        <v>0.38</v>
      </c>
      <c r="W356" s="887">
        <v>-2.2000000000000002</v>
      </c>
      <c r="X356" s="887">
        <v>-0.8</v>
      </c>
      <c r="Y356" s="887">
        <v>0.35</v>
      </c>
      <c r="Z356" s="887">
        <v>-0.7</v>
      </c>
      <c r="AA356" s="887">
        <v>-0.1</v>
      </c>
      <c r="AB356" s="887">
        <v>0.8</v>
      </c>
      <c r="AC356" s="887">
        <v>0.4</v>
      </c>
      <c r="AD356" s="214"/>
    </row>
    <row r="357" spans="1:30" ht="15" customHeight="1">
      <c r="A357" s="761"/>
      <c r="B357" s="762"/>
      <c r="C357" s="763">
        <v>3</v>
      </c>
      <c r="D357" s="836">
        <v>0.4</v>
      </c>
      <c r="E357" s="889">
        <v>-0.9</v>
      </c>
      <c r="F357" s="889">
        <v>0.1</v>
      </c>
      <c r="G357" s="889">
        <v>0.5</v>
      </c>
      <c r="H357" s="889">
        <v>0.4</v>
      </c>
      <c r="I357" s="889">
        <v>1.3</v>
      </c>
      <c r="J357" s="889">
        <v>0.4</v>
      </c>
      <c r="K357" s="889">
        <v>-1.5</v>
      </c>
      <c r="L357" s="426"/>
      <c r="M357" s="887">
        <v>-0.67200000000000004</v>
      </c>
      <c r="N357" s="887">
        <v>-0.2</v>
      </c>
      <c r="O357" s="887">
        <v>-0.5</v>
      </c>
      <c r="P357" s="887">
        <v>1.7</v>
      </c>
      <c r="Q357" s="887">
        <v>0.4</v>
      </c>
      <c r="R357" s="887">
        <v>-1.4</v>
      </c>
      <c r="S357" s="887">
        <v>0.3</v>
      </c>
      <c r="T357" s="887">
        <v>0.7</v>
      </c>
      <c r="U357" s="426"/>
      <c r="V357" s="841">
        <v>0.43</v>
      </c>
      <c r="W357" s="887">
        <v>2.2000000000000002</v>
      </c>
      <c r="X357" s="887">
        <v>1.2</v>
      </c>
      <c r="Y357" s="887">
        <v>1.31</v>
      </c>
      <c r="Z357" s="887">
        <v>0.5</v>
      </c>
      <c r="AA357" s="887">
        <v>-0.4</v>
      </c>
      <c r="AB357" s="887">
        <v>1.1000000000000001</v>
      </c>
      <c r="AC357" s="887">
        <v>-0.3</v>
      </c>
      <c r="AD357" s="214"/>
    </row>
    <row r="358" spans="1:30" ht="15" customHeight="1">
      <c r="A358" s="761"/>
      <c r="B358" s="762"/>
      <c r="C358" s="763">
        <v>4</v>
      </c>
      <c r="D358" s="836">
        <v>0.25</v>
      </c>
      <c r="E358" s="889">
        <v>1.5</v>
      </c>
      <c r="F358" s="889">
        <v>0.8</v>
      </c>
      <c r="G358" s="889">
        <v>0</v>
      </c>
      <c r="H358" s="889">
        <v>0.5</v>
      </c>
      <c r="I358" s="889">
        <v>0.7</v>
      </c>
      <c r="J358" s="889">
        <v>0</v>
      </c>
      <c r="K358" s="889">
        <v>1.7</v>
      </c>
      <c r="L358" s="426"/>
      <c r="M358" s="887">
        <v>-1.319</v>
      </c>
      <c r="N358" s="887">
        <v>0</v>
      </c>
      <c r="O358" s="887">
        <v>0</v>
      </c>
      <c r="P358" s="887">
        <v>-2.2999999999999998</v>
      </c>
      <c r="Q358" s="887">
        <v>0.8</v>
      </c>
      <c r="R358" s="887">
        <v>2.2000000000000002</v>
      </c>
      <c r="S358" s="887">
        <v>0.8</v>
      </c>
      <c r="T358" s="887">
        <v>-2.5</v>
      </c>
      <c r="U358" s="426"/>
      <c r="V358" s="841">
        <v>0.35</v>
      </c>
      <c r="W358" s="887">
        <v>-1.4</v>
      </c>
      <c r="X358" s="887">
        <v>0.6</v>
      </c>
      <c r="Y358" s="887">
        <v>0.45</v>
      </c>
      <c r="Z358" s="887">
        <v>0.2</v>
      </c>
      <c r="AA358" s="887">
        <v>-1.4</v>
      </c>
      <c r="AB358" s="887">
        <v>2.1</v>
      </c>
      <c r="AC358" s="887">
        <v>-0.7</v>
      </c>
      <c r="AD358" s="214"/>
    </row>
    <row r="359" spans="1:30" ht="15" customHeight="1">
      <c r="A359" s="761"/>
      <c r="B359" s="762"/>
      <c r="C359" s="763">
        <v>5</v>
      </c>
      <c r="D359" s="836">
        <v>0.38</v>
      </c>
      <c r="E359" s="889">
        <v>0.4</v>
      </c>
      <c r="F359" s="889">
        <v>-0.2</v>
      </c>
      <c r="G359" s="889">
        <v>2.4</v>
      </c>
      <c r="H359" s="889">
        <v>-0.8</v>
      </c>
      <c r="I359" s="889">
        <v>-0.5</v>
      </c>
      <c r="J359" s="889">
        <v>0.4</v>
      </c>
      <c r="K359" s="889">
        <v>1.8</v>
      </c>
      <c r="L359" s="426"/>
      <c r="M359" s="887">
        <v>-0.60399999999999998</v>
      </c>
      <c r="N359" s="887">
        <v>0.6</v>
      </c>
      <c r="O359" s="887">
        <v>-0.7</v>
      </c>
      <c r="P359" s="887">
        <v>1.7</v>
      </c>
      <c r="Q359" s="887">
        <v>0.6</v>
      </c>
      <c r="R359" s="887">
        <v>0.5</v>
      </c>
      <c r="S359" s="887">
        <v>0.4</v>
      </c>
      <c r="T359" s="887">
        <v>2.5</v>
      </c>
      <c r="U359" s="426"/>
      <c r="V359" s="841">
        <v>0.49</v>
      </c>
      <c r="W359" s="887">
        <v>3.7</v>
      </c>
      <c r="X359" s="887">
        <v>1.1000000000000001</v>
      </c>
      <c r="Y359" s="887">
        <v>-0.7</v>
      </c>
      <c r="Z359" s="887">
        <v>0.7</v>
      </c>
      <c r="AA359" s="887">
        <v>3.4</v>
      </c>
      <c r="AB359" s="887">
        <v>0.8</v>
      </c>
      <c r="AC359" s="887">
        <v>2.7</v>
      </c>
      <c r="AD359" s="214"/>
    </row>
    <row r="360" spans="1:30" ht="15" customHeight="1">
      <c r="A360" s="761"/>
      <c r="B360" s="762"/>
      <c r="C360" s="763">
        <v>6</v>
      </c>
      <c r="D360" s="836">
        <v>0.38</v>
      </c>
      <c r="E360" s="889">
        <v>-1.1000000000000001</v>
      </c>
      <c r="F360" s="889">
        <v>1.2</v>
      </c>
      <c r="G360" s="889">
        <v>-1.1000000000000001</v>
      </c>
      <c r="H360" s="889">
        <v>0.8</v>
      </c>
      <c r="I360" s="889">
        <v>0.2</v>
      </c>
      <c r="J360" s="889">
        <v>0</v>
      </c>
      <c r="K360" s="889">
        <v>1.8</v>
      </c>
      <c r="L360" s="426"/>
      <c r="M360" s="887">
        <v>1.5049999999999999</v>
      </c>
      <c r="N360" s="887">
        <v>-1.8</v>
      </c>
      <c r="O360" s="887">
        <v>-0.2</v>
      </c>
      <c r="P360" s="887">
        <v>1</v>
      </c>
      <c r="Q360" s="887">
        <v>0</v>
      </c>
      <c r="R360" s="887">
        <v>-0.8</v>
      </c>
      <c r="S360" s="887">
        <v>-0.1</v>
      </c>
      <c r="T360" s="887">
        <v>-0.1</v>
      </c>
      <c r="U360" s="426"/>
      <c r="V360" s="841">
        <v>0.48</v>
      </c>
      <c r="W360" s="887">
        <v>-0.4</v>
      </c>
      <c r="X360" s="887">
        <v>-0.1</v>
      </c>
      <c r="Y360" s="887">
        <v>7.0000000000000007E-2</v>
      </c>
      <c r="Z360" s="887">
        <v>-0.9</v>
      </c>
      <c r="AA360" s="887">
        <v>-2.2999999999999998</v>
      </c>
      <c r="AB360" s="887">
        <v>-0.9</v>
      </c>
      <c r="AC360" s="887">
        <v>-3.7</v>
      </c>
      <c r="AD360" s="214"/>
    </row>
    <row r="361" spans="1:30" ht="15" customHeight="1">
      <c r="A361" s="761"/>
      <c r="B361" s="762"/>
      <c r="C361" s="763">
        <v>7</v>
      </c>
      <c r="D361" s="836">
        <v>0.46</v>
      </c>
      <c r="E361" s="889">
        <v>0.8</v>
      </c>
      <c r="F361" s="889">
        <v>-2.1</v>
      </c>
      <c r="G361" s="889">
        <v>1.2</v>
      </c>
      <c r="H361" s="889">
        <v>2.4</v>
      </c>
      <c r="I361" s="889">
        <v>-1</v>
      </c>
      <c r="J361" s="889">
        <v>-0.4</v>
      </c>
      <c r="K361" s="889">
        <v>0.3</v>
      </c>
      <c r="L361" s="426"/>
      <c r="M361" s="887">
        <v>-0.625</v>
      </c>
      <c r="N361" s="887">
        <v>0.5</v>
      </c>
      <c r="O361" s="887">
        <v>0.8</v>
      </c>
      <c r="P361" s="887">
        <v>2.6</v>
      </c>
      <c r="Q361" s="887">
        <v>1.1000000000000001</v>
      </c>
      <c r="R361" s="887">
        <v>0.6</v>
      </c>
      <c r="S361" s="887">
        <v>0.5</v>
      </c>
      <c r="T361" s="887">
        <v>1.1000000000000001</v>
      </c>
      <c r="U361" s="426"/>
      <c r="V361" s="841">
        <v>0.52</v>
      </c>
      <c r="W361" s="887">
        <v>0.7</v>
      </c>
      <c r="X361" s="887">
        <v>0.5</v>
      </c>
      <c r="Y361" s="887">
        <v>0.38</v>
      </c>
      <c r="Z361" s="887">
        <v>1.6</v>
      </c>
      <c r="AA361" s="887">
        <v>1.9</v>
      </c>
      <c r="AB361" s="887">
        <v>0</v>
      </c>
      <c r="AC361" s="887">
        <v>1.2</v>
      </c>
      <c r="AD361" s="214"/>
    </row>
    <row r="362" spans="1:30" ht="15" customHeight="1">
      <c r="A362" s="761"/>
      <c r="B362" s="762"/>
      <c r="C362" s="763">
        <v>8</v>
      </c>
      <c r="D362" s="836">
        <v>0.47</v>
      </c>
      <c r="E362" s="889">
        <v>-0.5</v>
      </c>
      <c r="F362" s="889">
        <v>0.6</v>
      </c>
      <c r="G362" s="889">
        <v>0</v>
      </c>
      <c r="H362" s="889">
        <v>-2.7</v>
      </c>
      <c r="I362" s="889">
        <v>-0.5</v>
      </c>
      <c r="J362" s="889">
        <v>0.3</v>
      </c>
      <c r="K362" s="889">
        <v>0.2</v>
      </c>
      <c r="L362" s="426"/>
      <c r="M362" s="887">
        <v>-0.63300000000000001</v>
      </c>
      <c r="N362" s="887">
        <v>-1</v>
      </c>
      <c r="O362" s="887">
        <v>-0.5</v>
      </c>
      <c r="P362" s="887">
        <v>-1.7</v>
      </c>
      <c r="Q362" s="887">
        <v>0.2</v>
      </c>
      <c r="R362" s="887">
        <v>0.5</v>
      </c>
      <c r="S362" s="887">
        <v>0</v>
      </c>
      <c r="T362" s="887">
        <v>0.2</v>
      </c>
      <c r="U362" s="426"/>
      <c r="V362" s="841">
        <v>0.61</v>
      </c>
      <c r="W362" s="887">
        <v>-0.6</v>
      </c>
      <c r="X362" s="887">
        <v>0.6</v>
      </c>
      <c r="Y362" s="887">
        <v>0.18</v>
      </c>
      <c r="Z362" s="887">
        <v>-0.6</v>
      </c>
      <c r="AA362" s="887">
        <v>-0.9</v>
      </c>
      <c r="AB362" s="887">
        <v>0</v>
      </c>
      <c r="AC362" s="887">
        <v>0.6</v>
      </c>
      <c r="AD362" s="214"/>
    </row>
    <row r="363" spans="1:30" ht="15" customHeight="1">
      <c r="A363" s="761"/>
      <c r="B363" s="762"/>
      <c r="C363" s="763">
        <v>9</v>
      </c>
      <c r="D363" s="836">
        <v>0.54</v>
      </c>
      <c r="E363" s="889">
        <v>0.3</v>
      </c>
      <c r="F363" s="889">
        <v>-0.7</v>
      </c>
      <c r="G363" s="889">
        <v>0.2</v>
      </c>
      <c r="H363" s="889">
        <v>0.9</v>
      </c>
      <c r="I363" s="889">
        <v>1</v>
      </c>
      <c r="J363" s="889">
        <v>-1.5</v>
      </c>
      <c r="K363" s="889">
        <v>0.2</v>
      </c>
      <c r="L363" s="426"/>
      <c r="M363" s="887">
        <v>2.2770000000000001</v>
      </c>
      <c r="N363" s="887">
        <v>1</v>
      </c>
      <c r="O363" s="887">
        <v>-0.2</v>
      </c>
      <c r="P363" s="887">
        <v>2.8</v>
      </c>
      <c r="Q363" s="887">
        <v>-0.2</v>
      </c>
      <c r="R363" s="887">
        <v>-1.5</v>
      </c>
      <c r="S363" s="887">
        <v>0.5</v>
      </c>
      <c r="T363" s="887">
        <v>-0.1</v>
      </c>
      <c r="U363" s="426"/>
      <c r="V363" s="841">
        <v>0.6</v>
      </c>
      <c r="W363" s="887">
        <v>-1.6</v>
      </c>
      <c r="X363" s="887">
        <v>-2</v>
      </c>
      <c r="Y363" s="887">
        <v>-1.1000000000000001</v>
      </c>
      <c r="Z363" s="887">
        <v>0.9</v>
      </c>
      <c r="AA363" s="887">
        <v>-0.8</v>
      </c>
      <c r="AB363" s="887">
        <v>0.6</v>
      </c>
      <c r="AC363" s="887">
        <v>0.9</v>
      </c>
      <c r="AD363" s="214"/>
    </row>
    <row r="364" spans="1:30" ht="15" customHeight="1">
      <c r="A364" s="761"/>
      <c r="B364" s="762"/>
      <c r="C364" s="763">
        <v>10</v>
      </c>
      <c r="D364" s="836">
        <v>0.36</v>
      </c>
      <c r="E364" s="889">
        <v>0.5</v>
      </c>
      <c r="F364" s="889">
        <v>-1.2</v>
      </c>
      <c r="G364" s="889">
        <v>1.3</v>
      </c>
      <c r="H364" s="889">
        <v>1.7</v>
      </c>
      <c r="I364" s="889">
        <v>0.5</v>
      </c>
      <c r="J364" s="889">
        <v>1.9</v>
      </c>
      <c r="K364" s="889">
        <v>0.2</v>
      </c>
      <c r="L364" s="426"/>
      <c r="M364" s="887">
        <v>1.4910000000000001</v>
      </c>
      <c r="N364" s="887">
        <v>0.8</v>
      </c>
      <c r="O364" s="887">
        <v>-1.5</v>
      </c>
      <c r="P364" s="887">
        <v>-4.4000000000000004</v>
      </c>
      <c r="Q364" s="887">
        <v>-3.4</v>
      </c>
      <c r="R364" s="887">
        <v>-1.8</v>
      </c>
      <c r="S364" s="887">
        <v>-3</v>
      </c>
      <c r="T364" s="887">
        <v>0.3</v>
      </c>
      <c r="U364" s="426"/>
      <c r="V364" s="841">
        <v>0.46</v>
      </c>
      <c r="W364" s="887">
        <v>2.2999999999999998</v>
      </c>
      <c r="X364" s="887">
        <v>-3</v>
      </c>
      <c r="Y364" s="887">
        <v>-0.01</v>
      </c>
      <c r="Z364" s="887">
        <v>-0.6</v>
      </c>
      <c r="AA364" s="887">
        <v>-0.5</v>
      </c>
      <c r="AB364" s="887">
        <v>1.2</v>
      </c>
      <c r="AC364" s="887">
        <v>-0.4</v>
      </c>
      <c r="AD364" s="214"/>
    </row>
    <row r="365" spans="1:30" ht="15" customHeight="1">
      <c r="A365" s="761"/>
      <c r="B365" s="762"/>
      <c r="C365" s="763">
        <v>11</v>
      </c>
      <c r="D365" s="836">
        <v>0.38</v>
      </c>
      <c r="E365" s="889">
        <v>0.4</v>
      </c>
      <c r="F365" s="889">
        <v>0.5</v>
      </c>
      <c r="G365" s="889">
        <v>-1.2</v>
      </c>
      <c r="H365" s="889">
        <v>-0.2</v>
      </c>
      <c r="I365" s="889">
        <v>-0.9</v>
      </c>
      <c r="J365" s="889">
        <v>-0.8</v>
      </c>
      <c r="K365" s="889">
        <v>0.2</v>
      </c>
      <c r="L365" s="426"/>
      <c r="M365" s="887">
        <v>2.1640000000000001</v>
      </c>
      <c r="N365" s="887">
        <v>0</v>
      </c>
      <c r="O365" s="887">
        <v>-1</v>
      </c>
      <c r="P365" s="887">
        <v>1.9</v>
      </c>
      <c r="Q365" s="887">
        <v>0.8</v>
      </c>
      <c r="R365" s="887">
        <v>0.4</v>
      </c>
      <c r="S365" s="887">
        <v>1</v>
      </c>
      <c r="T365" s="887">
        <v>0.8</v>
      </c>
      <c r="U365" s="426"/>
      <c r="V365" s="841">
        <v>0.46</v>
      </c>
      <c r="W365" s="887">
        <v>0</v>
      </c>
      <c r="X365" s="887">
        <v>1.5</v>
      </c>
      <c r="Y365" s="887">
        <v>0.64</v>
      </c>
      <c r="Z365" s="887">
        <v>-0.7</v>
      </c>
      <c r="AA365" s="887">
        <v>0.2</v>
      </c>
      <c r="AB365" s="887">
        <v>0.6</v>
      </c>
      <c r="AC365" s="887">
        <v>0.1</v>
      </c>
      <c r="AD365" s="214"/>
    </row>
    <row r="366" spans="1:30" ht="15" customHeight="1">
      <c r="A366" s="846"/>
      <c r="B366" s="847"/>
      <c r="C366" s="848">
        <v>12</v>
      </c>
      <c r="D366" s="866">
        <v>0.23</v>
      </c>
      <c r="E366" s="890">
        <v>-0.9</v>
      </c>
      <c r="F366" s="890">
        <v>-0.2</v>
      </c>
      <c r="G366" s="890">
        <v>1</v>
      </c>
      <c r="H366" s="890">
        <v>0.7</v>
      </c>
      <c r="I366" s="890">
        <v>1.5</v>
      </c>
      <c r="J366" s="890">
        <v>-0.4</v>
      </c>
      <c r="K366" s="890">
        <v>0.3</v>
      </c>
      <c r="L366" s="843"/>
      <c r="M366" s="888">
        <v>-3.4729999999999999</v>
      </c>
      <c r="N366" s="888">
        <v>-0.1</v>
      </c>
      <c r="O366" s="888">
        <v>0.8</v>
      </c>
      <c r="P366" s="888">
        <v>-0.2</v>
      </c>
      <c r="Q366" s="888">
        <v>-0.2</v>
      </c>
      <c r="R366" s="888">
        <v>-0.3</v>
      </c>
      <c r="S366" s="888">
        <v>-0.3</v>
      </c>
      <c r="T366" s="888">
        <v>-2</v>
      </c>
      <c r="U366" s="843"/>
      <c r="V366" s="840">
        <v>0.28000000000000003</v>
      </c>
      <c r="W366" s="888">
        <v>1.4</v>
      </c>
      <c r="X366" s="888">
        <v>-0.5</v>
      </c>
      <c r="Y366" s="888">
        <v>-0.03</v>
      </c>
      <c r="Z366" s="888">
        <v>0.3</v>
      </c>
      <c r="AA366" s="888">
        <v>1.2</v>
      </c>
      <c r="AB366" s="888">
        <v>1.7</v>
      </c>
      <c r="AC366" s="888">
        <v>0.2</v>
      </c>
      <c r="AD366" s="214"/>
    </row>
    <row r="367" spans="1:30" ht="15" customHeight="1">
      <c r="A367" s="851" t="s">
        <v>695</v>
      </c>
      <c r="B367" s="852">
        <v>2023</v>
      </c>
      <c r="C367" s="853">
        <v>1</v>
      </c>
      <c r="D367" s="837">
        <v>0.37</v>
      </c>
      <c r="E367" s="889">
        <v>-0.2</v>
      </c>
      <c r="F367" s="889">
        <v>0.5</v>
      </c>
      <c r="G367" s="889">
        <v>-1.9</v>
      </c>
      <c r="H367" s="889">
        <v>1.4</v>
      </c>
      <c r="I367" s="889">
        <v>-0.8</v>
      </c>
      <c r="J367" s="889">
        <v>1.2</v>
      </c>
      <c r="K367" s="889">
        <v>-0.1</v>
      </c>
      <c r="L367" s="859"/>
      <c r="M367" s="887">
        <v>-1.2849999999999999</v>
      </c>
      <c r="N367" s="887">
        <v>-0.1</v>
      </c>
      <c r="O367" s="887">
        <v>-1</v>
      </c>
      <c r="P367" s="887">
        <v>-2.2999999999999998</v>
      </c>
      <c r="Q367" s="887">
        <v>2</v>
      </c>
      <c r="R367" s="887">
        <v>2.2000000000000002</v>
      </c>
      <c r="S367" s="887">
        <v>1.3</v>
      </c>
      <c r="T367" s="887">
        <v>1.2</v>
      </c>
      <c r="U367" s="426"/>
      <c r="V367" s="862">
        <v>0.45</v>
      </c>
      <c r="W367" s="887">
        <v>1.9</v>
      </c>
      <c r="X367" s="887">
        <v>-2.2000000000000002</v>
      </c>
      <c r="Y367" s="887">
        <v>0.01</v>
      </c>
      <c r="Z367" s="887">
        <v>0.3</v>
      </c>
      <c r="AA367" s="887">
        <v>-0.5</v>
      </c>
      <c r="AB367" s="887">
        <v>0.8</v>
      </c>
      <c r="AC367" s="887">
        <v>0.2</v>
      </c>
      <c r="AD367" s="214"/>
    </row>
    <row r="368" spans="1:30" ht="15" customHeight="1">
      <c r="A368" s="761"/>
      <c r="B368" s="762"/>
      <c r="C368" s="763">
        <v>2</v>
      </c>
      <c r="D368" s="836">
        <v>0.3</v>
      </c>
      <c r="E368" s="889">
        <v>1.4</v>
      </c>
      <c r="F368" s="889">
        <v>0</v>
      </c>
      <c r="G368" s="889">
        <v>1.1000000000000001</v>
      </c>
      <c r="H368" s="889">
        <v>-0.2</v>
      </c>
      <c r="I368" s="889">
        <v>-0.3</v>
      </c>
      <c r="J368" s="889">
        <v>0.4</v>
      </c>
      <c r="K368" s="889">
        <v>0</v>
      </c>
      <c r="L368" s="426"/>
      <c r="M368" s="887">
        <v>-1.9690000000000001</v>
      </c>
      <c r="N368" s="887">
        <v>-0.2</v>
      </c>
      <c r="O368" s="887">
        <v>0</v>
      </c>
      <c r="P368" s="887">
        <v>2.6</v>
      </c>
      <c r="Q368" s="887">
        <v>0.3</v>
      </c>
      <c r="R368" s="887">
        <v>-0.8</v>
      </c>
      <c r="S368" s="887">
        <v>0.5</v>
      </c>
      <c r="T368" s="887">
        <v>-1.9</v>
      </c>
      <c r="U368" s="426"/>
      <c r="V368" s="841">
        <v>0.35</v>
      </c>
      <c r="W368" s="887">
        <v>-0.3</v>
      </c>
      <c r="X368" s="887">
        <v>2.4</v>
      </c>
      <c r="Y368" s="887">
        <v>-0.69</v>
      </c>
      <c r="Z368" s="887">
        <v>0.3</v>
      </c>
      <c r="AA368" s="887">
        <v>1</v>
      </c>
      <c r="AB368" s="887">
        <v>-2.2000000000000002</v>
      </c>
      <c r="AC368" s="887">
        <v>-1.2</v>
      </c>
      <c r="AD368" s="214"/>
    </row>
    <row r="369" spans="1:30" ht="15" customHeight="1">
      <c r="A369" s="761"/>
      <c r="B369" s="762"/>
      <c r="C369" s="763">
        <v>3</v>
      </c>
      <c r="D369" s="836">
        <v>0.24</v>
      </c>
      <c r="E369" s="889">
        <v>-2.8</v>
      </c>
      <c r="F369" s="889">
        <v>0.6</v>
      </c>
      <c r="G369" s="889">
        <v>-0.2</v>
      </c>
      <c r="H369" s="889">
        <v>-3.7</v>
      </c>
      <c r="I369" s="889">
        <v>1.5</v>
      </c>
      <c r="J369" s="889">
        <v>-1.2</v>
      </c>
      <c r="K369" s="889">
        <v>0</v>
      </c>
      <c r="L369" s="426"/>
      <c r="M369" s="887">
        <v>-2.5609999999999999</v>
      </c>
      <c r="N369" s="887">
        <v>-1.2</v>
      </c>
      <c r="O369" s="887">
        <v>-0.2</v>
      </c>
      <c r="P369" s="887">
        <v>-0.2</v>
      </c>
      <c r="Q369" s="887">
        <v>-0.3</v>
      </c>
      <c r="R369" s="887">
        <v>-0.4</v>
      </c>
      <c r="S369" s="887">
        <v>-0.1</v>
      </c>
      <c r="T369" s="887">
        <v>0.3</v>
      </c>
      <c r="U369" s="426"/>
      <c r="V369" s="841">
        <v>0.28000000000000003</v>
      </c>
      <c r="W369" s="887">
        <v>2.2000000000000002</v>
      </c>
      <c r="X369" s="887">
        <v>-0.7</v>
      </c>
      <c r="Y369" s="887">
        <v>-0.67</v>
      </c>
      <c r="Z369" s="887">
        <v>-1.1000000000000001</v>
      </c>
      <c r="AA369" s="887">
        <v>-1.7</v>
      </c>
      <c r="AB369" s="887">
        <v>-0.6</v>
      </c>
      <c r="AC369" s="887">
        <v>0.4</v>
      </c>
      <c r="AD369" s="214"/>
    </row>
    <row r="370" spans="1:30" ht="15" customHeight="1">
      <c r="A370" s="761"/>
      <c r="B370" s="762"/>
      <c r="C370" s="763">
        <v>4</v>
      </c>
      <c r="D370" s="836">
        <v>0.32</v>
      </c>
      <c r="E370" s="889">
        <v>1</v>
      </c>
      <c r="F370" s="889">
        <v>0.3</v>
      </c>
      <c r="G370" s="889">
        <v>0.8</v>
      </c>
      <c r="H370" s="889">
        <v>4.3</v>
      </c>
      <c r="I370" s="889">
        <v>-1.8</v>
      </c>
      <c r="J370" s="889">
        <v>-0.4</v>
      </c>
      <c r="K370" s="889">
        <v>1.4</v>
      </c>
      <c r="L370" s="426"/>
      <c r="M370" s="887">
        <v>-1.774</v>
      </c>
      <c r="N370" s="887">
        <v>0</v>
      </c>
      <c r="O370" s="887">
        <v>0</v>
      </c>
      <c r="P370" s="887">
        <v>-3</v>
      </c>
      <c r="Q370" s="887">
        <v>-0.9</v>
      </c>
      <c r="R370" s="887">
        <v>0.3</v>
      </c>
      <c r="S370" s="887">
        <v>-1.1000000000000001</v>
      </c>
      <c r="T370" s="887">
        <v>2.7</v>
      </c>
      <c r="U370" s="426"/>
      <c r="V370" s="841">
        <v>0.36</v>
      </c>
      <c r="W370" s="887">
        <v>-1.6</v>
      </c>
      <c r="X370" s="887">
        <v>-2.2000000000000002</v>
      </c>
      <c r="Y370" s="887">
        <v>0.69</v>
      </c>
      <c r="Z370" s="887">
        <v>1.2</v>
      </c>
      <c r="AA370" s="887">
        <v>0.5</v>
      </c>
      <c r="AB370" s="887">
        <v>1</v>
      </c>
      <c r="AC370" s="887">
        <v>-0.5</v>
      </c>
      <c r="AD370" s="214"/>
    </row>
    <row r="371" spans="1:30" ht="15" customHeight="1">
      <c r="A371" s="761"/>
      <c r="B371" s="762"/>
      <c r="C371" s="763">
        <v>5</v>
      </c>
      <c r="D371" s="836">
        <v>0.17</v>
      </c>
      <c r="E371" s="889">
        <v>-0.4</v>
      </c>
      <c r="F371" s="889">
        <v>-0.8</v>
      </c>
      <c r="G371" s="889">
        <v>-0.4</v>
      </c>
      <c r="H371" s="889">
        <v>0.1</v>
      </c>
      <c r="I371" s="889">
        <v>1.3</v>
      </c>
      <c r="J371" s="889">
        <v>-1.2</v>
      </c>
      <c r="K371" s="889">
        <v>1.5</v>
      </c>
      <c r="L371" s="426"/>
      <c r="M371" s="887">
        <v>1.5409999999999999</v>
      </c>
      <c r="N371" s="887">
        <v>-1.1000000000000001</v>
      </c>
      <c r="O371" s="887">
        <v>1.5</v>
      </c>
      <c r="P371" s="887">
        <v>-0.3</v>
      </c>
      <c r="Q371" s="887">
        <v>-0.3</v>
      </c>
      <c r="R371" s="887">
        <v>-0.1</v>
      </c>
      <c r="S371" s="887">
        <v>-0.4</v>
      </c>
      <c r="T371" s="887">
        <v>-2.6</v>
      </c>
      <c r="U371" s="426"/>
      <c r="V371" s="841">
        <v>0.18</v>
      </c>
      <c r="W371" s="887">
        <v>-0.3</v>
      </c>
      <c r="X371" s="887">
        <v>-0.2</v>
      </c>
      <c r="Y371" s="887">
        <v>0.71</v>
      </c>
      <c r="Z371" s="887">
        <v>-1.3</v>
      </c>
      <c r="AA371" s="887">
        <v>0.3</v>
      </c>
      <c r="AB371" s="887">
        <v>-1.4</v>
      </c>
      <c r="AC371" s="887">
        <v>0.5</v>
      </c>
      <c r="AD371" s="214"/>
    </row>
    <row r="372" spans="1:30" ht="15" customHeight="1">
      <c r="A372" s="761"/>
      <c r="B372" s="762"/>
      <c r="C372" s="763">
        <v>6</v>
      </c>
      <c r="D372" s="836">
        <v>0.16</v>
      </c>
      <c r="E372" s="889">
        <v>1.1000000000000001</v>
      </c>
      <c r="F372" s="889">
        <v>2.8</v>
      </c>
      <c r="G372" s="889">
        <v>2.8</v>
      </c>
      <c r="H372" s="889">
        <v>0</v>
      </c>
      <c r="I372" s="889">
        <v>-0.7</v>
      </c>
      <c r="J372" s="889">
        <v>2.1</v>
      </c>
      <c r="K372" s="889">
        <v>1.5</v>
      </c>
      <c r="L372" s="426"/>
      <c r="M372" s="887">
        <v>-0.41199999999999998</v>
      </c>
      <c r="N372" s="887">
        <v>-0.8</v>
      </c>
      <c r="O372" s="887">
        <v>-0.2</v>
      </c>
      <c r="P372" s="887">
        <v>-0.2</v>
      </c>
      <c r="Q372" s="887">
        <v>0.9</v>
      </c>
      <c r="R372" s="887">
        <v>0.8</v>
      </c>
      <c r="S372" s="887">
        <v>0.3</v>
      </c>
      <c r="T372" s="887">
        <v>0.9</v>
      </c>
      <c r="U372" s="426"/>
      <c r="V372" s="841">
        <v>0.17</v>
      </c>
      <c r="W372" s="887">
        <v>-1.2</v>
      </c>
      <c r="X372" s="887">
        <v>-0.2</v>
      </c>
      <c r="Y372" s="887">
        <v>0.01</v>
      </c>
      <c r="Z372" s="887">
        <v>0.6</v>
      </c>
      <c r="AA372" s="887">
        <v>-1.3</v>
      </c>
      <c r="AB372" s="887">
        <v>0.6</v>
      </c>
      <c r="AC372" s="887">
        <v>-0.7</v>
      </c>
      <c r="AD372" s="214"/>
    </row>
    <row r="373" spans="1:30" ht="15" customHeight="1">
      <c r="A373" s="761"/>
      <c r="B373" s="762"/>
      <c r="C373" s="763">
        <v>7</v>
      </c>
      <c r="D373" s="836">
        <v>0.06</v>
      </c>
      <c r="E373" s="889">
        <v>-0.9</v>
      </c>
      <c r="F373" s="889">
        <v>-3.8</v>
      </c>
      <c r="G373" s="889">
        <v>-4.2</v>
      </c>
      <c r="H373" s="889">
        <v>-2.2999999999999998</v>
      </c>
      <c r="I373" s="889">
        <v>0.2</v>
      </c>
      <c r="J373" s="889">
        <v>-0.4</v>
      </c>
      <c r="K373" s="889">
        <v>2.2000000000000002</v>
      </c>
      <c r="L373" s="426"/>
      <c r="M373" s="887">
        <v>0.23200000000000001</v>
      </c>
      <c r="N373" s="887">
        <v>0.3</v>
      </c>
      <c r="O373" s="887">
        <v>-0.5</v>
      </c>
      <c r="P373" s="887">
        <v>0.4</v>
      </c>
      <c r="Q373" s="887">
        <v>-2</v>
      </c>
      <c r="R373" s="887">
        <v>-1.9</v>
      </c>
      <c r="S373" s="887">
        <v>-1.4</v>
      </c>
      <c r="T373" s="887">
        <v>-0.4</v>
      </c>
      <c r="U373" s="426"/>
      <c r="V373" s="841">
        <v>0.06</v>
      </c>
      <c r="W373" s="887">
        <v>1.3</v>
      </c>
      <c r="X373" s="887">
        <v>0.8</v>
      </c>
      <c r="Y373" s="887">
        <v>-0.66</v>
      </c>
      <c r="Z373" s="887">
        <v>0.5</v>
      </c>
      <c r="AA373" s="887">
        <v>1.2</v>
      </c>
      <c r="AB373" s="887">
        <v>-0.1</v>
      </c>
      <c r="AC373" s="887">
        <v>0.6</v>
      </c>
      <c r="AD373" s="214"/>
    </row>
    <row r="374" spans="1:30" ht="15" customHeight="1">
      <c r="A374" s="761"/>
      <c r="B374" s="762"/>
      <c r="C374" s="763">
        <v>8</v>
      </c>
      <c r="D374" s="836">
        <v>0.11</v>
      </c>
      <c r="E374" s="889">
        <v>0.4</v>
      </c>
      <c r="F374" s="889">
        <v>-2.9</v>
      </c>
      <c r="G374" s="889">
        <v>-0.8</v>
      </c>
      <c r="H374" s="889">
        <v>1.5</v>
      </c>
      <c r="I374" s="889">
        <v>2</v>
      </c>
      <c r="J374" s="889">
        <v>-0.8</v>
      </c>
      <c r="K374" s="889">
        <v>2.1</v>
      </c>
      <c r="L374" s="426"/>
      <c r="M374" s="887">
        <v>-0.39</v>
      </c>
      <c r="N374" s="887">
        <v>-0.1</v>
      </c>
      <c r="O374" s="887">
        <v>0</v>
      </c>
      <c r="P374" s="887">
        <v>-0.7</v>
      </c>
      <c r="Q374" s="887">
        <v>-1.7</v>
      </c>
      <c r="R374" s="887">
        <v>-2</v>
      </c>
      <c r="S374" s="887">
        <v>-1.2</v>
      </c>
      <c r="T374" s="887">
        <v>0.5</v>
      </c>
      <c r="U374" s="426"/>
      <c r="V374" s="841">
        <v>0.11</v>
      </c>
      <c r="W374" s="887">
        <v>0.6</v>
      </c>
      <c r="X374" s="887">
        <v>-0.5</v>
      </c>
      <c r="Y374" s="887">
        <v>0.01</v>
      </c>
      <c r="Z374" s="887">
        <v>0.5</v>
      </c>
      <c r="AA374" s="887">
        <v>0.1</v>
      </c>
      <c r="AB374" s="887">
        <v>2</v>
      </c>
      <c r="AC374" s="887">
        <v>0.4</v>
      </c>
      <c r="AD374" s="214"/>
    </row>
    <row r="375" spans="1:30" ht="15" customHeight="1">
      <c r="A375" s="761"/>
      <c r="B375" s="762"/>
      <c r="C375" s="763">
        <v>9</v>
      </c>
      <c r="D375" s="836">
        <v>7.0000000000000007E-2</v>
      </c>
      <c r="E375" s="889">
        <v>1.6</v>
      </c>
      <c r="F375" s="889">
        <v>5.2</v>
      </c>
      <c r="G375" s="889">
        <v>0.8</v>
      </c>
      <c r="H375" s="889">
        <v>-1.5</v>
      </c>
      <c r="I375" s="889">
        <v>-2.5</v>
      </c>
      <c r="J375" s="889">
        <v>1.3</v>
      </c>
      <c r="K375" s="889">
        <v>2.2000000000000002</v>
      </c>
      <c r="L375" s="426"/>
      <c r="M375" s="887">
        <v>0.22700000000000001</v>
      </c>
      <c r="N375" s="887">
        <v>0.1</v>
      </c>
      <c r="O375" s="887">
        <v>1.1000000000000001</v>
      </c>
      <c r="P375" s="887">
        <v>0.9</v>
      </c>
      <c r="Q375" s="887">
        <v>-0.7</v>
      </c>
      <c r="R375" s="887">
        <v>-1</v>
      </c>
      <c r="S375" s="887">
        <v>-0.7</v>
      </c>
      <c r="T375" s="887">
        <v>-0.7</v>
      </c>
      <c r="U375" s="426"/>
      <c r="V375" s="841">
        <v>7.0000000000000007E-2</v>
      </c>
      <c r="W375" s="887">
        <v>-0.1</v>
      </c>
      <c r="X375" s="887">
        <v>0.4</v>
      </c>
      <c r="Y375" s="887">
        <v>0.03</v>
      </c>
      <c r="Z375" s="887">
        <v>-0.3</v>
      </c>
      <c r="AA375" s="887">
        <v>0.4</v>
      </c>
      <c r="AB375" s="887">
        <v>-0.4</v>
      </c>
      <c r="AC375" s="887">
        <v>0</v>
      </c>
      <c r="AD375" s="214"/>
    </row>
    <row r="376" spans="1:30" ht="15" customHeight="1">
      <c r="A376" s="761"/>
      <c r="B376" s="762"/>
      <c r="C376" s="763">
        <v>10</v>
      </c>
      <c r="D376" s="836">
        <v>0.12</v>
      </c>
      <c r="E376" s="889">
        <v>-2.2000000000000002</v>
      </c>
      <c r="F376" s="889">
        <v>0.8</v>
      </c>
      <c r="G376" s="889">
        <v>0.4</v>
      </c>
      <c r="H376" s="889">
        <v>1.8</v>
      </c>
      <c r="I376" s="889">
        <v>-1.6</v>
      </c>
      <c r="J376" s="889">
        <v>-2.1</v>
      </c>
      <c r="K376" s="889">
        <v>-1</v>
      </c>
      <c r="L376" s="426"/>
      <c r="M376" s="887">
        <v>0.83199999999999996</v>
      </c>
      <c r="N376" s="887">
        <v>-1.2</v>
      </c>
      <c r="O376" s="887">
        <v>0</v>
      </c>
      <c r="P376" s="887">
        <v>-0.3</v>
      </c>
      <c r="Q376" s="887">
        <v>-0.7</v>
      </c>
      <c r="R376" s="887">
        <v>-0.1</v>
      </c>
      <c r="S376" s="887">
        <v>-0.8</v>
      </c>
      <c r="T376" s="887">
        <v>2.1</v>
      </c>
      <c r="U376" s="426"/>
      <c r="V376" s="841">
        <v>0.11</v>
      </c>
      <c r="W376" s="887">
        <v>1.5</v>
      </c>
      <c r="X376" s="887">
        <v>-0.2</v>
      </c>
      <c r="Y376" s="887">
        <v>0.72</v>
      </c>
      <c r="Z376" s="887">
        <v>-0.6</v>
      </c>
      <c r="AA376" s="887">
        <v>1.9</v>
      </c>
      <c r="AB376" s="887">
        <v>-0.4</v>
      </c>
      <c r="AC376" s="887">
        <v>-0.3</v>
      </c>
      <c r="AD376" s="214"/>
    </row>
    <row r="377" spans="1:30" ht="15" customHeight="1">
      <c r="A377" s="761"/>
      <c r="B377" s="762"/>
      <c r="C377" s="763">
        <v>11</v>
      </c>
      <c r="D377" s="836">
        <v>0.12</v>
      </c>
      <c r="E377" s="889">
        <v>0.4</v>
      </c>
      <c r="F377" s="889">
        <v>0.3</v>
      </c>
      <c r="G377" s="889">
        <v>0.7</v>
      </c>
      <c r="H377" s="889">
        <v>0.9</v>
      </c>
      <c r="I377" s="889">
        <v>1.3</v>
      </c>
      <c r="J377" s="889">
        <v>0.5</v>
      </c>
      <c r="K377" s="889">
        <v>-1</v>
      </c>
      <c r="L377" s="426"/>
      <c r="M377" s="887">
        <v>0.224</v>
      </c>
      <c r="N377" s="887">
        <v>0.2</v>
      </c>
      <c r="O377" s="887">
        <v>0.6</v>
      </c>
      <c r="P377" s="887">
        <v>-1.8</v>
      </c>
      <c r="Q377" s="887">
        <v>-0.4</v>
      </c>
      <c r="R377" s="887">
        <v>-0.7</v>
      </c>
      <c r="S377" s="887">
        <v>0.1</v>
      </c>
      <c r="T377" s="887">
        <v>-1.2</v>
      </c>
      <c r="U377" s="426"/>
      <c r="V377" s="841">
        <v>0.11</v>
      </c>
      <c r="W377" s="887">
        <v>0.1</v>
      </c>
      <c r="X377" s="887">
        <v>-2.2000000000000002</v>
      </c>
      <c r="Y377" s="887">
        <v>-0.69</v>
      </c>
      <c r="Z377" s="887">
        <v>0.1</v>
      </c>
      <c r="AA377" s="887">
        <v>-2.2000000000000002</v>
      </c>
      <c r="AB377" s="887">
        <v>-1</v>
      </c>
      <c r="AC377" s="887">
        <v>0.3</v>
      </c>
      <c r="AD377" s="214"/>
    </row>
    <row r="378" spans="1:30" ht="15" customHeight="1">
      <c r="A378" s="846"/>
      <c r="B378" s="847"/>
      <c r="C378" s="848">
        <v>12</v>
      </c>
      <c r="D378" s="866">
        <v>0.12</v>
      </c>
      <c r="E378" s="890">
        <v>1.8</v>
      </c>
      <c r="F378" s="890">
        <v>-0.5</v>
      </c>
      <c r="G378" s="890">
        <v>-0.3</v>
      </c>
      <c r="H378" s="890">
        <v>-1.1000000000000001</v>
      </c>
      <c r="I378" s="890">
        <v>-0.1</v>
      </c>
      <c r="J378" s="890">
        <v>1.3</v>
      </c>
      <c r="K378" s="890">
        <v>-1</v>
      </c>
      <c r="L378" s="843"/>
      <c r="M378" s="888">
        <v>-0.375</v>
      </c>
      <c r="N378" s="888">
        <v>-0.2</v>
      </c>
      <c r="O378" s="888">
        <v>-1.5</v>
      </c>
      <c r="P378" s="888">
        <v>2.6</v>
      </c>
      <c r="Q378" s="888">
        <v>1</v>
      </c>
      <c r="R378" s="888">
        <v>0.4</v>
      </c>
      <c r="S378" s="888">
        <v>0.6</v>
      </c>
      <c r="T378" s="888">
        <v>0.4</v>
      </c>
      <c r="U378" s="843"/>
      <c r="V378" s="840">
        <v>0.11</v>
      </c>
      <c r="W378" s="888">
        <v>-0.6</v>
      </c>
      <c r="X378" s="888">
        <v>2.9</v>
      </c>
      <c r="Y378" s="888">
        <v>0.69</v>
      </c>
      <c r="Z378" s="888">
        <v>0.5</v>
      </c>
      <c r="AA378" s="888">
        <v>-0.1</v>
      </c>
      <c r="AB378" s="888">
        <v>-1.5</v>
      </c>
      <c r="AC378" s="888">
        <v>0.2</v>
      </c>
      <c r="AD378" s="214"/>
    </row>
    <row r="379" spans="1:30" ht="15" customHeight="1">
      <c r="A379" s="1076" t="s">
        <v>698</v>
      </c>
      <c r="B379" s="852">
        <v>2024</v>
      </c>
      <c r="C379" s="853">
        <v>1</v>
      </c>
      <c r="D379" s="837">
        <v>0.13</v>
      </c>
      <c r="E379" s="889">
        <v>-2.1</v>
      </c>
      <c r="F379" s="889">
        <v>-0.2</v>
      </c>
      <c r="G379" s="889">
        <v>-3.8</v>
      </c>
      <c r="H379" s="889">
        <v>-4.4000000000000004</v>
      </c>
      <c r="I379" s="889">
        <v>-1.2</v>
      </c>
      <c r="J379" s="889">
        <v>0.4</v>
      </c>
      <c r="K379" s="889">
        <v>-0.4</v>
      </c>
      <c r="L379" s="859"/>
      <c r="M379" s="887">
        <v>-0.97699999999999998</v>
      </c>
      <c r="N379" s="887">
        <v>0.2</v>
      </c>
      <c r="O379" s="887">
        <v>-0.9</v>
      </c>
      <c r="P379" s="887">
        <v>-1.9</v>
      </c>
      <c r="Q379" s="887">
        <v>-0.3</v>
      </c>
      <c r="R379" s="887">
        <v>0.8</v>
      </c>
      <c r="S379" s="887">
        <v>-0.8</v>
      </c>
      <c r="T379" s="887">
        <v>-0.8</v>
      </c>
      <c r="U379" s="426"/>
      <c r="V379" s="862">
        <v>0.12</v>
      </c>
      <c r="W379" s="887">
        <v>-0.6</v>
      </c>
      <c r="X379" s="887">
        <v>-2</v>
      </c>
      <c r="Y379" s="887">
        <v>0</v>
      </c>
      <c r="Z379" s="887">
        <v>-0.8</v>
      </c>
      <c r="AA379" s="887">
        <v>-0.6</v>
      </c>
      <c r="AB379" s="887">
        <v>-1</v>
      </c>
      <c r="AC379" s="887">
        <v>-2.6</v>
      </c>
      <c r="AD379" s="214"/>
    </row>
    <row r="380" spans="1:30" ht="15" customHeight="1">
      <c r="A380" s="761"/>
      <c r="B380" s="762"/>
      <c r="C380" s="763">
        <v>2</v>
      </c>
      <c r="D380" s="836">
        <v>0.19</v>
      </c>
      <c r="E380" s="889">
        <v>0.4</v>
      </c>
      <c r="F380" s="889">
        <v>-0.1</v>
      </c>
      <c r="G380" s="889">
        <v>2.5</v>
      </c>
      <c r="H380" s="889">
        <v>-3</v>
      </c>
      <c r="I380" s="889">
        <v>0.9</v>
      </c>
      <c r="J380" s="889">
        <v>-2.4</v>
      </c>
      <c r="K380" s="889">
        <v>-0.5</v>
      </c>
      <c r="L380" s="426"/>
      <c r="M380" s="887">
        <v>0.20200000000000001</v>
      </c>
      <c r="N380" s="887">
        <v>-0.6</v>
      </c>
      <c r="O380" s="887">
        <v>-1.4</v>
      </c>
      <c r="P380" s="887">
        <v>1.3</v>
      </c>
      <c r="Q380" s="887">
        <v>1.5</v>
      </c>
      <c r="R380" s="887">
        <v>0.9</v>
      </c>
      <c r="S380" s="887">
        <v>1</v>
      </c>
      <c r="T380" s="887">
        <v>1.4</v>
      </c>
      <c r="U380" s="426"/>
      <c r="V380" s="841">
        <v>0.19</v>
      </c>
      <c r="W380" s="887">
        <v>0.4</v>
      </c>
      <c r="X380" s="887">
        <v>1.5</v>
      </c>
      <c r="Y380" s="887">
        <v>-0.65</v>
      </c>
      <c r="Z380" s="887">
        <v>0.6</v>
      </c>
      <c r="AA380" s="887">
        <v>1</v>
      </c>
      <c r="AB380" s="887">
        <v>1</v>
      </c>
      <c r="AC380" s="887">
        <v>2.8</v>
      </c>
      <c r="AD380" s="214"/>
    </row>
    <row r="381" spans="1:30" ht="15" customHeight="1">
      <c r="A381" s="761"/>
      <c r="B381" s="762"/>
      <c r="C381" s="763">
        <v>3</v>
      </c>
      <c r="D381" s="836">
        <v>0.23</v>
      </c>
      <c r="E381" s="889">
        <v>0.6</v>
      </c>
      <c r="F381" s="889">
        <v>0.3</v>
      </c>
      <c r="G381" s="889">
        <v>0.8</v>
      </c>
      <c r="H381" s="889">
        <v>2.5</v>
      </c>
      <c r="I381" s="889">
        <v>0.1</v>
      </c>
      <c r="J381" s="889">
        <v>2</v>
      </c>
      <c r="K381" s="889">
        <v>-0.5</v>
      </c>
      <c r="L381" s="426"/>
      <c r="M381" s="887">
        <v>0.22800000000000001</v>
      </c>
      <c r="N381" s="887">
        <v>0.6</v>
      </c>
      <c r="O381" s="887">
        <v>-0.2</v>
      </c>
      <c r="P381" s="887">
        <v>0.6</v>
      </c>
      <c r="Q381" s="887">
        <v>0.8</v>
      </c>
      <c r="R381" s="887">
        <v>0.4</v>
      </c>
      <c r="S381" s="887">
        <v>0.6</v>
      </c>
      <c r="T381" s="887">
        <v>-0.1</v>
      </c>
      <c r="U381" s="426"/>
      <c r="V381" s="841">
        <v>0.24</v>
      </c>
      <c r="W381" s="887">
        <v>-0.9</v>
      </c>
      <c r="X381" s="887">
        <v>0.3</v>
      </c>
      <c r="Y381" s="887">
        <v>0.01</v>
      </c>
      <c r="Z381" s="887">
        <v>0.8</v>
      </c>
      <c r="AA381" s="887">
        <v>-0.3</v>
      </c>
      <c r="AB381" s="887">
        <v>-1</v>
      </c>
      <c r="AC381" s="887">
        <v>-0.8</v>
      </c>
      <c r="AD381" s="214"/>
    </row>
    <row r="382" spans="1:30" ht="15" customHeight="1">
      <c r="A382" s="761"/>
      <c r="B382" s="762"/>
      <c r="C382" s="763">
        <v>4</v>
      </c>
      <c r="D382" s="836">
        <v>0.26</v>
      </c>
      <c r="E382" s="889">
        <v>-0.7</v>
      </c>
      <c r="F382" s="889">
        <v>0.9</v>
      </c>
      <c r="G382" s="889">
        <v>0.8</v>
      </c>
      <c r="H382" s="889">
        <v>1.4</v>
      </c>
      <c r="I382" s="889">
        <v>2.9</v>
      </c>
      <c r="J382" s="889">
        <v>0.4</v>
      </c>
      <c r="K382" s="889">
        <v>0.1</v>
      </c>
      <c r="L382" s="426"/>
      <c r="M382" s="887">
        <v>-0.39200000000000002</v>
      </c>
      <c r="N382" s="887">
        <v>-0.5</v>
      </c>
      <c r="O382" s="887">
        <v>0.5</v>
      </c>
      <c r="P382" s="887">
        <v>0.7</v>
      </c>
      <c r="Q382" s="887">
        <v>1.4</v>
      </c>
      <c r="R382" s="887">
        <v>0.4</v>
      </c>
      <c r="S382" s="887">
        <v>1.6</v>
      </c>
      <c r="T382" s="887">
        <v>-0.2</v>
      </c>
      <c r="U382" s="426"/>
      <c r="V382" s="841">
        <v>0.26</v>
      </c>
      <c r="W382" s="887">
        <v>-0.4</v>
      </c>
      <c r="X382" s="887">
        <v>0.5</v>
      </c>
      <c r="Y382" s="887">
        <v>0.02</v>
      </c>
      <c r="Z382" s="887">
        <v>-1.3</v>
      </c>
      <c r="AA382" s="887">
        <v>-1.9</v>
      </c>
      <c r="AB382" s="887">
        <v>-0.3</v>
      </c>
      <c r="AC382" s="887">
        <v>1.2</v>
      </c>
      <c r="AD382" s="214"/>
    </row>
    <row r="383" spans="1:30" ht="15" customHeight="1">
      <c r="A383" s="761"/>
      <c r="B383" s="762"/>
      <c r="C383" s="763">
        <v>5</v>
      </c>
      <c r="D383" s="836">
        <v>0.36</v>
      </c>
      <c r="E383" s="889">
        <v>0.9</v>
      </c>
      <c r="F383" s="889">
        <v>1.5</v>
      </c>
      <c r="G383" s="889">
        <v>0.5</v>
      </c>
      <c r="H383" s="889">
        <v>1.6</v>
      </c>
      <c r="I383" s="889">
        <v>-3.7</v>
      </c>
      <c r="J383" s="889">
        <v>-2.2000000000000002</v>
      </c>
      <c r="K383" s="889">
        <v>0</v>
      </c>
      <c r="L383" s="426"/>
      <c r="M383" s="887">
        <v>-0.39800000000000002</v>
      </c>
      <c r="N383" s="887">
        <v>1.3</v>
      </c>
      <c r="O383" s="887">
        <v>-0.8</v>
      </c>
      <c r="P383" s="887">
        <v>-1.1000000000000001</v>
      </c>
      <c r="Q383" s="887">
        <v>-0.2</v>
      </c>
      <c r="R383" s="887">
        <v>0.9</v>
      </c>
      <c r="S383" s="887">
        <v>-0.4</v>
      </c>
      <c r="T383" s="887">
        <v>1.7</v>
      </c>
      <c r="U383" s="426"/>
      <c r="V383" s="841">
        <v>0.36</v>
      </c>
      <c r="W383" s="887">
        <v>0.1</v>
      </c>
      <c r="X383" s="887">
        <v>-1.2</v>
      </c>
      <c r="Y383" s="887">
        <v>0.03</v>
      </c>
      <c r="Z383" s="887">
        <v>0.5</v>
      </c>
      <c r="AA383" s="887">
        <v>0.7</v>
      </c>
      <c r="AB383" s="887">
        <v>1.2</v>
      </c>
      <c r="AC383" s="887">
        <v>-0.3</v>
      </c>
      <c r="AD383" s="214"/>
    </row>
    <row r="384" spans="1:30" ht="15" customHeight="1">
      <c r="A384" s="761"/>
      <c r="B384" s="762"/>
      <c r="C384" s="763">
        <v>6</v>
      </c>
      <c r="D384" s="836">
        <v>0.31</v>
      </c>
      <c r="E384" s="889">
        <v>-1.1000000000000001</v>
      </c>
      <c r="F384" s="889">
        <v>-1.4</v>
      </c>
      <c r="G384" s="889">
        <v>-0.9</v>
      </c>
      <c r="H384" s="889">
        <v>0.8</v>
      </c>
      <c r="I384" s="889">
        <v>0.4</v>
      </c>
      <c r="J384" s="889">
        <v>0.9</v>
      </c>
      <c r="K384" s="889">
        <v>0.1</v>
      </c>
      <c r="L384" s="426"/>
      <c r="M384" s="887">
        <v>-1.0449999999999999</v>
      </c>
      <c r="N384" s="887">
        <v>0.3</v>
      </c>
      <c r="O384" s="887">
        <v>0.8</v>
      </c>
      <c r="P384" s="887">
        <v>-0.1</v>
      </c>
      <c r="Q384" s="887">
        <v>-0.1</v>
      </c>
      <c r="R384" s="887">
        <v>-0.2</v>
      </c>
      <c r="S384" s="887">
        <v>-0.4</v>
      </c>
      <c r="T384" s="887">
        <v>-0.3</v>
      </c>
      <c r="U384" s="426"/>
      <c r="V384" s="841">
        <v>0.31</v>
      </c>
      <c r="W384" s="887">
        <v>0.8</v>
      </c>
      <c r="X384" s="887">
        <v>0.3</v>
      </c>
      <c r="Y384" s="887">
        <v>0.71</v>
      </c>
      <c r="Z384" s="887">
        <v>1.2</v>
      </c>
      <c r="AA384" s="887">
        <v>3.5</v>
      </c>
      <c r="AB384" s="887">
        <v>-1.3</v>
      </c>
      <c r="AC384" s="887">
        <v>-1.6</v>
      </c>
      <c r="AD384" s="214"/>
    </row>
    <row r="385" spans="1:30" ht="15" customHeight="1">
      <c r="A385" s="761"/>
      <c r="B385" s="762"/>
      <c r="C385" s="763">
        <v>7</v>
      </c>
      <c r="D385" s="836">
        <v>0.2</v>
      </c>
      <c r="E385" s="889">
        <v>0.3</v>
      </c>
      <c r="F385" s="889">
        <v>0.2</v>
      </c>
      <c r="G385" s="889">
        <v>-0.6</v>
      </c>
      <c r="H385" s="889">
        <v>1.7</v>
      </c>
      <c r="I385" s="889">
        <v>1.3</v>
      </c>
      <c r="J385" s="889">
        <v>-1.3</v>
      </c>
      <c r="K385" s="889">
        <v>1</v>
      </c>
      <c r="L385" s="426"/>
      <c r="M385" s="887">
        <v>1.4379999999999999</v>
      </c>
      <c r="N385" s="887">
        <v>0.1</v>
      </c>
      <c r="O385" s="887">
        <v>-0.2</v>
      </c>
      <c r="P385" s="887">
        <v>-2.5</v>
      </c>
      <c r="Q385" s="887">
        <v>-1.2</v>
      </c>
      <c r="R385" s="887">
        <v>-0.2</v>
      </c>
      <c r="S385" s="887">
        <v>-0.4</v>
      </c>
      <c r="T385" s="887">
        <v>-1.5</v>
      </c>
      <c r="U385" s="426"/>
      <c r="V385" s="841">
        <v>0.2</v>
      </c>
      <c r="W385" s="887">
        <v>0</v>
      </c>
      <c r="X385" s="887">
        <v>-2.6</v>
      </c>
      <c r="Y385" s="887">
        <v>-1.31</v>
      </c>
      <c r="Z385" s="887">
        <v>-2.9</v>
      </c>
      <c r="AA385" s="887">
        <v>-3.7</v>
      </c>
      <c r="AB385" s="887">
        <v>0.1</v>
      </c>
      <c r="AC385" s="887">
        <v>1.5</v>
      </c>
      <c r="AD385" s="214"/>
    </row>
    <row r="386" spans="1:30" ht="15" customHeight="1">
      <c r="A386" s="761"/>
      <c r="B386" s="762"/>
      <c r="C386" s="763">
        <v>8</v>
      </c>
      <c r="D386" s="836">
        <v>0.27</v>
      </c>
      <c r="E386" s="889">
        <v>0.5</v>
      </c>
      <c r="F386" s="889">
        <v>-0.3</v>
      </c>
      <c r="G386" s="889">
        <v>-2.2000000000000002</v>
      </c>
      <c r="H386" s="889">
        <v>-0.2</v>
      </c>
      <c r="I386" s="889">
        <v>1</v>
      </c>
      <c r="J386" s="889">
        <v>0.5</v>
      </c>
      <c r="K386" s="889">
        <v>1</v>
      </c>
      <c r="L386" s="426"/>
      <c r="M386" s="887">
        <v>1.417</v>
      </c>
      <c r="N386" s="887">
        <v>0.8</v>
      </c>
      <c r="O386" s="887">
        <v>-0.2</v>
      </c>
      <c r="P386" s="887">
        <v>2.2999999999999998</v>
      </c>
      <c r="Q386" s="887">
        <v>-0.4</v>
      </c>
      <c r="R386" s="887">
        <v>-1.4</v>
      </c>
      <c r="S386" s="887">
        <v>-0.2</v>
      </c>
      <c r="T386" s="887">
        <v>0.2</v>
      </c>
      <c r="U386" s="426"/>
      <c r="V386" s="841">
        <v>0.25</v>
      </c>
      <c r="W386" s="887">
        <v>0.7</v>
      </c>
      <c r="X386" s="887">
        <v>2.1</v>
      </c>
      <c r="Y386" s="887">
        <v>1.36</v>
      </c>
      <c r="Z386" s="887">
        <v>2.4</v>
      </c>
      <c r="AA386" s="887">
        <v>2.2000000000000002</v>
      </c>
      <c r="AB386" s="887">
        <v>-1.4</v>
      </c>
      <c r="AC386" s="887">
        <v>-1.4</v>
      </c>
      <c r="AD386" s="214"/>
    </row>
    <row r="387" spans="1:30" ht="15" customHeight="1">
      <c r="A387" s="761"/>
      <c r="B387" s="762"/>
      <c r="C387" s="763">
        <v>9</v>
      </c>
      <c r="D387" s="836">
        <v>0.25</v>
      </c>
      <c r="E387" s="889">
        <v>-1.4</v>
      </c>
      <c r="F387" s="889">
        <v>1.5</v>
      </c>
      <c r="G387" s="889">
        <v>3.3</v>
      </c>
      <c r="H387" s="889">
        <v>0.4</v>
      </c>
      <c r="I387" s="889">
        <v>-3.5</v>
      </c>
      <c r="J387" s="889">
        <v>1.4</v>
      </c>
      <c r="K387" s="889">
        <v>0.9</v>
      </c>
      <c r="L387" s="426"/>
      <c r="M387" s="887">
        <v>0.80100000000000005</v>
      </c>
      <c r="N387" s="887">
        <v>0.1</v>
      </c>
      <c r="O387" s="887">
        <v>-1</v>
      </c>
      <c r="P387" s="887">
        <v>1.2</v>
      </c>
      <c r="Q387" s="887">
        <v>1.5</v>
      </c>
      <c r="R387" s="887">
        <v>1.2</v>
      </c>
      <c r="S387" s="887">
        <v>0.5</v>
      </c>
      <c r="T387" s="887">
        <v>1.2</v>
      </c>
      <c r="U387" s="426"/>
      <c r="V387" s="841">
        <v>0.25</v>
      </c>
      <c r="W387" s="887">
        <v>0.3</v>
      </c>
      <c r="X387" s="887">
        <v>1</v>
      </c>
      <c r="Y387" s="887">
        <v>0.68</v>
      </c>
      <c r="Z387" s="887">
        <v>-0.8</v>
      </c>
      <c r="AA387" s="887">
        <v>-1.2</v>
      </c>
      <c r="AB387" s="887">
        <v>-1.5</v>
      </c>
      <c r="AC387" s="887">
        <v>-0.2</v>
      </c>
      <c r="AD387" s="214"/>
    </row>
    <row r="388" spans="1:30" ht="15" customHeight="1">
      <c r="A388" s="761"/>
      <c r="B388" s="762"/>
      <c r="C388" s="763">
        <v>10</v>
      </c>
      <c r="D388" s="836">
        <v>0.41</v>
      </c>
      <c r="E388" s="889">
        <v>0.1</v>
      </c>
      <c r="F388" s="889">
        <v>-1.1000000000000001</v>
      </c>
      <c r="G388" s="889">
        <v>0.5</v>
      </c>
      <c r="H388" s="889">
        <v>-2</v>
      </c>
      <c r="I388" s="889">
        <v>3.2</v>
      </c>
      <c r="J388" s="889">
        <v>-0.9</v>
      </c>
      <c r="K388" s="889">
        <v>0.3</v>
      </c>
      <c r="L388" s="426"/>
      <c r="M388" s="887">
        <v>-1.161</v>
      </c>
      <c r="N388" s="887">
        <v>0.7</v>
      </c>
      <c r="O388" s="887">
        <v>2.2999999999999998</v>
      </c>
      <c r="P388" s="887">
        <v>0.9</v>
      </c>
      <c r="Q388" s="887">
        <v>2.2999999999999998</v>
      </c>
      <c r="R388" s="887">
        <v>3.3</v>
      </c>
      <c r="S388" s="887">
        <v>2</v>
      </c>
      <c r="T388" s="887">
        <v>-0.7</v>
      </c>
      <c r="U388" s="426"/>
      <c r="V388" s="841">
        <v>0.42</v>
      </c>
      <c r="W388" s="887">
        <v>-0.7</v>
      </c>
      <c r="X388" s="887">
        <v>1.2</v>
      </c>
      <c r="Y388" s="887">
        <v>-0.67</v>
      </c>
      <c r="Z388" s="887">
        <v>-0.9</v>
      </c>
      <c r="AA388" s="887">
        <v>0.6</v>
      </c>
      <c r="AB388" s="887">
        <v>0.6</v>
      </c>
      <c r="AC388" s="887">
        <v>-0.1</v>
      </c>
      <c r="AD388" s="214"/>
    </row>
    <row r="389" spans="1:30" ht="15" customHeight="1">
      <c r="A389" s="761"/>
      <c r="B389" s="762"/>
      <c r="C389" s="763">
        <v>11</v>
      </c>
      <c r="D389" s="836">
        <v>0.39</v>
      </c>
      <c r="E389" s="889">
        <v>0.3</v>
      </c>
      <c r="F389" s="889">
        <v>0.4</v>
      </c>
      <c r="G389" s="889">
        <v>-0.7</v>
      </c>
      <c r="H389" s="889">
        <v>-0.6</v>
      </c>
      <c r="I389" s="889">
        <v>-0.3</v>
      </c>
      <c r="J389" s="889">
        <v>-0.4</v>
      </c>
      <c r="K389" s="889">
        <v>0.4</v>
      </c>
      <c r="L389" s="426"/>
      <c r="M389" s="887">
        <v>-0.53900000000000003</v>
      </c>
      <c r="N389" s="887">
        <v>0.8</v>
      </c>
      <c r="O389" s="887">
        <v>-1.7</v>
      </c>
      <c r="P389" s="887">
        <v>-0.6</v>
      </c>
      <c r="Q389" s="887">
        <v>-1.9</v>
      </c>
      <c r="R389" s="887">
        <v>-1.2</v>
      </c>
      <c r="S389" s="887">
        <v>-2</v>
      </c>
      <c r="T389" s="887">
        <v>0.6</v>
      </c>
      <c r="U389" s="426"/>
      <c r="V389" s="841">
        <v>0.4</v>
      </c>
      <c r="W389" s="887">
        <v>0.7</v>
      </c>
      <c r="X389" s="887">
        <v>-0.8</v>
      </c>
      <c r="Y389" s="887">
        <v>0.02</v>
      </c>
      <c r="Z389" s="887">
        <v>1.8</v>
      </c>
      <c r="AA389" s="887">
        <v>2.4</v>
      </c>
      <c r="AB389" s="887">
        <v>1.1000000000000001</v>
      </c>
      <c r="AC389" s="887">
        <v>0.2</v>
      </c>
      <c r="AD389" s="214"/>
    </row>
    <row r="390" spans="1:30" ht="15" customHeight="1">
      <c r="A390" s="846"/>
      <c r="B390" s="847"/>
      <c r="C390" s="848">
        <v>12</v>
      </c>
      <c r="D390" s="866">
        <v>0.49</v>
      </c>
      <c r="E390" s="890">
        <v>-0.8</v>
      </c>
      <c r="F390" s="890">
        <v>0.3</v>
      </c>
      <c r="G390" s="890">
        <v>-0.2</v>
      </c>
      <c r="H390" s="890">
        <v>-0.2</v>
      </c>
      <c r="I390" s="890">
        <v>0.3</v>
      </c>
      <c r="J390" s="890">
        <v>0.9</v>
      </c>
      <c r="K390" s="890">
        <v>0.3</v>
      </c>
      <c r="L390" s="843"/>
      <c r="M390" s="888">
        <v>0.72199999999999998</v>
      </c>
      <c r="N390" s="888">
        <v>-1.5</v>
      </c>
      <c r="O390" s="888">
        <v>-0.3</v>
      </c>
      <c r="P390" s="888">
        <v>-0.3</v>
      </c>
      <c r="Q390" s="888">
        <v>-0.6</v>
      </c>
      <c r="R390" s="888">
        <v>-0.5</v>
      </c>
      <c r="S390" s="888">
        <v>-0.2</v>
      </c>
      <c r="T390" s="888">
        <v>1.5</v>
      </c>
      <c r="U390" s="843"/>
      <c r="V390" s="840">
        <v>0.49</v>
      </c>
      <c r="W390" s="888">
        <v>0.7</v>
      </c>
      <c r="X390" s="888">
        <v>-0.6</v>
      </c>
      <c r="Y390" s="888">
        <v>0.03</v>
      </c>
      <c r="Z390" s="888">
        <v>-0.7</v>
      </c>
      <c r="AA390" s="888">
        <v>-2.8</v>
      </c>
      <c r="AB390" s="888">
        <v>1.3</v>
      </c>
      <c r="AC390" s="888">
        <v>-0.2</v>
      </c>
      <c r="AD390" s="214"/>
    </row>
    <row r="391" spans="1:30" ht="15" customHeight="1">
      <c r="A391" s="1076" t="s">
        <v>798</v>
      </c>
      <c r="B391" s="852">
        <v>2025</v>
      </c>
      <c r="C391" s="853">
        <v>1</v>
      </c>
      <c r="D391" s="837">
        <v>0.65</v>
      </c>
      <c r="E391" s="889">
        <v>0.9</v>
      </c>
      <c r="F391" s="889">
        <v>1.5</v>
      </c>
      <c r="G391" s="889">
        <v>1.5</v>
      </c>
      <c r="H391" s="889">
        <v>-0.3</v>
      </c>
      <c r="I391" s="889">
        <v>-0.4</v>
      </c>
      <c r="J391" s="889">
        <v>0.9</v>
      </c>
      <c r="K391" s="889">
        <v>0.5</v>
      </c>
      <c r="L391" s="859"/>
      <c r="M391" s="887">
        <v>1.7000000000000001E-2</v>
      </c>
      <c r="N391" s="887">
        <v>1</v>
      </c>
      <c r="O391" s="887">
        <v>2</v>
      </c>
      <c r="P391" s="887">
        <v>0.2</v>
      </c>
      <c r="Q391" s="887">
        <v>1.7</v>
      </c>
      <c r="R391" s="887">
        <v>0.4</v>
      </c>
      <c r="S391" s="887">
        <v>0.7</v>
      </c>
      <c r="T391" s="887">
        <v>1.2</v>
      </c>
      <c r="U391" s="426"/>
      <c r="V391" s="862">
        <v>0.65</v>
      </c>
      <c r="W391" s="887">
        <v>-0.4</v>
      </c>
      <c r="X391" s="887">
        <v>0.2</v>
      </c>
      <c r="Y391" s="887">
        <v>0.01</v>
      </c>
      <c r="Z391" s="887">
        <v>0.8</v>
      </c>
      <c r="AA391" s="887">
        <v>-0.2</v>
      </c>
      <c r="AB391" s="887">
        <v>0.6</v>
      </c>
      <c r="AC391" s="887">
        <v>-0.1</v>
      </c>
      <c r="AD391" s="214"/>
    </row>
    <row r="392" spans="1:30" ht="15" customHeight="1">
      <c r="A392" s="761"/>
      <c r="B392" s="762"/>
      <c r="C392" s="763">
        <v>2</v>
      </c>
      <c r="D392" s="836">
        <v>0.46</v>
      </c>
      <c r="E392" s="889">
        <v>-0.4</v>
      </c>
      <c r="F392" s="889">
        <v>0.4</v>
      </c>
      <c r="G392" s="889">
        <v>0.8</v>
      </c>
      <c r="H392" s="889">
        <v>0.6</v>
      </c>
      <c r="I392" s="889">
        <v>1.5</v>
      </c>
      <c r="J392" s="889">
        <v>-2.2999999999999998</v>
      </c>
      <c r="K392" s="889">
        <v>0.4</v>
      </c>
      <c r="L392" s="426"/>
      <c r="M392" s="887">
        <v>5.1999999999999998E-2</v>
      </c>
      <c r="N392" s="887">
        <v>0.4</v>
      </c>
      <c r="O392" s="887">
        <v>0.8</v>
      </c>
      <c r="P392" s="887">
        <v>-0.4</v>
      </c>
      <c r="Q392" s="887">
        <v>0.9</v>
      </c>
      <c r="R392" s="887">
        <v>1</v>
      </c>
      <c r="S392" s="887">
        <v>0.8</v>
      </c>
      <c r="T392" s="887">
        <v>-1.9</v>
      </c>
      <c r="U392" s="426"/>
      <c r="V392" s="841">
        <v>0.46</v>
      </c>
      <c r="W392" s="887">
        <v>0.3</v>
      </c>
      <c r="X392" s="887">
        <v>0.1</v>
      </c>
      <c r="Y392" s="887">
        <v>0.71</v>
      </c>
      <c r="Z392" s="887">
        <v>-0.5</v>
      </c>
      <c r="AA392" s="887">
        <v>-1.7</v>
      </c>
      <c r="AB392" s="887">
        <v>-0.8</v>
      </c>
      <c r="AC392" s="887">
        <v>0.9</v>
      </c>
      <c r="AD392" s="214"/>
    </row>
    <row r="393" spans="1:30" ht="15" customHeight="1">
      <c r="A393" s="761"/>
      <c r="B393" s="762"/>
      <c r="C393" s="763">
        <v>3</v>
      </c>
      <c r="D393" s="836">
        <v>0.62</v>
      </c>
      <c r="E393" s="889">
        <v>-0.1</v>
      </c>
      <c r="F393" s="889">
        <v>-2.8</v>
      </c>
      <c r="G393" s="889">
        <v>-0.8</v>
      </c>
      <c r="H393" s="889">
        <v>-0.1</v>
      </c>
      <c r="I393" s="889">
        <v>-0.2</v>
      </c>
      <c r="J393" s="889">
        <v>0.9</v>
      </c>
      <c r="K393" s="889">
        <v>0.4</v>
      </c>
      <c r="L393" s="426"/>
      <c r="M393" s="887">
        <v>-6.0000000000000001E-3</v>
      </c>
      <c r="N393" s="887">
        <v>0.4</v>
      </c>
      <c r="O393" s="887">
        <v>0.3</v>
      </c>
      <c r="P393" s="887">
        <v>2.9</v>
      </c>
      <c r="Q393" s="887">
        <v>0.3</v>
      </c>
      <c r="R393" s="887">
        <v>-2.1</v>
      </c>
      <c r="S393" s="887">
        <v>0.1</v>
      </c>
      <c r="T393" s="887">
        <v>1.3</v>
      </c>
      <c r="U393" s="426"/>
      <c r="V393" s="841">
        <v>0.64</v>
      </c>
      <c r="W393" s="887">
        <v>-3</v>
      </c>
      <c r="X393" s="887">
        <v>2.2000000000000002</v>
      </c>
      <c r="Y393" s="887">
        <v>-0.71</v>
      </c>
      <c r="Z393" s="887">
        <v>0.2</v>
      </c>
      <c r="AA393" s="887">
        <v>1.8</v>
      </c>
      <c r="AB393" s="887">
        <v>0.4</v>
      </c>
      <c r="AC393" s="887">
        <v>-1.6</v>
      </c>
      <c r="AD393" s="214"/>
    </row>
    <row r="394" spans="1:30" ht="14.25">
      <c r="A394" s="761"/>
      <c r="B394" s="762"/>
      <c r="C394" s="763">
        <v>4</v>
      </c>
      <c r="D394" s="836">
        <v>0.4</v>
      </c>
      <c r="E394" s="889">
        <v>1.7</v>
      </c>
      <c r="F394" s="889">
        <v>4.9000000000000004</v>
      </c>
      <c r="G394" s="889">
        <v>-1.1000000000000001</v>
      </c>
      <c r="H394" s="889">
        <v>3.7</v>
      </c>
      <c r="I394" s="889">
        <v>-1.1000000000000001</v>
      </c>
      <c r="J394" s="889">
        <v>0.5</v>
      </c>
      <c r="K394" s="889">
        <v>0.1</v>
      </c>
      <c r="L394" s="426"/>
      <c r="M394" s="887">
        <v>-0.75600000000000001</v>
      </c>
      <c r="N394" s="887">
        <v>-0.5</v>
      </c>
      <c r="O394" s="887">
        <v>0</v>
      </c>
      <c r="P394" s="887">
        <v>-3.9</v>
      </c>
      <c r="Q394" s="887">
        <v>-2.9</v>
      </c>
      <c r="R394" s="887">
        <v>-0.2</v>
      </c>
      <c r="S394" s="887">
        <v>-3.1</v>
      </c>
      <c r="T394" s="887">
        <v>-1.6</v>
      </c>
      <c r="U394" s="426"/>
      <c r="V394" s="841">
        <v>0.39</v>
      </c>
      <c r="W394" s="887">
        <v>0.1</v>
      </c>
      <c r="X394" s="887">
        <v>-2.9</v>
      </c>
      <c r="Y394" s="887">
        <v>-0.01</v>
      </c>
      <c r="Z394" s="887">
        <v>-0.3</v>
      </c>
      <c r="AA394" s="887">
        <v>-0.1</v>
      </c>
      <c r="AB394" s="887">
        <v>-0.8</v>
      </c>
      <c r="AC394" s="887">
        <v>1.4</v>
      </c>
      <c r="AD394" s="214"/>
    </row>
    <row r="395" spans="1:30" ht="15" customHeight="1">
      <c r="A395" s="761"/>
      <c r="B395" s="762"/>
      <c r="C395" s="763">
        <v>5</v>
      </c>
      <c r="D395" s="836">
        <v>0.71</v>
      </c>
      <c r="E395" s="889">
        <v>-0.3</v>
      </c>
      <c r="F395" s="889">
        <v>0.2</v>
      </c>
      <c r="G395" s="889">
        <v>-0.4</v>
      </c>
      <c r="H395" s="889">
        <v>-2.4</v>
      </c>
      <c r="I395" s="889">
        <v>-5</v>
      </c>
      <c r="J395" s="889">
        <v>-2.4</v>
      </c>
      <c r="K395" s="889">
        <v>0.1</v>
      </c>
      <c r="L395" s="426"/>
      <c r="M395" s="887">
        <v>-0.81899999999999995</v>
      </c>
      <c r="N395" s="887">
        <v>-0.2</v>
      </c>
      <c r="O395" s="887">
        <v>0.5</v>
      </c>
      <c r="P395" s="887">
        <v>-0.2</v>
      </c>
      <c r="Q395" s="887">
        <v>0.1</v>
      </c>
      <c r="R395" s="887">
        <v>0.2</v>
      </c>
      <c r="S395" s="887">
        <v>0.2</v>
      </c>
      <c r="T395" s="887">
        <v>0.5</v>
      </c>
      <c r="U395" s="426"/>
      <c r="V395" s="841">
        <v>0.66</v>
      </c>
      <c r="W395" s="887">
        <v>-0.5</v>
      </c>
      <c r="X395" s="887">
        <v>-0.2</v>
      </c>
      <c r="Y395" s="887">
        <v>-0.04</v>
      </c>
      <c r="Z395" s="887">
        <v>-0.7</v>
      </c>
      <c r="AA395" s="887">
        <v>-1.1000000000000001</v>
      </c>
      <c r="AB395" s="887">
        <v>-0.3</v>
      </c>
      <c r="AC395" s="887">
        <v>0.1</v>
      </c>
      <c r="AD395" s="214"/>
    </row>
    <row r="396" spans="1:30" ht="15" customHeight="1">
      <c r="A396" s="761"/>
      <c r="B396" s="762"/>
      <c r="C396" s="763">
        <v>6</v>
      </c>
      <c r="D396" s="836">
        <v>0.69</v>
      </c>
      <c r="E396" s="889">
        <v>-2.5</v>
      </c>
      <c r="F396" s="889">
        <v>0.2</v>
      </c>
      <c r="G396" s="889">
        <v>4</v>
      </c>
      <c r="H396" s="889">
        <v>0.1</v>
      </c>
      <c r="I396" s="889">
        <v>3.3</v>
      </c>
      <c r="J396" s="889">
        <v>1.5</v>
      </c>
      <c r="K396" s="889">
        <v>-0.1</v>
      </c>
      <c r="L396" s="426"/>
      <c r="M396" s="887">
        <v>-0.16300000000000001</v>
      </c>
      <c r="N396" s="887">
        <v>-1.8</v>
      </c>
      <c r="O396" s="887">
        <v>-0.8</v>
      </c>
      <c r="P396" s="887">
        <v>1</v>
      </c>
      <c r="Q396" s="887">
        <v>0.6</v>
      </c>
      <c r="R396" s="887">
        <v>0</v>
      </c>
      <c r="S396" s="887">
        <v>0.2</v>
      </c>
      <c r="T396" s="887">
        <v>-0.3</v>
      </c>
      <c r="U396" s="426"/>
      <c r="V396" s="841">
        <v>0.64</v>
      </c>
      <c r="W396" s="887">
        <v>-0.8</v>
      </c>
      <c r="X396" s="887">
        <v>0.8</v>
      </c>
      <c r="Y396" s="887">
        <v>-0.04</v>
      </c>
      <c r="Z396" s="887">
        <v>0.6</v>
      </c>
      <c r="AA396" s="887">
        <v>-0.5</v>
      </c>
      <c r="AB396" s="887">
        <v>-0.1</v>
      </c>
      <c r="AC396" s="887">
        <v>-1.1000000000000001</v>
      </c>
      <c r="AD396" s="214"/>
    </row>
    <row r="397" spans="1:30" ht="15" customHeight="1">
      <c r="A397" s="761"/>
      <c r="B397" s="762"/>
      <c r="C397" s="763">
        <v>7</v>
      </c>
      <c r="D397" s="836">
        <v>0.56999999999999995</v>
      </c>
      <c r="E397" s="889">
        <v>-0.3</v>
      </c>
      <c r="F397" s="889">
        <v>-1.8</v>
      </c>
      <c r="G397" s="889">
        <v>-2.2000000000000002</v>
      </c>
      <c r="H397" s="889">
        <v>-0.7</v>
      </c>
      <c r="I397" s="889">
        <v>-1.3</v>
      </c>
      <c r="J397" s="889">
        <v>1</v>
      </c>
      <c r="K397" s="889">
        <v>-0.7</v>
      </c>
      <c r="L397" s="426"/>
      <c r="M397" s="887">
        <v>-2.0579999999999998</v>
      </c>
      <c r="N397" s="887">
        <v>-0.9</v>
      </c>
      <c r="O397" s="887">
        <v>-1.3</v>
      </c>
      <c r="P397" s="887">
        <v>-1.4</v>
      </c>
      <c r="Q397" s="887">
        <v>-0.4</v>
      </c>
      <c r="R397" s="887">
        <v>0.4</v>
      </c>
      <c r="S397" s="887">
        <v>0.4</v>
      </c>
      <c r="T397" s="887">
        <v>0.6</v>
      </c>
      <c r="U397" s="426"/>
      <c r="V397" s="841">
        <v>0.51</v>
      </c>
      <c r="W397" s="887">
        <v>0.4</v>
      </c>
      <c r="X397" s="887">
        <v>-1.2</v>
      </c>
      <c r="Y397" s="887">
        <v>0.62</v>
      </c>
      <c r="Z397" s="887">
        <v>0.9</v>
      </c>
      <c r="AA397" s="887">
        <v>3.1</v>
      </c>
      <c r="AB397" s="887">
        <v>-0.6</v>
      </c>
      <c r="AC397" s="887">
        <v>-1.9</v>
      </c>
      <c r="AD397" s="214"/>
    </row>
    <row r="398" spans="1:30" ht="15" customHeight="1">
      <c r="A398" s="761"/>
      <c r="B398" s="762"/>
      <c r="C398" s="763">
        <v>8</v>
      </c>
      <c r="D398" s="838">
        <v>0.49</v>
      </c>
      <c r="E398" s="889">
        <v>-0.9</v>
      </c>
      <c r="F398" s="889">
        <v>-1</v>
      </c>
      <c r="G398" s="889">
        <v>-0.3</v>
      </c>
      <c r="H398" s="889">
        <v>-1.6</v>
      </c>
      <c r="I398" s="889">
        <v>0</v>
      </c>
      <c r="J398" s="889">
        <v>1.4</v>
      </c>
      <c r="K398" s="889">
        <v>-0.6</v>
      </c>
      <c r="L398" s="426"/>
      <c r="M398" s="887">
        <v>-1.9950000000000001</v>
      </c>
      <c r="N398" s="887">
        <v>-1.3</v>
      </c>
      <c r="O398" s="887">
        <v>0.7</v>
      </c>
      <c r="P398" s="887">
        <v>1</v>
      </c>
      <c r="Q398" s="887">
        <v>0.4</v>
      </c>
      <c r="R398" s="887">
        <v>0.5</v>
      </c>
      <c r="S398" s="887">
        <v>0.7</v>
      </c>
      <c r="T398" s="887">
        <v>-0.9</v>
      </c>
      <c r="U398" s="426"/>
      <c r="V398" s="841">
        <v>0.45</v>
      </c>
      <c r="W398" s="887">
        <v>-1.7</v>
      </c>
      <c r="X398" s="887">
        <v>0.8</v>
      </c>
      <c r="Y398" s="887">
        <v>-1.39</v>
      </c>
      <c r="Z398" s="887">
        <v>-1.2</v>
      </c>
      <c r="AA398" s="887">
        <v>-3.7</v>
      </c>
      <c r="AB398" s="887">
        <v>-1</v>
      </c>
      <c r="AC398" s="887">
        <v>1.6</v>
      </c>
      <c r="AD398" s="214"/>
    </row>
    <row r="399" spans="1:30" ht="15" customHeight="1">
      <c r="A399" s="761"/>
      <c r="B399" s="762"/>
      <c r="C399" s="763">
        <v>9</v>
      </c>
      <c r="D399" s="838">
        <v>0.53</v>
      </c>
      <c r="E399" s="889">
        <v>1.5</v>
      </c>
      <c r="F399" s="889">
        <v>1.1000000000000001</v>
      </c>
      <c r="G399" s="889">
        <v>0.1</v>
      </c>
      <c r="H399" s="889">
        <v>1.9</v>
      </c>
      <c r="I399" s="889">
        <v>1.6</v>
      </c>
      <c r="J399" s="889">
        <v>-0.9</v>
      </c>
      <c r="K399" s="889">
        <v>-0.6</v>
      </c>
      <c r="L399" s="426"/>
      <c r="M399" s="887">
        <v>-0.70599999999999996</v>
      </c>
      <c r="N399" s="887">
        <v>-1.2</v>
      </c>
      <c r="O399" s="887">
        <v>-1</v>
      </c>
      <c r="P399" s="887">
        <v>-0.6</v>
      </c>
      <c r="Q399" s="887">
        <v>1</v>
      </c>
      <c r="R399" s="887">
        <v>1.4</v>
      </c>
      <c r="S399" s="887">
        <v>-0.1</v>
      </c>
      <c r="T399" s="887">
        <v>0.6</v>
      </c>
      <c r="U399" s="426"/>
      <c r="V399" s="841">
        <v>0.48</v>
      </c>
      <c r="W399" s="887">
        <v>-0.9</v>
      </c>
      <c r="X399" s="887">
        <v>-0.6</v>
      </c>
      <c r="Y399" s="887">
        <v>-0.05</v>
      </c>
      <c r="Z399" s="887">
        <v>-0.5</v>
      </c>
      <c r="AA399" s="887">
        <v>2.2000000000000002</v>
      </c>
      <c r="AB399" s="887">
        <v>1.8</v>
      </c>
      <c r="AC399" s="887">
        <v>-0.9</v>
      </c>
      <c r="AD399" s="214"/>
    </row>
    <row r="400" spans="1:30" ht="15" customHeight="1">
      <c r="A400" s="761"/>
      <c r="B400" s="762"/>
      <c r="C400" s="763">
        <v>10</v>
      </c>
      <c r="D400" s="838">
        <v>0.5</v>
      </c>
      <c r="E400" s="889">
        <v>-1.4</v>
      </c>
      <c r="F400" s="889">
        <v>0.9</v>
      </c>
      <c r="G400" s="889">
        <v>-0.1</v>
      </c>
      <c r="H400" s="889">
        <v>-2.7</v>
      </c>
      <c r="I400" s="889">
        <v>0.6</v>
      </c>
      <c r="J400" s="889">
        <v>-1.4</v>
      </c>
      <c r="K400" s="889">
        <v>1.5</v>
      </c>
      <c r="L400" s="426"/>
      <c r="M400" s="887">
        <v>-0.68500000000000005</v>
      </c>
      <c r="N400" s="887">
        <v>-0.6</v>
      </c>
      <c r="O400" s="887">
        <v>-0.3</v>
      </c>
      <c r="P400" s="887">
        <v>-0.3</v>
      </c>
      <c r="Q400" s="887">
        <v>0.3</v>
      </c>
      <c r="R400" s="887">
        <v>0.7</v>
      </c>
      <c r="S400" s="887">
        <v>0.3</v>
      </c>
      <c r="T400" s="887">
        <v>1.1000000000000001</v>
      </c>
      <c r="U400" s="426"/>
      <c r="V400" s="841">
        <v>0.45</v>
      </c>
      <c r="W400" s="887">
        <v>0.8</v>
      </c>
      <c r="X400" s="887">
        <v>-0.3</v>
      </c>
      <c r="Y400" s="887">
        <v>-0.06</v>
      </c>
      <c r="Z400" s="887">
        <v>1.1000000000000001</v>
      </c>
      <c r="AA400" s="887">
        <v>-0.4</v>
      </c>
      <c r="AB400" s="887">
        <v>0.1</v>
      </c>
      <c r="AC400" s="887">
        <v>0.7</v>
      </c>
      <c r="AD400" s="214"/>
    </row>
    <row r="401" spans="1:30" ht="15" customHeight="1">
      <c r="A401" s="761"/>
      <c r="B401" s="762"/>
      <c r="C401" s="763">
        <v>11</v>
      </c>
      <c r="D401" s="838">
        <v>0.5</v>
      </c>
      <c r="E401" s="889">
        <v>-2.1</v>
      </c>
      <c r="F401" s="889">
        <v>0.7</v>
      </c>
      <c r="G401" s="889">
        <v>-0.3</v>
      </c>
      <c r="H401" s="889">
        <v>1.3</v>
      </c>
      <c r="I401" s="889">
        <v>1.2</v>
      </c>
      <c r="J401" s="889">
        <v>0.5</v>
      </c>
      <c r="K401" s="889">
        <v>1.4</v>
      </c>
      <c r="L401" s="426"/>
      <c r="M401" s="887">
        <v>-0.66900000000000004</v>
      </c>
      <c r="N401" s="887">
        <v>1.7</v>
      </c>
      <c r="O401" s="887">
        <v>2.5</v>
      </c>
      <c r="P401" s="887">
        <v>0.9</v>
      </c>
      <c r="Q401" s="887">
        <v>0.5</v>
      </c>
      <c r="R401" s="887">
        <v>0.9</v>
      </c>
      <c r="S401" s="887">
        <v>-0.3</v>
      </c>
      <c r="T401" s="887">
        <v>-0.4</v>
      </c>
      <c r="U401" s="426"/>
      <c r="V401" s="841">
        <v>0.46</v>
      </c>
      <c r="W401" s="887">
        <v>1.3</v>
      </c>
      <c r="X401" s="887">
        <v>0.5</v>
      </c>
      <c r="Y401" s="887">
        <v>-0.05</v>
      </c>
      <c r="Z401" s="887">
        <v>-0.2</v>
      </c>
      <c r="AA401" s="887">
        <v>1.5</v>
      </c>
      <c r="AB401" s="887">
        <v>0.1</v>
      </c>
      <c r="AC401" s="887">
        <v>-0.9</v>
      </c>
      <c r="AD401" s="214"/>
    </row>
    <row r="402" spans="1:30" ht="15" customHeight="1">
      <c r="A402" s="846"/>
      <c r="B402" s="847"/>
      <c r="C402" s="848">
        <v>12</v>
      </c>
      <c r="D402" s="866">
        <v>0.46</v>
      </c>
      <c r="E402" s="890">
        <v>3.3</v>
      </c>
      <c r="F402" s="890">
        <v>-2</v>
      </c>
      <c r="G402" s="890">
        <v>-0.4</v>
      </c>
      <c r="H402" s="890">
        <v>0.2</v>
      </c>
      <c r="I402" s="890">
        <v>-0.7</v>
      </c>
      <c r="J402" s="890">
        <v>0</v>
      </c>
      <c r="K402" s="890">
        <v>1.5</v>
      </c>
      <c r="L402" s="843"/>
      <c r="M402" s="888">
        <v>-2.1000000000000001E-2</v>
      </c>
      <c r="N402" s="888">
        <v>-0.9</v>
      </c>
      <c r="O402" s="888">
        <v>-1.2</v>
      </c>
      <c r="P402" s="888">
        <v>-0.8</v>
      </c>
      <c r="Q402" s="888">
        <v>-1.8</v>
      </c>
      <c r="R402" s="888">
        <v>-2.2999999999999998</v>
      </c>
      <c r="S402" s="888">
        <v>-1.1000000000000001</v>
      </c>
      <c r="T402" s="888">
        <v>0.4</v>
      </c>
      <c r="U402" s="843"/>
      <c r="V402" s="840">
        <v>0.41</v>
      </c>
      <c r="W402" s="888">
        <v>-0.8</v>
      </c>
      <c r="X402" s="888">
        <v>-0.7</v>
      </c>
      <c r="Y402" s="888">
        <v>-0.06</v>
      </c>
      <c r="Z402" s="888">
        <v>-1.1000000000000001</v>
      </c>
      <c r="AA402" s="888">
        <v>-0.4</v>
      </c>
      <c r="AB402" s="888">
        <v>-1.3</v>
      </c>
      <c r="AC402" s="888">
        <v>1.8</v>
      </c>
      <c r="AD402" s="214"/>
    </row>
    <row r="403" spans="1:30" ht="15" customHeight="1">
      <c r="A403" s="1076" t="s">
        <v>816</v>
      </c>
      <c r="B403" s="852">
        <v>2026</v>
      </c>
      <c r="C403" s="853">
        <v>1</v>
      </c>
      <c r="D403" s="837">
        <v>0.39</v>
      </c>
      <c r="E403" s="889">
        <v>-1.7</v>
      </c>
      <c r="F403" s="889">
        <v>1.1000000000000001</v>
      </c>
      <c r="G403" s="889">
        <v>0</v>
      </c>
      <c r="H403" s="889">
        <v>-1</v>
      </c>
      <c r="I403" s="889">
        <v>2.7</v>
      </c>
      <c r="J403" s="889">
        <v>2</v>
      </c>
      <c r="K403" s="889">
        <v>1.3</v>
      </c>
      <c r="L403" s="859"/>
      <c r="M403" s="887">
        <v>1.254</v>
      </c>
      <c r="N403" s="887">
        <v>2.2000000000000002</v>
      </c>
      <c r="O403" s="887">
        <v>-1</v>
      </c>
      <c r="P403" s="887">
        <v>1.6</v>
      </c>
      <c r="Q403" s="887">
        <v>2.2000000000000002</v>
      </c>
      <c r="R403" s="887">
        <v>1.8</v>
      </c>
      <c r="S403" s="887">
        <v>2.1</v>
      </c>
      <c r="T403" s="887">
        <v>0.3</v>
      </c>
      <c r="U403" s="426"/>
      <c r="V403" s="862">
        <v>0.34</v>
      </c>
      <c r="W403" s="887">
        <v>-1.2</v>
      </c>
      <c r="X403" s="887">
        <v>1.3</v>
      </c>
      <c r="Y403" s="887">
        <v>-0.69</v>
      </c>
      <c r="Z403" s="887">
        <v>0.7</v>
      </c>
      <c r="AA403" s="887">
        <v>-2.1</v>
      </c>
      <c r="AB403" s="887">
        <v>-2.2999999999999998</v>
      </c>
      <c r="AC403" s="887">
        <v>-3.6</v>
      </c>
      <c r="AD403" s="214"/>
    </row>
    <row r="404" spans="1:30" ht="15" customHeight="1">
      <c r="A404" s="761"/>
      <c r="B404" s="762"/>
      <c r="C404" s="763">
        <v>2</v>
      </c>
      <c r="D404" s="836">
        <v>0.37</v>
      </c>
      <c r="E404" s="889">
        <v>-0.9</v>
      </c>
      <c r="F404" s="889">
        <v>-0.1</v>
      </c>
      <c r="G404" s="889">
        <v>-0.6</v>
      </c>
      <c r="H404" s="889">
        <v>2.1</v>
      </c>
      <c r="I404" s="889">
        <v>-4.5</v>
      </c>
      <c r="J404" s="889">
        <v>-0.5</v>
      </c>
      <c r="K404" s="889">
        <v>1.3</v>
      </c>
      <c r="L404" s="426"/>
      <c r="M404" s="887">
        <v>1.32</v>
      </c>
      <c r="N404" s="887">
        <v>0.3</v>
      </c>
      <c r="O404" s="887">
        <v>2.2000000000000002</v>
      </c>
      <c r="P404" s="887">
        <v>-2.2000000000000002</v>
      </c>
      <c r="Q404" s="887">
        <v>0</v>
      </c>
      <c r="R404" s="887">
        <v>1.9</v>
      </c>
      <c r="S404" s="887">
        <v>0.5</v>
      </c>
      <c r="T404" s="887">
        <v>-0.3</v>
      </c>
      <c r="U404" s="426"/>
      <c r="V404" s="841">
        <v>0.34</v>
      </c>
      <c r="W404" s="887">
        <v>-1.3</v>
      </c>
      <c r="X404" s="887">
        <v>-2.4</v>
      </c>
      <c r="Y404" s="887">
        <v>0.6</v>
      </c>
      <c r="Z404" s="887">
        <v>0</v>
      </c>
      <c r="AA404" s="887">
        <v>-1.8</v>
      </c>
      <c r="AB404" s="887">
        <v>0.1</v>
      </c>
      <c r="AC404" s="887">
        <v>2.7</v>
      </c>
      <c r="AD404" s="214"/>
    </row>
    <row r="405" spans="1:30" ht="15" customHeight="1">
      <c r="A405" s="761"/>
      <c r="B405" s="762"/>
      <c r="C405" s="763">
        <v>3</v>
      </c>
      <c r="D405" s="836">
        <v>0.53</v>
      </c>
      <c r="E405" s="889">
        <v>0.8</v>
      </c>
      <c r="F405" s="889">
        <v>3.4</v>
      </c>
      <c r="G405" s="889">
        <v>0.4</v>
      </c>
      <c r="H405" s="889">
        <v>-1.6</v>
      </c>
      <c r="I405" s="889">
        <v>-4.4000000000000004</v>
      </c>
      <c r="J405" s="889">
        <v>0</v>
      </c>
      <c r="K405" s="889">
        <v>1.3</v>
      </c>
      <c r="L405" s="426"/>
      <c r="M405" s="887">
        <v>-1.319</v>
      </c>
      <c r="N405" s="887">
        <v>-2.4</v>
      </c>
      <c r="O405" s="887">
        <v>-0.3</v>
      </c>
      <c r="P405" s="887">
        <v>2.6</v>
      </c>
      <c r="Q405" s="887">
        <v>1.1000000000000001</v>
      </c>
      <c r="R405" s="887">
        <v>-0.4</v>
      </c>
      <c r="S405" s="887">
        <v>1.2</v>
      </c>
      <c r="T405" s="887">
        <v>0.4</v>
      </c>
      <c r="U405" s="426"/>
      <c r="V405" s="841">
        <v>0.49</v>
      </c>
      <c r="W405" s="887">
        <v>0.4</v>
      </c>
      <c r="X405" s="887">
        <v>2.7</v>
      </c>
      <c r="Y405" s="887">
        <v>-0.64</v>
      </c>
      <c r="Z405" s="887">
        <v>-0.7</v>
      </c>
      <c r="AA405" s="887">
        <v>1.3</v>
      </c>
      <c r="AB405" s="887">
        <v>1</v>
      </c>
      <c r="AC405" s="887">
        <v>-0.8</v>
      </c>
      <c r="AD405" s="214"/>
    </row>
    <row r="406" spans="1:30" ht="15" customHeight="1">
      <c r="A406" s="761"/>
      <c r="B406" s="762"/>
      <c r="C406" s="763">
        <v>4</v>
      </c>
      <c r="D406" s="836"/>
      <c r="E406" s="889"/>
      <c r="F406" s="889"/>
      <c r="G406" s="889"/>
      <c r="H406" s="889"/>
      <c r="I406" s="889"/>
      <c r="J406" s="889"/>
      <c r="K406" s="889"/>
      <c r="L406" s="426"/>
      <c r="M406" s="887"/>
      <c r="N406" s="887"/>
      <c r="O406" s="887"/>
      <c r="P406" s="887"/>
      <c r="Q406" s="887"/>
      <c r="R406" s="887"/>
      <c r="S406" s="887"/>
      <c r="T406" s="887"/>
      <c r="U406" s="426"/>
      <c r="V406" s="841"/>
      <c r="W406" s="887"/>
      <c r="X406" s="887"/>
      <c r="Y406" s="887"/>
      <c r="Z406" s="887"/>
      <c r="AA406" s="887"/>
      <c r="AB406" s="887"/>
      <c r="AC406" s="887"/>
      <c r="AD406" s="214"/>
    </row>
    <row r="407" spans="1:30" ht="15" customHeight="1">
      <c r="A407" s="761"/>
      <c r="B407" s="762"/>
      <c r="C407" s="763">
        <v>5</v>
      </c>
      <c r="D407" s="836"/>
      <c r="E407" s="889"/>
      <c r="F407" s="889"/>
      <c r="G407" s="889"/>
      <c r="H407" s="889"/>
      <c r="I407" s="889"/>
      <c r="J407" s="889"/>
      <c r="K407" s="889"/>
      <c r="L407" s="426"/>
      <c r="M407" s="887"/>
      <c r="N407" s="887"/>
      <c r="O407" s="887"/>
      <c r="P407" s="887"/>
      <c r="Q407" s="887"/>
      <c r="R407" s="887"/>
      <c r="S407" s="887"/>
      <c r="T407" s="887"/>
      <c r="U407" s="426"/>
      <c r="V407" s="841"/>
      <c r="W407" s="887"/>
      <c r="X407" s="887"/>
      <c r="Y407" s="887"/>
      <c r="Z407" s="887"/>
      <c r="AA407" s="887"/>
      <c r="AB407" s="887"/>
      <c r="AC407" s="887"/>
      <c r="AD407" s="214"/>
    </row>
    <row r="408" spans="1:30" ht="15" customHeight="1">
      <c r="A408" s="761"/>
      <c r="B408" s="762"/>
      <c r="C408" s="763">
        <v>6</v>
      </c>
      <c r="D408" s="836"/>
      <c r="E408" s="889"/>
      <c r="F408" s="889"/>
      <c r="G408" s="889"/>
      <c r="H408" s="889"/>
      <c r="I408" s="889"/>
      <c r="J408" s="889"/>
      <c r="K408" s="889"/>
      <c r="L408" s="426"/>
      <c r="M408" s="887"/>
      <c r="N408" s="887"/>
      <c r="O408" s="887"/>
      <c r="P408" s="887"/>
      <c r="Q408" s="887"/>
      <c r="R408" s="887"/>
      <c r="S408" s="887"/>
      <c r="T408" s="887"/>
      <c r="U408" s="426"/>
      <c r="V408" s="841"/>
      <c r="W408" s="887"/>
      <c r="X408" s="887"/>
      <c r="Y408" s="887"/>
      <c r="Z408" s="887"/>
      <c r="AA408" s="887"/>
      <c r="AB408" s="887"/>
      <c r="AC408" s="887"/>
      <c r="AD408" s="214"/>
    </row>
    <row r="409" spans="1:30" ht="15" customHeight="1">
      <c r="A409" s="761"/>
      <c r="B409" s="762"/>
      <c r="C409" s="763">
        <v>7</v>
      </c>
      <c r="D409" s="836"/>
      <c r="E409" s="889"/>
      <c r="F409" s="889"/>
      <c r="G409" s="889"/>
      <c r="H409" s="889"/>
      <c r="I409" s="889"/>
      <c r="J409" s="889"/>
      <c r="K409" s="889"/>
      <c r="L409" s="426"/>
      <c r="M409" s="887"/>
      <c r="N409" s="887"/>
      <c r="O409" s="887"/>
      <c r="P409" s="887"/>
      <c r="Q409" s="887"/>
      <c r="R409" s="887"/>
      <c r="S409" s="887"/>
      <c r="T409" s="887"/>
      <c r="U409" s="426"/>
      <c r="V409" s="841"/>
      <c r="W409" s="887"/>
      <c r="X409" s="887"/>
      <c r="Y409" s="887"/>
      <c r="Z409" s="887"/>
      <c r="AA409" s="887"/>
      <c r="AB409" s="887"/>
      <c r="AC409" s="887"/>
      <c r="AD409" s="214"/>
    </row>
    <row r="410" spans="1:30" ht="15" customHeight="1">
      <c r="A410" s="761"/>
      <c r="B410" s="762"/>
      <c r="C410" s="763">
        <v>8</v>
      </c>
      <c r="D410" s="838"/>
      <c r="E410" s="889"/>
      <c r="F410" s="889"/>
      <c r="G410" s="889"/>
      <c r="H410" s="889"/>
      <c r="I410" s="889"/>
      <c r="J410" s="889"/>
      <c r="K410" s="889"/>
      <c r="L410" s="426"/>
      <c r="M410" s="887"/>
      <c r="N410" s="887"/>
      <c r="O410" s="887"/>
      <c r="P410" s="887"/>
      <c r="Q410" s="887"/>
      <c r="R410" s="887"/>
      <c r="S410" s="887"/>
      <c r="T410" s="887"/>
      <c r="U410" s="426"/>
      <c r="V410" s="841"/>
      <c r="W410" s="887"/>
      <c r="X410" s="887"/>
      <c r="Y410" s="887"/>
      <c r="Z410" s="887"/>
      <c r="AA410" s="887"/>
      <c r="AB410" s="887"/>
      <c r="AC410" s="887"/>
      <c r="AD410" s="214"/>
    </row>
    <row r="411" spans="1:30" ht="15" customHeight="1">
      <c r="A411" s="761"/>
      <c r="B411" s="762"/>
      <c r="C411" s="763">
        <v>9</v>
      </c>
      <c r="D411" s="838"/>
      <c r="E411" s="889"/>
      <c r="F411" s="889"/>
      <c r="G411" s="889"/>
      <c r="H411" s="889"/>
      <c r="I411" s="889"/>
      <c r="J411" s="889"/>
      <c r="K411" s="889"/>
      <c r="L411" s="426"/>
      <c r="M411" s="887"/>
      <c r="N411" s="887"/>
      <c r="O411" s="887"/>
      <c r="P411" s="887"/>
      <c r="Q411" s="887"/>
      <c r="R411" s="887"/>
      <c r="S411" s="887"/>
      <c r="T411" s="887"/>
      <c r="U411" s="426"/>
      <c r="V411" s="841"/>
      <c r="W411" s="887"/>
      <c r="X411" s="887"/>
      <c r="Y411" s="887"/>
      <c r="Z411" s="887"/>
      <c r="AA411" s="887"/>
      <c r="AB411" s="887"/>
      <c r="AC411" s="887"/>
      <c r="AD411" s="214"/>
    </row>
    <row r="412" spans="1:30" ht="15" customHeight="1">
      <c r="A412" s="761"/>
      <c r="B412" s="762"/>
      <c r="C412" s="763">
        <v>10</v>
      </c>
      <c r="D412" s="838"/>
      <c r="E412" s="889"/>
      <c r="F412" s="889"/>
      <c r="G412" s="889"/>
      <c r="H412" s="889"/>
      <c r="I412" s="889"/>
      <c r="J412" s="889"/>
      <c r="K412" s="889"/>
      <c r="L412" s="426"/>
      <c r="M412" s="887"/>
      <c r="N412" s="887"/>
      <c r="O412" s="887"/>
      <c r="P412" s="887"/>
      <c r="Q412" s="887"/>
      <c r="R412" s="887"/>
      <c r="S412" s="887"/>
      <c r="T412" s="887"/>
      <c r="U412" s="426"/>
      <c r="V412" s="841"/>
      <c r="W412" s="887"/>
      <c r="X412" s="887"/>
      <c r="Y412" s="887"/>
      <c r="Z412" s="887"/>
      <c r="AA412" s="887"/>
      <c r="AB412" s="887"/>
      <c r="AC412" s="887"/>
      <c r="AD412" s="214"/>
    </row>
    <row r="413" spans="1:30" ht="15" customHeight="1">
      <c r="A413" s="761"/>
      <c r="B413" s="762"/>
      <c r="C413" s="763">
        <v>11</v>
      </c>
      <c r="D413" s="838"/>
      <c r="E413" s="889"/>
      <c r="F413" s="889"/>
      <c r="G413" s="889"/>
      <c r="H413" s="889"/>
      <c r="I413" s="889"/>
      <c r="J413" s="889"/>
      <c r="K413" s="889"/>
      <c r="L413" s="426"/>
      <c r="M413" s="887"/>
      <c r="N413" s="887"/>
      <c r="O413" s="887"/>
      <c r="P413" s="887"/>
      <c r="Q413" s="887"/>
      <c r="R413" s="887"/>
      <c r="S413" s="887"/>
      <c r="T413" s="887"/>
      <c r="U413" s="426"/>
      <c r="V413" s="841"/>
      <c r="W413" s="887"/>
      <c r="X413" s="887"/>
      <c r="Y413" s="887"/>
      <c r="Z413" s="887"/>
      <c r="AA413" s="887"/>
      <c r="AB413" s="887"/>
      <c r="AC413" s="887"/>
      <c r="AD413" s="214"/>
    </row>
    <row r="414" spans="1:30" ht="15" customHeight="1">
      <c r="A414" s="846"/>
      <c r="B414" s="847"/>
      <c r="C414" s="848">
        <v>12</v>
      </c>
      <c r="D414" s="866"/>
      <c r="E414" s="890"/>
      <c r="F414" s="890"/>
      <c r="G414" s="890"/>
      <c r="H414" s="890"/>
      <c r="I414" s="890"/>
      <c r="J414" s="890"/>
      <c r="K414" s="890"/>
      <c r="L414" s="843"/>
      <c r="M414" s="888"/>
      <c r="N414" s="888"/>
      <c r="O414" s="888"/>
      <c r="P414" s="888"/>
      <c r="Q414" s="888"/>
      <c r="R414" s="888"/>
      <c r="S414" s="888"/>
      <c r="T414" s="888"/>
      <c r="U414" s="843"/>
      <c r="V414" s="840"/>
      <c r="W414" s="888"/>
      <c r="X414" s="888"/>
      <c r="Y414" s="888"/>
      <c r="Z414" s="888"/>
      <c r="AA414" s="888"/>
      <c r="AB414" s="888"/>
      <c r="AC414" s="888"/>
      <c r="AD414" s="214"/>
    </row>
    <row r="415" spans="1:30" ht="15" customHeight="1">
      <c r="A415" s="1076" t="s">
        <v>817</v>
      </c>
      <c r="B415" s="852">
        <v>2027</v>
      </c>
      <c r="C415" s="853">
        <v>1</v>
      </c>
      <c r="D415" s="865"/>
      <c r="E415" s="1320"/>
      <c r="F415" s="1320"/>
      <c r="G415" s="1320"/>
      <c r="H415" s="1320"/>
      <c r="I415" s="1320"/>
      <c r="J415" s="1320"/>
      <c r="K415" s="1320"/>
      <c r="L415" s="356"/>
      <c r="M415" s="1321"/>
      <c r="N415" s="1321"/>
      <c r="O415" s="1321"/>
      <c r="P415" s="1321"/>
      <c r="Q415" s="1321"/>
      <c r="R415" s="1321"/>
      <c r="S415" s="1321"/>
      <c r="T415" s="1321"/>
      <c r="U415" s="356"/>
      <c r="V415" s="865"/>
      <c r="W415" s="1321"/>
      <c r="X415" s="1321"/>
      <c r="Y415" s="1321"/>
      <c r="Z415" s="887"/>
      <c r="AA415" s="887"/>
      <c r="AB415" s="887"/>
      <c r="AC415" s="887"/>
      <c r="AD415" s="214"/>
    </row>
    <row r="416" spans="1:30" ht="15" customHeight="1">
      <c r="A416" s="427"/>
      <c r="B416" s="428"/>
      <c r="C416" s="214"/>
      <c r="D416" s="214"/>
      <c r="E416" s="214"/>
      <c r="F416" s="214"/>
      <c r="G416" s="214"/>
      <c r="H416" s="214"/>
      <c r="I416" s="214"/>
      <c r="J416" s="214"/>
      <c r="K416" s="214"/>
      <c r="L416" s="214"/>
      <c r="M416" s="214"/>
      <c r="N416" s="214"/>
      <c r="O416" s="214"/>
      <c r="P416" s="214"/>
      <c r="Q416" s="214"/>
      <c r="R416" s="214"/>
      <c r="S416" s="214"/>
      <c r="T416" s="214"/>
      <c r="U416" s="214"/>
      <c r="V416" s="244" t="s">
        <v>719</v>
      </c>
      <c r="W416" s="214"/>
      <c r="X416" s="214"/>
      <c r="Y416" s="214"/>
      <c r="Z416" s="426"/>
      <c r="AA416" s="426"/>
      <c r="AB416" s="426"/>
      <c r="AC416" s="426"/>
      <c r="AD416" s="214"/>
    </row>
    <row r="417" spans="1:31" ht="14.25">
      <c r="A417" s="427"/>
      <c r="B417" s="428"/>
      <c r="C417" s="214"/>
      <c r="D417" s="214"/>
      <c r="E417" s="214"/>
      <c r="F417" s="214"/>
      <c r="G417" s="214"/>
      <c r="H417" s="214"/>
      <c r="I417" s="214"/>
      <c r="J417" s="214"/>
      <c r="K417" s="214"/>
      <c r="L417" s="214"/>
      <c r="M417" s="214"/>
      <c r="N417" s="214"/>
      <c r="O417" s="214"/>
      <c r="P417" s="214"/>
      <c r="Q417" s="214"/>
      <c r="R417" s="214"/>
      <c r="S417" s="214"/>
      <c r="T417" s="214"/>
      <c r="U417" s="214"/>
      <c r="V417" s="214"/>
      <c r="W417" s="214"/>
      <c r="X417" s="214"/>
      <c r="Y417" s="214"/>
      <c r="Z417" s="429"/>
      <c r="AA417" s="429"/>
      <c r="AB417" s="429"/>
      <c r="AC417" s="429"/>
      <c r="AD417" s="214"/>
    </row>
    <row r="418" spans="1:31" ht="15" thickBot="1">
      <c r="A418" s="427"/>
      <c r="B418" s="428"/>
      <c r="C418" s="214"/>
      <c r="D418" s="214"/>
      <c r="E418" s="214"/>
      <c r="F418" s="214"/>
      <c r="G418" s="214"/>
      <c r="H418" s="214"/>
      <c r="I418" s="214"/>
      <c r="J418" s="214"/>
      <c r="K418" s="214"/>
      <c r="L418" s="214"/>
      <c r="M418" s="214"/>
      <c r="N418" s="214"/>
      <c r="O418" s="214"/>
      <c r="P418" s="214"/>
      <c r="Q418" s="214"/>
      <c r="R418" s="214"/>
      <c r="S418" s="214"/>
      <c r="T418" s="214"/>
      <c r="U418" s="214"/>
      <c r="V418" s="214"/>
      <c r="W418" s="214"/>
      <c r="X418" s="214"/>
      <c r="Y418" s="214"/>
      <c r="Z418" s="430"/>
      <c r="AA418" s="430"/>
      <c r="AB418" s="430"/>
      <c r="AC418" s="430"/>
      <c r="AD418" s="214"/>
    </row>
    <row r="419" spans="1:31" ht="15" thickBot="1">
      <c r="A419" s="1759" t="s">
        <v>309</v>
      </c>
      <c r="B419" s="1760"/>
      <c r="C419" s="1760"/>
      <c r="D419" s="755">
        <f ca="1">INDIRECT("R"&amp;(初期登録!$B$10+30)*12+初期登録!$D$10+5-64&amp;"C"&amp;COLUMN(),FALSE)</f>
        <v>0.5</v>
      </c>
      <c r="E419" s="205">
        <f ca="1">INDIRECT("R"&amp;(初期登録!$B$10+30)*12+初期登録!$D$10+5-64&amp;"C"&amp;COLUMN(),FALSE)</f>
        <v>-1.4</v>
      </c>
      <c r="F419" s="204">
        <f ca="1">INDIRECT("R"&amp;(初期登録!$B$10+30)*12+初期登録!$D$10+5-64&amp;"C"&amp;COLUMN(),FALSE)</f>
        <v>0.9</v>
      </c>
      <c r="G419" s="204">
        <f ca="1">INDIRECT("R"&amp;(初期登録!$B$10+30)*12+初期登録!$D$10+5-64&amp;"C"&amp;COLUMN(),FALSE)</f>
        <v>-0.1</v>
      </c>
      <c r="H419" s="204">
        <f ca="1">INDIRECT("R"&amp;(初期登録!$B$10+30)*12+初期登録!$D$10+5-64&amp;"C"&amp;COLUMN(),FALSE)</f>
        <v>-2.7</v>
      </c>
      <c r="I419" s="204">
        <f ca="1">INDIRECT("R"&amp;(初期登録!$B$10+30)*12+初期登録!$D$10+5-64&amp;"C"&amp;COLUMN(),FALSE)</f>
        <v>0.6</v>
      </c>
      <c r="J419" s="204">
        <f ca="1">INDIRECT("R"&amp;(初期登録!$B$10+30)*12+初期登録!$D$10+5-64&amp;"C"&amp;COLUMN(),FALSE)</f>
        <v>-1.4</v>
      </c>
      <c r="K419" s="204">
        <f ca="1">INDIRECT("R"&amp;(初期登録!$B$10+30)*12+初期登録!$D$10+5-64&amp;"C"&amp;COLUMN(),FALSE)</f>
        <v>1.5</v>
      </c>
      <c r="L419" s="860"/>
      <c r="M419" s="204">
        <f ca="1">INDIRECT("R"&amp;(初期登録!$B$10+30)*12+初期登録!$D$10+5-64&amp;"C"&amp;COLUMN(),FALSE)</f>
        <v>-0.68500000000000005</v>
      </c>
      <c r="N419" s="204">
        <f ca="1">INDIRECT("R"&amp;(初期登録!$B$10+30)*12+初期登録!$D$10+5-64&amp;"C"&amp;COLUMN(),FALSE)</f>
        <v>-0.6</v>
      </c>
      <c r="O419" s="204">
        <f ca="1">INDIRECT("R"&amp;(初期登録!$B$10+30)*12+初期登録!$D$10+5-64&amp;"C"&amp;COLUMN(),FALSE)</f>
        <v>-0.3</v>
      </c>
      <c r="P419" s="204">
        <f ca="1">INDIRECT("R"&amp;(初期登録!$B$10+30)*12+初期登録!$D$10+5-64&amp;"C"&amp;COLUMN(),FALSE)</f>
        <v>-0.3</v>
      </c>
      <c r="Q419" s="204">
        <f ca="1">INDIRECT("R"&amp;(初期登録!$B$10+30)*12+初期登録!$D$10+5-64&amp;"C"&amp;COLUMN(),FALSE)</f>
        <v>0.3</v>
      </c>
      <c r="R419" s="204">
        <f ca="1">INDIRECT("R"&amp;(初期登録!$B$10+30)*12+初期登録!$D$10+5-64&amp;"C"&amp;COLUMN(),FALSE)</f>
        <v>0.7</v>
      </c>
      <c r="S419" s="204">
        <f ca="1">INDIRECT("R"&amp;(初期登録!$B$10+30)*12+初期登録!$D$10+5-64&amp;"C"&amp;COLUMN(),FALSE)</f>
        <v>0.3</v>
      </c>
      <c r="T419" s="204">
        <f ca="1">INDIRECT("R"&amp;(初期登録!$B$10+30)*12+初期登録!$D$10+5-64&amp;"C"&amp;COLUMN(),FALSE)</f>
        <v>1.1000000000000001</v>
      </c>
      <c r="U419" s="860"/>
      <c r="V419" s="756">
        <f ca="1">INDIRECT("R"&amp;(初期登録!$B$10+30)*12+初期登録!$D$10+5-64&amp;"C"&amp;COLUMN(),FALSE)</f>
        <v>0.45</v>
      </c>
      <c r="W419" s="205">
        <f ca="1">INDIRECT("R"&amp;(初期登録!$B$10+30)*12+初期登録!$D$10+5-64&amp;"C"&amp;COLUMN(),FALSE)</f>
        <v>0.8</v>
      </c>
      <c r="X419" s="204">
        <f ca="1">INDIRECT("R"&amp;(初期登録!$B$10+30)*12+初期登録!$D$10+5-64&amp;"C"&amp;COLUMN(),FALSE)</f>
        <v>-0.3</v>
      </c>
      <c r="Y419" s="204">
        <f ca="1">INDIRECT("R"&amp;(初期登録!$B$10+30)*12+初期登録!$D$10+5-64&amp;"C"&amp;COLUMN(),FALSE)</f>
        <v>-0.06</v>
      </c>
      <c r="Z419" s="204">
        <f ca="1">INDIRECT("R"&amp;(初期登録!$B$10+30)*12+初期登録!$D$10+5-64&amp;"C"&amp;COLUMN(),FALSE)</f>
        <v>1.1000000000000001</v>
      </c>
      <c r="AA419" s="204">
        <f ca="1">INDIRECT("R"&amp;(初期登録!$B$10+30)*12+初期登録!$D$10+5-64&amp;"C"&amp;COLUMN(),FALSE)</f>
        <v>-0.4</v>
      </c>
      <c r="AB419" s="204">
        <f ca="1">INDIRECT("R"&amp;(初期登録!$B$10+30)*12+初期登録!$D$10+5-64&amp;"C"&amp;COLUMN(),FALSE)</f>
        <v>0.1</v>
      </c>
      <c r="AC419" s="204">
        <f ca="1">INDIRECT("R"&amp;(初期登録!$B$10+30)*12+初期登録!$D$10+5-64&amp;"C"&amp;COLUMN(),FALSE)</f>
        <v>0.7</v>
      </c>
      <c r="AD419" s="214"/>
      <c r="AE419">
        <v>-59</v>
      </c>
    </row>
    <row r="420" spans="1:31" ht="15" thickBot="1">
      <c r="A420" s="1759" t="s">
        <v>308</v>
      </c>
      <c r="B420" s="1760"/>
      <c r="C420" s="1760"/>
      <c r="D420" s="755">
        <f ca="1">INDIRECT("R"&amp;(初期登録!$B$10+30)*12+初期登録!$D$10+5-63&amp;"C"&amp;COLUMN(),FALSE)</f>
        <v>0.5</v>
      </c>
      <c r="E420" s="205">
        <f ca="1">INDIRECT("R"&amp;(初期登録!$B$10+30)*12+初期登録!$D$10+5-63&amp;"C"&amp;COLUMN(),FALSE)</f>
        <v>-2.1</v>
      </c>
      <c r="F420" s="204">
        <f ca="1">INDIRECT("R"&amp;(初期登録!$B$10+30)*12+初期登録!$D$10+5-63&amp;"C"&amp;COLUMN(),FALSE)</f>
        <v>0.7</v>
      </c>
      <c r="G420" s="204">
        <f ca="1">INDIRECT("R"&amp;(初期登録!$B$10+30)*12+初期登録!$D$10+5-63&amp;"C"&amp;COLUMN(),FALSE)</f>
        <v>-0.3</v>
      </c>
      <c r="H420" s="204">
        <f ca="1">INDIRECT("R"&amp;(初期登録!$B$10+30)*12+初期登録!$D$10+5-63&amp;"C"&amp;COLUMN(),FALSE)</f>
        <v>1.3</v>
      </c>
      <c r="I420" s="204">
        <f ca="1">INDIRECT("R"&amp;(初期登録!$B$10+30)*12+初期登録!$D$10+5-63&amp;"C"&amp;COLUMN(),FALSE)</f>
        <v>1.2</v>
      </c>
      <c r="J420" s="204">
        <f ca="1">INDIRECT("R"&amp;(初期登録!$B$10+30)*12+初期登録!$D$10+5-63&amp;"C"&amp;COLUMN(),FALSE)</f>
        <v>0.5</v>
      </c>
      <c r="K420" s="204">
        <f ca="1">INDIRECT("R"&amp;(初期登録!$B$10+30)*12+初期登録!$D$10+5-63&amp;"C"&amp;COLUMN(),FALSE)</f>
        <v>1.4</v>
      </c>
      <c r="M420" s="204">
        <f ca="1">INDIRECT("R"&amp;(初期登録!$B$10+30)*12+初期登録!$D$10+5-63&amp;"C"&amp;COLUMN(),FALSE)</f>
        <v>-0.66900000000000004</v>
      </c>
      <c r="N420" s="204">
        <f ca="1">INDIRECT("R"&amp;(初期登録!$B$10+30)*12+初期登録!$D$10+5-63&amp;"C"&amp;COLUMN(),FALSE)</f>
        <v>1.7</v>
      </c>
      <c r="O420" s="204">
        <f ca="1">INDIRECT("R"&amp;(初期登録!$B$10+30)*12+初期登録!$D$10+5-63&amp;"C"&amp;COLUMN(),FALSE)</f>
        <v>2.5</v>
      </c>
      <c r="P420" s="204">
        <f ca="1">INDIRECT("R"&amp;(初期登録!$B$10+30)*12+初期登録!$D$10+5-63&amp;"C"&amp;COLUMN(),FALSE)</f>
        <v>0.9</v>
      </c>
      <c r="Q420" s="204">
        <f ca="1">INDIRECT("R"&amp;(初期登録!$B$10+30)*12+初期登録!$D$10+5-63&amp;"C"&amp;COLUMN(),FALSE)</f>
        <v>0.5</v>
      </c>
      <c r="R420" s="204">
        <f ca="1">INDIRECT("R"&amp;(初期登録!$B$10+30)*12+初期登録!$D$10+5-63&amp;"C"&amp;COLUMN(),FALSE)</f>
        <v>0.9</v>
      </c>
      <c r="S420" s="204">
        <f ca="1">INDIRECT("R"&amp;(初期登録!$B$10+30)*12+初期登録!$D$10+5-63&amp;"C"&amp;COLUMN(),FALSE)</f>
        <v>-0.3</v>
      </c>
      <c r="T420" s="204">
        <f ca="1">INDIRECT("R"&amp;(初期登録!$B$10+30)*12+初期登録!$D$10+5-63&amp;"C"&amp;COLUMN(),FALSE)</f>
        <v>-0.4</v>
      </c>
      <c r="V420" s="756">
        <f ca="1">INDIRECT("R"&amp;(初期登録!$B$10+30)*12+初期登録!$D$10+5-63&amp;"C"&amp;COLUMN(),FALSE)</f>
        <v>0.46</v>
      </c>
      <c r="W420" s="205">
        <f ca="1">INDIRECT("R"&amp;(初期登録!$B$10+30)*12+初期登録!$D$10+5-63&amp;"C"&amp;COLUMN(),FALSE)</f>
        <v>1.3</v>
      </c>
      <c r="X420" s="204">
        <f ca="1">INDIRECT("R"&amp;(初期登録!$B$10+30)*12+初期登録!$D$10+5-63&amp;"C"&amp;COLUMN(),FALSE)</f>
        <v>0.5</v>
      </c>
      <c r="Y420" s="204">
        <f ca="1">INDIRECT("R"&amp;(初期登録!$B$10+30)*12+初期登録!$D$10+5-63&amp;"C"&amp;COLUMN(),FALSE)</f>
        <v>-0.05</v>
      </c>
      <c r="Z420" s="204">
        <f ca="1">INDIRECT("R"&amp;(初期登録!$B$10+30)*12+初期登録!$D$10+5-63&amp;"C"&amp;COLUMN(),FALSE)</f>
        <v>-0.2</v>
      </c>
      <c r="AA420" s="204">
        <f ca="1">INDIRECT("R"&amp;(初期登録!$B$10+30)*12+初期登録!$D$10+5-63&amp;"C"&amp;COLUMN(),FALSE)</f>
        <v>1.5</v>
      </c>
      <c r="AB420" s="204">
        <f ca="1">INDIRECT("R"&amp;(初期登録!$B$10+30)*12+初期登録!$D$10+5-63&amp;"C"&amp;COLUMN(),FALSE)</f>
        <v>0.1</v>
      </c>
      <c r="AC420" s="204">
        <f ca="1">INDIRECT("R"&amp;(初期登録!$B$10+30)*12+初期登録!$D$10+5-63&amp;"C"&amp;COLUMN(),FALSE)</f>
        <v>-0.9</v>
      </c>
      <c r="AD420" s="214"/>
      <c r="AE420">
        <v>-58</v>
      </c>
    </row>
    <row r="421" spans="1:31" ht="15" thickBot="1">
      <c r="A421" s="1759" t="s">
        <v>307</v>
      </c>
      <c r="B421" s="1760"/>
      <c r="C421" s="1760"/>
      <c r="D421" s="755">
        <f ca="1">INDIRECT("R"&amp;(初期登録!$B$10+30)*12+初期登録!$D$10+5-62&amp;"C"&amp;COLUMN(),FALSE)</f>
        <v>0.46</v>
      </c>
      <c r="E421" s="205">
        <f ca="1">INDIRECT("R"&amp;(初期登録!$B$10+30)*12+初期登録!$D$10+5-62&amp;"C"&amp;COLUMN(),FALSE)</f>
        <v>3.3</v>
      </c>
      <c r="F421" s="204">
        <f ca="1">INDIRECT("R"&amp;(初期登録!$B$10+30)*12+初期登録!$D$10+5-62&amp;"C"&amp;COLUMN(),FALSE)</f>
        <v>-2</v>
      </c>
      <c r="G421" s="204">
        <f ca="1">INDIRECT("R"&amp;(初期登録!$B$10+30)*12+初期登録!$D$10+5-62&amp;"C"&amp;COLUMN(),FALSE)</f>
        <v>-0.4</v>
      </c>
      <c r="H421" s="204">
        <f ca="1">INDIRECT("R"&amp;(初期登録!$B$10+30)*12+初期登録!$D$10+5-62&amp;"C"&amp;COLUMN(),FALSE)</f>
        <v>0.2</v>
      </c>
      <c r="I421" s="204">
        <f ca="1">INDIRECT("R"&amp;(初期登録!$B$10+30)*12+初期登録!$D$10+5-62&amp;"C"&amp;COLUMN(),FALSE)</f>
        <v>-0.7</v>
      </c>
      <c r="J421" s="204">
        <f ca="1">INDIRECT("R"&amp;(初期登録!$B$10+30)*12+初期登録!$D$10+5-62&amp;"C"&amp;COLUMN(),FALSE)</f>
        <v>0</v>
      </c>
      <c r="K421" s="204">
        <f ca="1">INDIRECT("R"&amp;(初期登録!$B$10+30)*12+初期登録!$D$10+5-62&amp;"C"&amp;COLUMN(),FALSE)</f>
        <v>1.5</v>
      </c>
      <c r="M421" s="204">
        <f ca="1">INDIRECT("R"&amp;(初期登録!$B$10+30)*12+初期登録!$D$10+5-62&amp;"C"&amp;COLUMN(),FALSE)</f>
        <v>-2.1000000000000001E-2</v>
      </c>
      <c r="N421" s="204">
        <f ca="1">INDIRECT("R"&amp;(初期登録!$B$10+30)*12+初期登録!$D$10+5-62&amp;"C"&amp;COLUMN(),FALSE)</f>
        <v>-0.9</v>
      </c>
      <c r="O421" s="204">
        <f ca="1">INDIRECT("R"&amp;(初期登録!$B$10+30)*12+初期登録!$D$10+5-62&amp;"C"&amp;COLUMN(),FALSE)</f>
        <v>-1.2</v>
      </c>
      <c r="P421" s="204">
        <f ca="1">INDIRECT("R"&amp;(初期登録!$B$10+30)*12+初期登録!$D$10+5-62&amp;"C"&amp;COLUMN(),FALSE)</f>
        <v>-0.8</v>
      </c>
      <c r="Q421" s="204">
        <f ca="1">INDIRECT("R"&amp;(初期登録!$B$10+30)*12+初期登録!$D$10+5-62&amp;"C"&amp;COLUMN(),FALSE)</f>
        <v>-1.8</v>
      </c>
      <c r="R421" s="204">
        <f ca="1">INDIRECT("R"&amp;(初期登録!$B$10+30)*12+初期登録!$D$10+5-62&amp;"C"&amp;COLUMN(),FALSE)</f>
        <v>-2.2999999999999998</v>
      </c>
      <c r="S421" s="204">
        <f ca="1">INDIRECT("R"&amp;(初期登録!$B$10+30)*12+初期登録!$D$10+5-62&amp;"C"&amp;COLUMN(),FALSE)</f>
        <v>-1.1000000000000001</v>
      </c>
      <c r="T421" s="204">
        <f ca="1">INDIRECT("R"&amp;(初期登録!$B$10+30)*12+初期登録!$D$10+5-62&amp;"C"&amp;COLUMN(),FALSE)</f>
        <v>0.4</v>
      </c>
      <c r="V421" s="756">
        <f ca="1">INDIRECT("R"&amp;(初期登録!$B$10+30)*12+初期登録!$D$10+5-62&amp;"C"&amp;COLUMN(),FALSE)</f>
        <v>0.41</v>
      </c>
      <c r="W421" s="205">
        <f ca="1">INDIRECT("R"&amp;(初期登録!$B$10+30)*12+初期登録!$D$10+5-62&amp;"C"&amp;COLUMN(),FALSE)</f>
        <v>-0.8</v>
      </c>
      <c r="X421" s="204">
        <f ca="1">INDIRECT("R"&amp;(初期登録!$B$10+30)*12+初期登録!$D$10+5-62&amp;"C"&amp;COLUMN(),FALSE)</f>
        <v>-0.7</v>
      </c>
      <c r="Y421" s="204">
        <f ca="1">INDIRECT("R"&amp;(初期登録!$B$10+30)*12+初期登録!$D$10+5-62&amp;"C"&amp;COLUMN(),FALSE)</f>
        <v>-0.06</v>
      </c>
      <c r="Z421" s="204">
        <f ca="1">INDIRECT("R"&amp;(初期登録!$B$10+30)*12+初期登録!$D$10+5-62&amp;"C"&amp;COLUMN(),FALSE)</f>
        <v>-1.1000000000000001</v>
      </c>
      <c r="AA421" s="204">
        <f ca="1">INDIRECT("R"&amp;(初期登録!$B$10+30)*12+初期登録!$D$10+5-62&amp;"C"&amp;COLUMN(),FALSE)</f>
        <v>-0.4</v>
      </c>
      <c r="AB421" s="204">
        <f ca="1">INDIRECT("R"&amp;(初期登録!$B$10+30)*12+初期登録!$D$10+5-62&amp;"C"&amp;COLUMN(),FALSE)</f>
        <v>-1.3</v>
      </c>
      <c r="AC421" s="204">
        <f ca="1">INDIRECT("R"&amp;(初期登録!$B$10+30)*12+初期登録!$D$10+5-62&amp;"C"&amp;COLUMN(),FALSE)</f>
        <v>1.8</v>
      </c>
      <c r="AD421" s="214"/>
      <c r="AE421">
        <v>-57</v>
      </c>
    </row>
    <row r="422" spans="1:31" ht="15" thickBot="1">
      <c r="A422" s="1759" t="s">
        <v>306</v>
      </c>
      <c r="B422" s="1760"/>
      <c r="C422" s="1760"/>
      <c r="D422" s="755">
        <f ca="1">INDIRECT("R"&amp;(初期登録!$B$10+30)*12+初期登録!$D$10+5-61&amp;"C"&amp;COLUMN(),FALSE)</f>
        <v>0.39</v>
      </c>
      <c r="E422" s="205">
        <f ca="1">INDIRECT("R"&amp;(初期登録!$B$10+30)*12+初期登録!$D$10+5-61&amp;"C"&amp;COLUMN(),FALSE)</f>
        <v>-1.7</v>
      </c>
      <c r="F422" s="204">
        <f ca="1">INDIRECT("R"&amp;(初期登録!$B$10+30)*12+初期登録!$D$10+5-61&amp;"C"&amp;COLUMN(),FALSE)</f>
        <v>1.1000000000000001</v>
      </c>
      <c r="G422" s="204">
        <f ca="1">INDIRECT("R"&amp;(初期登録!$B$10+30)*12+初期登録!$D$10+5-61&amp;"C"&amp;COLUMN(),FALSE)</f>
        <v>0</v>
      </c>
      <c r="H422" s="204">
        <f ca="1">INDIRECT("R"&amp;(初期登録!$B$10+30)*12+初期登録!$D$10+5-61&amp;"C"&amp;COLUMN(),FALSE)</f>
        <v>-1</v>
      </c>
      <c r="I422" s="204">
        <f ca="1">INDIRECT("R"&amp;(初期登録!$B$10+30)*12+初期登録!$D$10+5-61&amp;"C"&amp;COLUMN(),FALSE)</f>
        <v>2.7</v>
      </c>
      <c r="J422" s="204">
        <f ca="1">INDIRECT("R"&amp;(初期登録!$B$10+30)*12+初期登録!$D$10+5-61&amp;"C"&amp;COLUMN(),FALSE)</f>
        <v>2</v>
      </c>
      <c r="K422" s="204">
        <f ca="1">INDIRECT("R"&amp;(初期登録!$B$10+30)*12+初期登録!$D$10+5-61&amp;"C"&amp;COLUMN(),FALSE)</f>
        <v>1.3</v>
      </c>
      <c r="M422" s="204">
        <f ca="1">INDIRECT("R"&amp;(初期登録!$B$10+30)*12+初期登録!$D$10+5-61&amp;"C"&amp;COLUMN(),FALSE)</f>
        <v>1.254</v>
      </c>
      <c r="N422" s="204">
        <f ca="1">INDIRECT("R"&amp;(初期登録!$B$10+30)*12+初期登録!$D$10+5-61&amp;"C"&amp;COLUMN(),FALSE)</f>
        <v>2.2000000000000002</v>
      </c>
      <c r="O422" s="204">
        <f ca="1">INDIRECT("R"&amp;(初期登録!$B$10+30)*12+初期登録!$D$10+5-61&amp;"C"&amp;COLUMN(),FALSE)</f>
        <v>-1</v>
      </c>
      <c r="P422" s="204">
        <f ca="1">INDIRECT("R"&amp;(初期登録!$B$10+30)*12+初期登録!$D$10+5-61&amp;"C"&amp;COLUMN(),FALSE)</f>
        <v>1.6</v>
      </c>
      <c r="Q422" s="204">
        <f ca="1">INDIRECT("R"&amp;(初期登録!$B$10+30)*12+初期登録!$D$10+5-61&amp;"C"&amp;COLUMN(),FALSE)</f>
        <v>2.2000000000000002</v>
      </c>
      <c r="R422" s="204">
        <f ca="1">INDIRECT("R"&amp;(初期登録!$B$10+30)*12+初期登録!$D$10+5-61&amp;"C"&amp;COLUMN(),FALSE)</f>
        <v>1.8</v>
      </c>
      <c r="S422" s="204">
        <f ca="1">INDIRECT("R"&amp;(初期登録!$B$10+30)*12+初期登録!$D$10+5-61&amp;"C"&amp;COLUMN(),FALSE)</f>
        <v>2.1</v>
      </c>
      <c r="T422" s="204">
        <f ca="1">INDIRECT("R"&amp;(初期登録!$B$10+30)*12+初期登録!$D$10+5-61&amp;"C"&amp;COLUMN(),FALSE)</f>
        <v>0.3</v>
      </c>
      <c r="V422" s="756">
        <f ca="1">INDIRECT("R"&amp;(初期登録!$B$10+30)*12+初期登録!$D$10+5-61&amp;"C"&amp;COLUMN(),FALSE)</f>
        <v>0.34</v>
      </c>
      <c r="W422" s="205">
        <f ca="1">INDIRECT("R"&amp;(初期登録!$B$10+30)*12+初期登録!$D$10+5-61&amp;"C"&amp;COLUMN(),FALSE)</f>
        <v>-1.2</v>
      </c>
      <c r="X422" s="204">
        <f ca="1">INDIRECT("R"&amp;(初期登録!$B$10+30)*12+初期登録!$D$10+5-61&amp;"C"&amp;COLUMN(),FALSE)</f>
        <v>1.3</v>
      </c>
      <c r="Y422" s="204">
        <f ca="1">INDIRECT("R"&amp;(初期登録!$B$10+30)*12+初期登録!$D$10+5-61&amp;"C"&amp;COLUMN(),FALSE)</f>
        <v>-0.69</v>
      </c>
      <c r="Z422" s="204">
        <f ca="1">INDIRECT("R"&amp;(初期登録!$B$10+30)*12+初期登録!$D$10+5-61&amp;"C"&amp;COLUMN(),FALSE)</f>
        <v>0.7</v>
      </c>
      <c r="AA422" s="204">
        <f ca="1">INDIRECT("R"&amp;(初期登録!$B$10+30)*12+初期登録!$D$10+5-61&amp;"C"&amp;COLUMN(),FALSE)</f>
        <v>-2.1</v>
      </c>
      <c r="AB422" s="204">
        <f ca="1">INDIRECT("R"&amp;(初期登録!$B$10+30)*12+初期登録!$D$10+5-61&amp;"C"&amp;COLUMN(),FALSE)</f>
        <v>-2.2999999999999998</v>
      </c>
      <c r="AC422" s="204">
        <f ca="1">INDIRECT("R"&amp;(初期登録!$B$10+30)*12+初期登録!$D$10+5-61&amp;"C"&amp;COLUMN(),FALSE)</f>
        <v>-3.6</v>
      </c>
      <c r="AD422" s="214"/>
      <c r="AE422">
        <v>-56</v>
      </c>
    </row>
    <row r="423" spans="1:31" ht="15" thickBot="1">
      <c r="A423" s="1759" t="s">
        <v>305</v>
      </c>
      <c r="B423" s="1760"/>
      <c r="C423" s="1760"/>
      <c r="D423" s="755">
        <f ca="1">INDIRECT("R"&amp;(初期登録!$B$10+30)*12+初期登録!$D$10+5-60&amp;"C"&amp;COLUMN(),FALSE)</f>
        <v>0.37</v>
      </c>
      <c r="E423" s="205">
        <f ca="1">INDIRECT("R"&amp;(初期登録!$B$10+30)*12+初期登録!$D$10+5-60&amp;"C"&amp;COLUMN(),FALSE)</f>
        <v>-0.9</v>
      </c>
      <c r="F423" s="204">
        <f ca="1">INDIRECT("R"&amp;(初期登録!$B$10+30)*12+初期登録!$D$10+5-60&amp;"C"&amp;COLUMN(),FALSE)</f>
        <v>-0.1</v>
      </c>
      <c r="G423" s="204">
        <f ca="1">INDIRECT("R"&amp;(初期登録!$B$10+30)*12+初期登録!$D$10+5-60&amp;"C"&amp;COLUMN(),FALSE)</f>
        <v>-0.6</v>
      </c>
      <c r="H423" s="204">
        <f ca="1">INDIRECT("R"&amp;(初期登録!$B$10+30)*12+初期登録!$D$10+5-60&amp;"C"&amp;COLUMN(),FALSE)</f>
        <v>2.1</v>
      </c>
      <c r="I423" s="204">
        <f ca="1">INDIRECT("R"&amp;(初期登録!$B$10+30)*12+初期登録!$D$10+5-60&amp;"C"&amp;COLUMN(),FALSE)</f>
        <v>-4.5</v>
      </c>
      <c r="J423" s="204">
        <f ca="1">INDIRECT("R"&amp;(初期登録!$B$10+30)*12+初期登録!$D$10+5-60&amp;"C"&amp;COLUMN(),FALSE)</f>
        <v>-0.5</v>
      </c>
      <c r="K423" s="204">
        <f ca="1">INDIRECT("R"&amp;(初期登録!$B$10+30)*12+初期登録!$D$10+5-60&amp;"C"&amp;COLUMN(),FALSE)</f>
        <v>1.3</v>
      </c>
      <c r="M423" s="204">
        <f ca="1">INDIRECT("R"&amp;(初期登録!$B$10+30)*12+初期登録!$D$10+5-60&amp;"C"&amp;COLUMN(),FALSE)</f>
        <v>1.32</v>
      </c>
      <c r="N423" s="204">
        <f ca="1">INDIRECT("R"&amp;(初期登録!$B$10+30)*12+初期登録!$D$10+5-60&amp;"C"&amp;COLUMN(),FALSE)</f>
        <v>0.3</v>
      </c>
      <c r="O423" s="204">
        <f ca="1">INDIRECT("R"&amp;(初期登録!$B$10+30)*12+初期登録!$D$10+5-60&amp;"C"&amp;COLUMN(),FALSE)</f>
        <v>2.2000000000000002</v>
      </c>
      <c r="P423" s="204">
        <f ca="1">INDIRECT("R"&amp;(初期登録!$B$10+30)*12+初期登録!$D$10+5-60&amp;"C"&amp;COLUMN(),FALSE)</f>
        <v>-2.2000000000000002</v>
      </c>
      <c r="Q423" s="204">
        <f ca="1">INDIRECT("R"&amp;(初期登録!$B$10+30)*12+初期登録!$D$10+5-60&amp;"C"&amp;COLUMN(),FALSE)</f>
        <v>0</v>
      </c>
      <c r="R423" s="204">
        <f ca="1">INDIRECT("R"&amp;(初期登録!$B$10+30)*12+初期登録!$D$10+5-60&amp;"C"&amp;COLUMN(),FALSE)</f>
        <v>1.9</v>
      </c>
      <c r="S423" s="204">
        <f ca="1">INDIRECT("R"&amp;(初期登録!$B$10+30)*12+初期登録!$D$10+5-60&amp;"C"&amp;COLUMN(),FALSE)</f>
        <v>0.5</v>
      </c>
      <c r="T423" s="204">
        <f ca="1">INDIRECT("R"&amp;(初期登録!$B$10+30)*12+初期登録!$D$10+5-60&amp;"C"&amp;COLUMN(),FALSE)</f>
        <v>-0.3</v>
      </c>
      <c r="V423" s="756">
        <f ca="1">INDIRECT("R"&amp;(初期登録!$B$10+30)*12+初期登録!$D$10+5-60&amp;"C"&amp;COLUMN(),FALSE)</f>
        <v>0.34</v>
      </c>
      <c r="W423" s="205">
        <f ca="1">INDIRECT("R"&amp;(初期登録!$B$10+30)*12+初期登録!$D$10+5-60&amp;"C"&amp;COLUMN(),FALSE)</f>
        <v>-1.3</v>
      </c>
      <c r="X423" s="204">
        <f ca="1">INDIRECT("R"&amp;(初期登録!$B$10+30)*12+初期登録!$D$10+5-60&amp;"C"&amp;COLUMN(),FALSE)</f>
        <v>-2.4</v>
      </c>
      <c r="Y423" s="204">
        <f ca="1">INDIRECT("R"&amp;(初期登録!$B$10+30)*12+初期登録!$D$10+5-60&amp;"C"&amp;COLUMN(),FALSE)</f>
        <v>0.6</v>
      </c>
      <c r="Z423" s="204">
        <f ca="1">INDIRECT("R"&amp;(初期登録!$B$10+30)*12+初期登録!$D$10+5-60&amp;"C"&amp;COLUMN(),FALSE)</f>
        <v>0</v>
      </c>
      <c r="AA423" s="204">
        <f ca="1">INDIRECT("R"&amp;(初期登録!$B$10+30)*12+初期登録!$D$10+5-60&amp;"C"&amp;COLUMN(),FALSE)</f>
        <v>-1.8</v>
      </c>
      <c r="AB423" s="204">
        <f ca="1">INDIRECT("R"&amp;(初期登録!$B$10+30)*12+初期登録!$D$10+5-60&amp;"C"&amp;COLUMN(),FALSE)</f>
        <v>0.1</v>
      </c>
      <c r="AC423" s="204">
        <f ca="1">INDIRECT("R"&amp;(初期登録!$B$10+30)*12+初期登録!$D$10+5-60&amp;"C"&amp;COLUMN(),FALSE)</f>
        <v>2.7</v>
      </c>
      <c r="AD423" s="214"/>
      <c r="AE423">
        <v>-55</v>
      </c>
    </row>
    <row r="424" spans="1:31" ht="15" thickBot="1">
      <c r="A424" s="1761" t="s">
        <v>304</v>
      </c>
      <c r="B424" s="1762"/>
      <c r="C424" s="1762"/>
      <c r="D424" s="755">
        <f ca="1">INDIRECT("R"&amp;(初期登録!$B$10+30)*12+初期登録!$D$10+5-59&amp;"C"&amp;COLUMN(),FALSE)</f>
        <v>0.53</v>
      </c>
      <c r="E424" s="753">
        <f ca="1">INDIRECT("R"&amp;(初期登録!$B$10+30)*12+初期登録!$D$10+5-59&amp;"C"&amp;COLUMN(),FALSE)</f>
        <v>0.8</v>
      </c>
      <c r="F424" s="209">
        <f ca="1">INDIRECT("R"&amp;(初期登録!$B$10+30)*12+初期登録!$D$10+5-59&amp;"C"&amp;COLUMN(),FALSE)</f>
        <v>3.4</v>
      </c>
      <c r="G424" s="209">
        <f ca="1">INDIRECT("R"&amp;(初期登録!$B$10+30)*12+初期登録!$D$10+5-59&amp;"C"&amp;COLUMN(),FALSE)</f>
        <v>0.4</v>
      </c>
      <c r="H424" s="209">
        <f ca="1">INDIRECT("R"&amp;(初期登録!$B$10+30)*12+初期登録!$D$10+5-59&amp;"C"&amp;COLUMN(),FALSE)</f>
        <v>-1.6</v>
      </c>
      <c r="I424" s="209">
        <f ca="1">INDIRECT("R"&amp;(初期登録!$B$10+30)*12+初期登録!$D$10+5-59&amp;"C"&amp;COLUMN(),FALSE)</f>
        <v>-4.4000000000000004</v>
      </c>
      <c r="J424" s="209">
        <f ca="1">INDIRECT("R"&amp;(初期登録!$B$10+30)*12+初期登録!$D$10+5-59&amp;"C"&amp;COLUMN(),FALSE)</f>
        <v>0</v>
      </c>
      <c r="K424" s="209">
        <f ca="1">INDIRECT("R"&amp;(初期登録!$B$10+30)*12+初期登録!$D$10+5-59&amp;"C"&amp;COLUMN(),FALSE)</f>
        <v>1.3</v>
      </c>
      <c r="M424" s="209">
        <f ca="1">INDIRECT("R"&amp;(初期登録!$B$10+30)*12+初期登録!$D$10+5-59&amp;"C"&amp;COLUMN(),FALSE)</f>
        <v>-1.319</v>
      </c>
      <c r="N424" s="209">
        <f ca="1">INDIRECT("R"&amp;(初期登録!$B$10+30)*12+初期登録!$D$10+5-59&amp;"C"&amp;COLUMN(),FALSE)</f>
        <v>-2.4</v>
      </c>
      <c r="O424" s="209">
        <f ca="1">INDIRECT("R"&amp;(初期登録!$B$10+30)*12+初期登録!$D$10+5-59&amp;"C"&amp;COLUMN(),FALSE)</f>
        <v>-0.3</v>
      </c>
      <c r="P424" s="209">
        <f ca="1">INDIRECT("R"&amp;(初期登録!$B$10+30)*12+初期登録!$D$10+5-59&amp;"C"&amp;COLUMN(),FALSE)</f>
        <v>2.6</v>
      </c>
      <c r="Q424" s="209">
        <f ca="1">INDIRECT("R"&amp;(初期登録!$B$10+30)*12+初期登録!$D$10+5-59&amp;"C"&amp;COLUMN(),FALSE)</f>
        <v>1.1000000000000001</v>
      </c>
      <c r="R424" s="209">
        <f ca="1">INDIRECT("R"&amp;(初期登録!$B$10+30)*12+初期登録!$D$10+5-59&amp;"C"&amp;COLUMN(),FALSE)</f>
        <v>-0.4</v>
      </c>
      <c r="S424" s="209">
        <f ca="1">INDIRECT("R"&amp;(初期登録!$B$10+30)*12+初期登録!$D$10+5-59&amp;"C"&amp;COLUMN(),FALSE)</f>
        <v>1.2</v>
      </c>
      <c r="T424" s="209">
        <f ca="1">INDIRECT("R"&amp;(初期登録!$B$10+30)*12+初期登録!$D$10+5-59&amp;"C"&amp;COLUMN(),FALSE)</f>
        <v>0.4</v>
      </c>
      <c r="V424" s="756">
        <f ca="1">INDIRECT("R"&amp;(初期登録!$B$10+30)*12+初期登録!$D$10+5-59&amp;"C"&amp;COLUMN(),FALSE)</f>
        <v>0.49</v>
      </c>
      <c r="W424" s="753">
        <f ca="1">INDIRECT("R"&amp;(初期登録!$B$10+30)*12+初期登録!$D$10+5-59&amp;"C"&amp;COLUMN(),FALSE)</f>
        <v>0.4</v>
      </c>
      <c r="X424" s="209">
        <f ca="1">INDIRECT("R"&amp;(初期登録!$B$10+30)*12+初期登録!$D$10+5-59&amp;"C"&amp;COLUMN(),FALSE)</f>
        <v>2.7</v>
      </c>
      <c r="Y424" s="209">
        <f ca="1">INDIRECT("R"&amp;(初期登録!$B$10+30)*12+初期登録!$D$10+5-59&amp;"C"&amp;COLUMN(),FALSE)</f>
        <v>-0.64</v>
      </c>
      <c r="Z424" s="209">
        <f ca="1">INDIRECT("R"&amp;(初期登録!$B$10+30)*12+初期登録!$D$10+5-59&amp;"C"&amp;COLUMN(),FALSE)</f>
        <v>-0.7</v>
      </c>
      <c r="AA424" s="209">
        <f ca="1">INDIRECT("R"&amp;(初期登録!$B$10+30)*12+初期登録!$D$10+5-59&amp;"C"&amp;COLUMN(),FALSE)</f>
        <v>1.3</v>
      </c>
      <c r="AB424" s="209">
        <f ca="1">INDIRECT("R"&amp;(初期登録!$B$10+30)*12+初期登録!$D$10+5-59&amp;"C"&amp;COLUMN(),FALSE)</f>
        <v>1</v>
      </c>
      <c r="AC424" s="209">
        <f ca="1">INDIRECT("R"&amp;(初期登録!$B$10+30)*12+初期登録!$D$10+5-59&amp;"C"&amp;COLUMN(),FALSE)</f>
        <v>-0.8</v>
      </c>
      <c r="AD424" s="214"/>
      <c r="AE424">
        <v>-54</v>
      </c>
    </row>
    <row r="425" spans="1:31" ht="14.25">
      <c r="D425" s="754"/>
      <c r="V425" s="754"/>
      <c r="AD425" s="214"/>
    </row>
    <row r="426" spans="1:31" ht="14.25">
      <c r="D426" s="207"/>
      <c r="V426" s="207"/>
      <c r="AD426" s="214"/>
    </row>
    <row r="427" spans="1:31">
      <c r="D427" s="207"/>
      <c r="V427" s="207"/>
    </row>
    <row r="428" spans="1:31">
      <c r="D428" s="207"/>
      <c r="V428" s="207"/>
    </row>
    <row r="429" spans="1:31">
      <c r="D429" s="207"/>
      <c r="V429" s="207"/>
    </row>
    <row r="430" spans="1:31">
      <c r="D430" s="207"/>
      <c r="V430" s="207"/>
    </row>
  </sheetData>
  <customSheetViews>
    <customSheetView guid="{7EBA91D6-F088-446F-A1CC-E1462A1CA2C3}" showRuler="0">
      <pane xSplit="3" ySplit="4" topLeftCell="AA193" activePane="bottomRight" state="frozen"/>
      <selection pane="bottomRight" activeCell="AA204" sqref="AA204"/>
      <pageMargins left="0.75" right="0.75" top="1" bottom="1" header="0.51200000000000001" footer="0.51200000000000001"/>
      <pageSetup paperSize="9" orientation="portrait" r:id="rId1"/>
      <headerFooter alignWithMargins="0"/>
    </customSheetView>
    <customSheetView guid="{883B7A2B-3CB3-449D-A461-655262B722BC}" showRuler="0">
      <pane xSplit="3" ySplit="4" topLeftCell="AA193" activePane="bottomRight" state="frozen"/>
      <selection pane="bottomRight" activeCell="AA204" sqref="AA204"/>
      <pageMargins left="0.75" right="0.75" top="1" bottom="1" header="0.51200000000000001" footer="0.51200000000000001"/>
      <pageSetup paperSize="9" orientation="portrait" r:id="rId2"/>
      <headerFooter alignWithMargins="0"/>
    </customSheetView>
  </customSheetViews>
  <mergeCells count="6">
    <mergeCell ref="A423:C423"/>
    <mergeCell ref="A424:C424"/>
    <mergeCell ref="A419:C419"/>
    <mergeCell ref="A420:C420"/>
    <mergeCell ref="A421:C421"/>
    <mergeCell ref="A422:C422"/>
  </mergeCells>
  <phoneticPr fontId="3"/>
  <conditionalFormatting sqref="E235:K415 M235:T415 W235:AC415">
    <cfRule type="cellIs" dxfId="209" priority="1" stopIfTrue="1" operator="lessThan">
      <formula>0</formula>
    </cfRule>
  </conditionalFormatting>
  <pageMargins left="0.75" right="0.75" top="1" bottom="1" header="0.51200000000000001" footer="0.51200000000000001"/>
  <pageSetup paperSize="9" orientation="portrait" r:id="rId3"/>
  <headerFooter alignWithMargins="0"/>
  <legacyDrawing r:id="rId4"/>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theme="5"/>
  </sheetPr>
  <dimension ref="A1:AA487"/>
  <sheetViews>
    <sheetView zoomScale="90" zoomScaleNormal="90" workbookViewId="0">
      <pane xSplit="3" ySplit="5" topLeftCell="J460" activePane="bottomRight" state="frozen"/>
      <selection activeCell="K21" sqref="K21"/>
      <selection pane="topRight" activeCell="K21" sqref="K21"/>
      <selection pane="bottomLeft" activeCell="K21" sqref="K21"/>
      <selection pane="bottomRight" activeCell="K21" sqref="K21"/>
    </sheetView>
  </sheetViews>
  <sheetFormatPr defaultColWidth="9.125" defaultRowHeight="14.25"/>
  <cols>
    <col min="1" max="1" width="6" style="310" bestFit="1" customWidth="1"/>
    <col min="2" max="2" width="6.25" style="310" bestFit="1" customWidth="1"/>
    <col min="3" max="3" width="6.875" style="214" customWidth="1"/>
    <col min="4" max="10" width="12.625" style="214" customWidth="1"/>
    <col min="11" max="11" width="5.625" style="214" customWidth="1"/>
    <col min="12" max="15" width="12.625" style="214" customWidth="1"/>
    <col min="16" max="17" width="13.125" style="214" bestFit="1" customWidth="1"/>
    <col min="18" max="18" width="11.875" style="214" bestFit="1" customWidth="1"/>
    <col min="19" max="19" width="12.625" style="214" customWidth="1"/>
    <col min="20" max="20" width="5.625" style="214" customWidth="1"/>
    <col min="21" max="27" width="12.625" style="214" customWidth="1"/>
    <col min="28" max="16384" width="9.125" style="214"/>
  </cols>
  <sheetData>
    <row r="1" spans="1:27" s="365" customFormat="1">
      <c r="A1" s="358"/>
      <c r="B1" s="359"/>
      <c r="C1" s="360"/>
      <c r="D1" s="361" t="s">
        <v>150</v>
      </c>
      <c r="E1" s="361" t="s">
        <v>151</v>
      </c>
      <c r="F1" s="361" t="s">
        <v>152</v>
      </c>
      <c r="G1" s="361" t="s">
        <v>153</v>
      </c>
      <c r="H1" s="361" t="s">
        <v>154</v>
      </c>
      <c r="I1" s="361" t="s">
        <v>301</v>
      </c>
      <c r="J1" s="361" t="s">
        <v>156</v>
      </c>
      <c r="K1" s="362"/>
      <c r="L1" s="363" t="s">
        <v>157</v>
      </c>
      <c r="M1" s="363" t="s">
        <v>158</v>
      </c>
      <c r="N1" s="363" t="s">
        <v>159</v>
      </c>
      <c r="O1" s="363" t="s">
        <v>160</v>
      </c>
      <c r="P1" s="363" t="s">
        <v>161</v>
      </c>
      <c r="Q1" s="363" t="s">
        <v>162</v>
      </c>
      <c r="R1" s="363" t="s">
        <v>638</v>
      </c>
      <c r="S1" s="363" t="s">
        <v>639</v>
      </c>
      <c r="T1" s="362"/>
      <c r="U1" s="364" t="s">
        <v>163</v>
      </c>
      <c r="V1" s="364" t="s">
        <v>164</v>
      </c>
      <c r="W1" s="364" t="s">
        <v>165</v>
      </c>
      <c r="X1" s="364" t="s">
        <v>514</v>
      </c>
      <c r="Y1" s="364" t="s">
        <v>512</v>
      </c>
      <c r="Z1" s="364" t="s">
        <v>513</v>
      </c>
      <c r="AA1" s="364" t="s">
        <v>515</v>
      </c>
    </row>
    <row r="2" spans="1:27" s="365" customFormat="1" ht="81" customHeight="1">
      <c r="A2" s="366" t="s">
        <v>146</v>
      </c>
      <c r="B2" s="367" t="s">
        <v>147</v>
      </c>
      <c r="C2" s="367" t="s">
        <v>148</v>
      </c>
      <c r="D2" s="368" t="s">
        <v>7</v>
      </c>
      <c r="E2" s="646" t="s">
        <v>166</v>
      </c>
      <c r="F2" s="368" t="s">
        <v>490</v>
      </c>
      <c r="G2" s="368" t="s">
        <v>168</v>
      </c>
      <c r="H2" s="368" t="s">
        <v>169</v>
      </c>
      <c r="I2" s="646" t="s">
        <v>8</v>
      </c>
      <c r="J2" s="368" t="s">
        <v>170</v>
      </c>
      <c r="K2" s="369"/>
      <c r="L2" s="370" t="s">
        <v>171</v>
      </c>
      <c r="M2" s="370" t="s">
        <v>495</v>
      </c>
      <c r="N2" s="370" t="s">
        <v>10</v>
      </c>
      <c r="O2" s="370" t="s">
        <v>493</v>
      </c>
      <c r="P2" s="370" t="s">
        <v>172</v>
      </c>
      <c r="Q2" s="370" t="s">
        <v>167</v>
      </c>
      <c r="R2" s="370" t="s">
        <v>511</v>
      </c>
      <c r="S2" s="370" t="s">
        <v>11</v>
      </c>
      <c r="T2" s="369"/>
      <c r="U2" s="371" t="s">
        <v>173</v>
      </c>
      <c r="V2" s="371" t="s">
        <v>174</v>
      </c>
      <c r="W2" s="371" t="s">
        <v>626</v>
      </c>
      <c r="X2" s="371" t="s">
        <v>635</v>
      </c>
      <c r="Y2" s="371" t="s">
        <v>175</v>
      </c>
      <c r="Z2" s="371" t="s">
        <v>13</v>
      </c>
      <c r="AA2" s="371" t="s">
        <v>474</v>
      </c>
    </row>
    <row r="3" spans="1:27" s="365" customFormat="1">
      <c r="A3" s="372"/>
      <c r="B3" s="373"/>
      <c r="C3" s="373"/>
      <c r="D3" s="667" t="s">
        <v>176</v>
      </c>
      <c r="E3" s="667" t="s">
        <v>748</v>
      </c>
      <c r="F3" s="667" t="s">
        <v>748</v>
      </c>
      <c r="G3" s="667" t="s">
        <v>177</v>
      </c>
      <c r="H3" s="667" t="s">
        <v>178</v>
      </c>
      <c r="I3" s="667" t="s">
        <v>9</v>
      </c>
      <c r="J3" s="667" t="s">
        <v>179</v>
      </c>
      <c r="K3" s="369"/>
      <c r="L3" s="668" t="s">
        <v>180</v>
      </c>
      <c r="M3" s="668" t="s">
        <v>12</v>
      </c>
      <c r="N3" s="668" t="s">
        <v>496</v>
      </c>
      <c r="O3" s="668" t="s">
        <v>748</v>
      </c>
      <c r="P3" s="668" t="s">
        <v>748</v>
      </c>
      <c r="Q3" s="668" t="s">
        <v>748</v>
      </c>
      <c r="R3" s="668" t="s">
        <v>176</v>
      </c>
      <c r="S3" s="668" t="s">
        <v>498</v>
      </c>
      <c r="T3" s="369"/>
      <c r="U3" s="669" t="s">
        <v>748</v>
      </c>
      <c r="V3" s="669" t="s">
        <v>748</v>
      </c>
      <c r="W3" s="669" t="s">
        <v>517</v>
      </c>
      <c r="X3" s="669" t="s">
        <v>517</v>
      </c>
      <c r="Y3" s="669" t="s">
        <v>181</v>
      </c>
      <c r="Z3" s="1153" t="s">
        <v>751</v>
      </c>
      <c r="AA3" s="669" t="s">
        <v>181</v>
      </c>
    </row>
    <row r="4" spans="1:27">
      <c r="A4" s="372"/>
      <c r="B4" s="373"/>
      <c r="C4" s="374" t="s">
        <v>149</v>
      </c>
      <c r="D4" s="670" t="s">
        <v>149</v>
      </c>
      <c r="E4" s="670" t="s">
        <v>149</v>
      </c>
      <c r="F4" s="670" t="s">
        <v>149</v>
      </c>
      <c r="G4" s="670" t="s">
        <v>149</v>
      </c>
      <c r="H4" s="670" t="s">
        <v>149</v>
      </c>
      <c r="I4" s="670" t="s">
        <v>14</v>
      </c>
      <c r="J4" s="670" t="s">
        <v>14</v>
      </c>
      <c r="K4" s="369"/>
      <c r="L4" s="340" t="s">
        <v>14</v>
      </c>
      <c r="M4" s="340" t="s">
        <v>149</v>
      </c>
      <c r="N4" s="340" t="s">
        <v>149</v>
      </c>
      <c r="O4" s="341" t="s">
        <v>149</v>
      </c>
      <c r="P4" s="340" t="s">
        <v>149</v>
      </c>
      <c r="Q4" s="340" t="s">
        <v>149</v>
      </c>
      <c r="R4" s="340" t="s">
        <v>14</v>
      </c>
      <c r="S4" s="340" t="s">
        <v>149</v>
      </c>
      <c r="T4" s="338"/>
      <c r="U4" s="342" t="s">
        <v>149</v>
      </c>
      <c r="V4" s="342" t="s">
        <v>149</v>
      </c>
      <c r="W4" s="342" t="s">
        <v>149</v>
      </c>
      <c r="X4" s="342" t="s">
        <v>135</v>
      </c>
      <c r="Y4" s="342" t="s">
        <v>149</v>
      </c>
      <c r="Z4" s="342" t="s">
        <v>135</v>
      </c>
      <c r="AA4" s="342" t="s">
        <v>149</v>
      </c>
    </row>
    <row r="5" spans="1:27">
      <c r="A5" s="339"/>
      <c r="B5" s="373"/>
      <c r="C5" s="343" t="s">
        <v>336</v>
      </c>
      <c r="D5" s="344">
        <v>1</v>
      </c>
      <c r="E5" s="344">
        <v>1</v>
      </c>
      <c r="F5" s="344">
        <v>1</v>
      </c>
      <c r="G5" s="344">
        <v>1</v>
      </c>
      <c r="H5" s="344">
        <v>1</v>
      </c>
      <c r="I5" s="344">
        <v>-1</v>
      </c>
      <c r="J5" s="344">
        <v>1</v>
      </c>
      <c r="K5" s="338"/>
      <c r="L5" s="345">
        <v>1</v>
      </c>
      <c r="M5" s="346">
        <v>-1</v>
      </c>
      <c r="N5" s="345">
        <v>1</v>
      </c>
      <c r="O5" s="345">
        <v>1</v>
      </c>
      <c r="P5" s="345">
        <v>1</v>
      </c>
      <c r="Q5" s="345">
        <v>1</v>
      </c>
      <c r="R5" s="345">
        <v>1</v>
      </c>
      <c r="S5" s="345">
        <v>1</v>
      </c>
      <c r="T5" s="338"/>
      <c r="U5" s="342">
        <v>1</v>
      </c>
      <c r="V5" s="342">
        <v>1</v>
      </c>
      <c r="W5" s="342">
        <v>1</v>
      </c>
      <c r="X5" s="342">
        <v>1</v>
      </c>
      <c r="Y5" s="342">
        <v>1</v>
      </c>
      <c r="Z5" s="342">
        <v>1</v>
      </c>
      <c r="AA5" s="342">
        <v>1</v>
      </c>
    </row>
    <row r="6" spans="1:27" s="546" customFormat="1">
      <c r="A6" s="520" t="s">
        <v>337</v>
      </c>
      <c r="B6" s="521">
        <v>1988</v>
      </c>
      <c r="C6" s="522">
        <v>1</v>
      </c>
      <c r="D6" s="523"/>
      <c r="E6" s="523"/>
      <c r="F6" s="523"/>
      <c r="G6" s="523"/>
      <c r="H6" s="523"/>
      <c r="I6" s="523"/>
      <c r="J6" s="523"/>
      <c r="K6" s="523"/>
      <c r="L6" s="523"/>
      <c r="M6" s="523"/>
      <c r="N6" s="523"/>
      <c r="O6" s="523"/>
      <c r="P6" s="523"/>
      <c r="Q6" s="523"/>
      <c r="R6" s="523"/>
      <c r="S6" s="523"/>
      <c r="T6" s="523"/>
      <c r="U6" s="523"/>
      <c r="V6" s="523"/>
      <c r="W6" s="523"/>
      <c r="X6" s="523"/>
      <c r="Y6" s="523"/>
      <c r="Z6" s="523"/>
      <c r="AA6" s="523"/>
    </row>
    <row r="7" spans="1:27" s="546" customFormat="1">
      <c r="A7" s="520"/>
      <c r="B7" s="521" t="s">
        <v>141</v>
      </c>
      <c r="C7" s="522">
        <v>2</v>
      </c>
      <c r="D7" s="523">
        <v>6.6642461050963844</v>
      </c>
      <c r="E7" s="523">
        <v>0.74661689220718352</v>
      </c>
      <c r="F7" s="523">
        <v>0.96711798839458407</v>
      </c>
      <c r="G7" s="523">
        <v>4.2616822429906538</v>
      </c>
      <c r="H7" s="523">
        <v>13.080168776371307</v>
      </c>
      <c r="I7" s="523">
        <v>4</v>
      </c>
      <c r="J7" s="523">
        <v>-5.8000000000000114</v>
      </c>
      <c r="K7" s="523"/>
      <c r="L7" s="523">
        <v>5.9999999999999942E-2</v>
      </c>
      <c r="M7" s="523">
        <v>1.7070857607370187</v>
      </c>
      <c r="N7" s="523">
        <v>3.1250000000000027</v>
      </c>
      <c r="O7" s="523">
        <v>3.3534540576794098</v>
      </c>
      <c r="P7" s="523">
        <v>5.4433713784021087</v>
      </c>
      <c r="Q7" s="523">
        <v>3.6764705882352944</v>
      </c>
      <c r="R7" s="523">
        <v>-3.8000000000000114</v>
      </c>
      <c r="S7" s="523">
        <v>4.7678539557889907</v>
      </c>
      <c r="T7" s="523"/>
      <c r="U7" s="523">
        <v>-0.22909507445590244</v>
      </c>
      <c r="V7" s="523">
        <v>5.7142857142857197</v>
      </c>
      <c r="W7" s="523">
        <v>0</v>
      </c>
      <c r="X7" s="523">
        <v>2.2999999999999998</v>
      </c>
      <c r="Y7" s="523">
        <v>-8.2828210745659412</v>
      </c>
      <c r="Z7" s="523">
        <v>-0.30000000000000004</v>
      </c>
      <c r="AA7" s="523">
        <v>-56.856109230948775</v>
      </c>
    </row>
    <row r="8" spans="1:27" s="546" customFormat="1">
      <c r="A8" s="520"/>
      <c r="B8" s="521" t="s">
        <v>141</v>
      </c>
      <c r="C8" s="522">
        <v>3</v>
      </c>
      <c r="D8" s="523">
        <v>8.798021132352039</v>
      </c>
      <c r="E8" s="523">
        <v>-0.65298507462686839</v>
      </c>
      <c r="F8" s="523">
        <v>3.6844591402928595</v>
      </c>
      <c r="G8" s="523">
        <v>9.3842665271236694</v>
      </c>
      <c r="H8" s="523">
        <v>5.8625660740028831</v>
      </c>
      <c r="I8" s="523">
        <v>-2</v>
      </c>
      <c r="J8" s="523">
        <v>-1.8999999999999915</v>
      </c>
      <c r="K8" s="523"/>
      <c r="L8" s="523">
        <v>0</v>
      </c>
      <c r="M8" s="523">
        <v>-0.24685106652318903</v>
      </c>
      <c r="N8" s="523">
        <v>-1.5503875968992193</v>
      </c>
      <c r="O8" s="523">
        <v>-0.99436526350679488</v>
      </c>
      <c r="P8" s="523">
        <v>-2.5097360450021684</v>
      </c>
      <c r="Q8" s="523">
        <v>-0.12040939193256391</v>
      </c>
      <c r="R8" s="523">
        <v>1.6000000000000085</v>
      </c>
      <c r="S8" s="523">
        <v>19.665431682945989</v>
      </c>
      <c r="T8" s="523"/>
      <c r="U8" s="523">
        <v>-0.34462952326248952</v>
      </c>
      <c r="V8" s="523">
        <v>-2.4604569420035123</v>
      </c>
      <c r="W8" s="523">
        <v>0</v>
      </c>
      <c r="X8" s="523">
        <v>-9.1</v>
      </c>
      <c r="Y8" s="523">
        <v>-2.5434104740019663</v>
      </c>
      <c r="Z8" s="523">
        <v>-0.3</v>
      </c>
      <c r="AA8" s="523">
        <v>-27.485163204747785</v>
      </c>
    </row>
    <row r="9" spans="1:27" s="546" customFormat="1">
      <c r="A9" s="520"/>
      <c r="B9" s="521" t="s">
        <v>141</v>
      </c>
      <c r="C9" s="522">
        <v>4</v>
      </c>
      <c r="D9" s="523">
        <v>-1.7899699704131125</v>
      </c>
      <c r="E9" s="523">
        <v>3.8099609823272949</v>
      </c>
      <c r="F9" s="523">
        <v>8.695652173913043</v>
      </c>
      <c r="G9" s="523">
        <v>-6.3784062580589698</v>
      </c>
      <c r="H9" s="523">
        <v>-10.102991662579695</v>
      </c>
      <c r="I9" s="523">
        <v>10</v>
      </c>
      <c r="J9" s="523">
        <v>-7.7999999999999972</v>
      </c>
      <c r="K9" s="523"/>
      <c r="L9" s="523">
        <v>2.0000000000000018E-2</v>
      </c>
      <c r="M9" s="523">
        <v>0.68839206770240391</v>
      </c>
      <c r="N9" s="523">
        <v>3.8314176245210727</v>
      </c>
      <c r="O9" s="523">
        <v>1.3236267372600927</v>
      </c>
      <c r="P9" s="523">
        <v>1.0462074978204037</v>
      </c>
      <c r="Q9" s="523">
        <v>1.1976047904191616</v>
      </c>
      <c r="R9" s="523">
        <v>-0.90000000000000568</v>
      </c>
      <c r="S9" s="523">
        <v>-20.586709959638316</v>
      </c>
      <c r="T9" s="523"/>
      <c r="U9" s="523">
        <v>-0.3458213256484281</v>
      </c>
      <c r="V9" s="523">
        <v>0.44385264092321347</v>
      </c>
      <c r="W9" s="523">
        <v>-0.20000000000000018</v>
      </c>
      <c r="X9" s="523">
        <v>4.7</v>
      </c>
      <c r="Y9" s="523">
        <v>8.1954223160262885</v>
      </c>
      <c r="Z9" s="523">
        <v>-0.5</v>
      </c>
      <c r="AA9" s="523">
        <v>31.754740300847079</v>
      </c>
    </row>
    <row r="10" spans="1:27" s="546" customFormat="1">
      <c r="A10" s="520"/>
      <c r="B10" s="521" t="s">
        <v>141</v>
      </c>
      <c r="C10" s="522">
        <v>5</v>
      </c>
      <c r="D10" s="523">
        <v>-4.191147967133614</v>
      </c>
      <c r="E10" s="523">
        <v>-3.9972432804962041</v>
      </c>
      <c r="F10" s="523">
        <v>-13.721035892776007</v>
      </c>
      <c r="G10" s="523">
        <v>-3.3769751693002257</v>
      </c>
      <c r="H10" s="523">
        <v>13.127413127413128</v>
      </c>
      <c r="I10" s="523">
        <v>-8</v>
      </c>
      <c r="J10" s="523">
        <v>3.8999999999999915</v>
      </c>
      <c r="K10" s="523"/>
      <c r="L10" s="523">
        <v>2.0000000000000018E-2</v>
      </c>
      <c r="M10" s="523">
        <v>-3.0511669515487472</v>
      </c>
      <c r="N10" s="523">
        <v>-1.5151515151515234</v>
      </c>
      <c r="O10" s="523">
        <v>-2.7324225258247212</v>
      </c>
      <c r="P10" s="523">
        <v>-0.87108013937282236</v>
      </c>
      <c r="Q10" s="523">
        <v>0</v>
      </c>
      <c r="R10" s="523">
        <v>0.40000000000000568</v>
      </c>
      <c r="S10" s="523">
        <v>35.552340601426067</v>
      </c>
      <c r="T10" s="523"/>
      <c r="U10" s="523">
        <v>0.2306805074971198</v>
      </c>
      <c r="V10" s="523">
        <v>-3.3318325078793358</v>
      </c>
      <c r="W10" s="523">
        <v>0</v>
      </c>
      <c r="X10" s="523">
        <v>-2.2999999999999998</v>
      </c>
      <c r="Y10" s="523">
        <v>-2.9874447351284656</v>
      </c>
      <c r="Z10" s="523">
        <v>0.5</v>
      </c>
      <c r="AA10" s="523">
        <v>11.799265605875153</v>
      </c>
    </row>
    <row r="11" spans="1:27" s="546" customFormat="1">
      <c r="A11" s="520"/>
      <c r="B11" s="521" t="s">
        <v>141</v>
      </c>
      <c r="C11" s="522">
        <v>6</v>
      </c>
      <c r="D11" s="523">
        <v>1.5315870570107801</v>
      </c>
      <c r="E11" s="523">
        <v>-7.2886297376093294</v>
      </c>
      <c r="F11" s="523">
        <v>-3.4739454094292803</v>
      </c>
      <c r="G11" s="523">
        <v>3.4479646177452841</v>
      </c>
      <c r="H11" s="523">
        <v>14.842767295597485</v>
      </c>
      <c r="I11" s="523">
        <v>6</v>
      </c>
      <c r="J11" s="523">
        <v>1.2999999999999972</v>
      </c>
      <c r="K11" s="523"/>
      <c r="L11" s="523">
        <v>0</v>
      </c>
      <c r="M11" s="523">
        <v>1.8721927153222502</v>
      </c>
      <c r="N11" s="523">
        <v>-1.538461538461533</v>
      </c>
      <c r="O11" s="523">
        <v>-5.1282051282051313</v>
      </c>
      <c r="P11" s="523">
        <v>-2.0326999558108678</v>
      </c>
      <c r="Q11" s="523">
        <v>0.23781212841855273</v>
      </c>
      <c r="R11" s="523">
        <v>1.5</v>
      </c>
      <c r="S11" s="523">
        <v>-16.750979422616105</v>
      </c>
      <c r="T11" s="523"/>
      <c r="U11" s="523">
        <v>-0.2306805074971198</v>
      </c>
      <c r="V11" s="523">
        <v>-1.0124252185918163</v>
      </c>
      <c r="W11" s="523">
        <v>-0.10000000000000009</v>
      </c>
      <c r="X11" s="523">
        <v>0.89999999999999991</v>
      </c>
      <c r="Y11" s="523">
        <v>0.21200922182188908</v>
      </c>
      <c r="Z11" s="523">
        <v>-0.19999999999999998</v>
      </c>
      <c r="AA11" s="523">
        <v>-3.1128952743151013</v>
      </c>
    </row>
    <row r="12" spans="1:27" s="546" customFormat="1">
      <c r="A12" s="520"/>
      <c r="B12" s="521" t="s">
        <v>141</v>
      </c>
      <c r="C12" s="522">
        <v>7</v>
      </c>
      <c r="D12" s="523">
        <v>4.9073714984636494</v>
      </c>
      <c r="E12" s="523">
        <v>-0.50556117290192115</v>
      </c>
      <c r="F12" s="523">
        <v>-0.10106114199089875</v>
      </c>
      <c r="G12" s="523">
        <v>-1.8627977789718788</v>
      </c>
      <c r="H12" s="523">
        <v>-0.46948356807511737</v>
      </c>
      <c r="I12" s="523">
        <v>-8</v>
      </c>
      <c r="J12" s="523">
        <v>4.6000000000000085</v>
      </c>
      <c r="K12" s="523"/>
      <c r="L12" s="523">
        <v>4.0000000000000036E-2</v>
      </c>
      <c r="M12" s="523">
        <v>-3.1092606815150052</v>
      </c>
      <c r="N12" s="523">
        <v>-0.77821011673151463</v>
      </c>
      <c r="O12" s="523">
        <v>-2.5207057976233345</v>
      </c>
      <c r="P12" s="523">
        <v>-1.6201620162016177</v>
      </c>
      <c r="Q12" s="523">
        <v>-0.95465393794749054</v>
      </c>
      <c r="R12" s="523">
        <v>1.8999999999999915</v>
      </c>
      <c r="S12" s="523">
        <v>8.2925470534399768</v>
      </c>
      <c r="T12" s="523"/>
      <c r="U12" s="523">
        <v>0.3458213256484281</v>
      </c>
      <c r="V12" s="523">
        <v>-3.8661008958038607</v>
      </c>
      <c r="W12" s="523">
        <v>0.10000000000000009</v>
      </c>
      <c r="X12" s="523">
        <v>12.1</v>
      </c>
      <c r="Y12" s="523">
        <v>11.021305853197791</v>
      </c>
      <c r="Z12" s="523">
        <v>0.1</v>
      </c>
      <c r="AA12" s="523">
        <v>6.7112237842821099</v>
      </c>
    </row>
    <row r="13" spans="1:27" s="546" customFormat="1">
      <c r="A13" s="520"/>
      <c r="B13" s="521" t="s">
        <v>141</v>
      </c>
      <c r="C13" s="522">
        <v>8</v>
      </c>
      <c r="D13" s="523">
        <v>-2.5941083213508778</v>
      </c>
      <c r="E13" s="523">
        <v>13.118636040729335</v>
      </c>
      <c r="F13" s="523">
        <v>6.0784313725490087</v>
      </c>
      <c r="G13" s="523">
        <v>-4.0582918280760003</v>
      </c>
      <c r="H13" s="523">
        <v>-6.645056726094003</v>
      </c>
      <c r="I13" s="523">
        <v>1</v>
      </c>
      <c r="J13" s="523">
        <v>-2.1000000000000085</v>
      </c>
      <c r="K13" s="523"/>
      <c r="L13" s="523">
        <v>2.9999999999999916E-2</v>
      </c>
      <c r="M13" s="523">
        <v>-3.6287018611728898</v>
      </c>
      <c r="N13" s="523">
        <v>6.7924528301886689</v>
      </c>
      <c r="O13" s="523">
        <v>7.0372976776917664</v>
      </c>
      <c r="P13" s="523">
        <v>2.5089605734767</v>
      </c>
      <c r="Q13" s="523">
        <v>3.649205414949964</v>
      </c>
      <c r="R13" s="523">
        <v>-0.79999999999999716</v>
      </c>
      <c r="S13" s="523">
        <v>-17.014219974296257</v>
      </c>
      <c r="T13" s="523"/>
      <c r="U13" s="523">
        <v>0.45924225028701665</v>
      </c>
      <c r="V13" s="523">
        <v>1.337153772683864</v>
      </c>
      <c r="W13" s="523">
        <v>0.10000000000000009</v>
      </c>
      <c r="X13" s="523">
        <v>-11.399999999999999</v>
      </c>
      <c r="Y13" s="523">
        <v>-6.5033059608956254</v>
      </c>
      <c r="Z13" s="523">
        <v>0</v>
      </c>
      <c r="AA13" s="523">
        <v>-10.643494598403013</v>
      </c>
    </row>
    <row r="14" spans="1:27" s="546" customFormat="1">
      <c r="A14" s="520"/>
      <c r="B14" s="521" t="s">
        <v>141</v>
      </c>
      <c r="C14" s="522">
        <v>9</v>
      </c>
      <c r="D14" s="523">
        <v>5.5040539362413199</v>
      </c>
      <c r="E14" s="523">
        <v>-0.80321285140562759</v>
      </c>
      <c r="F14" s="523">
        <v>-6.0784313725490087</v>
      </c>
      <c r="G14" s="523">
        <v>9.179915566334321</v>
      </c>
      <c r="H14" s="523">
        <v>-8.7489063867016625</v>
      </c>
      <c r="I14" s="523">
        <v>-2</v>
      </c>
      <c r="J14" s="523">
        <v>0.30000000000001137</v>
      </c>
      <c r="K14" s="523"/>
      <c r="L14" s="523">
        <v>0</v>
      </c>
      <c r="M14" s="523">
        <v>-3.4018082932067855</v>
      </c>
      <c r="N14" s="523">
        <v>1.4492753623188481</v>
      </c>
      <c r="O14" s="523">
        <v>-0.27229407760381602</v>
      </c>
      <c r="P14" s="523">
        <v>2.4475524475524448</v>
      </c>
      <c r="Q14" s="523">
        <v>-1.749271137026239</v>
      </c>
      <c r="R14" s="523">
        <v>-1.3999999999999915</v>
      </c>
      <c r="S14" s="523">
        <v>18.727668487412213</v>
      </c>
      <c r="T14" s="523"/>
      <c r="U14" s="523">
        <v>0.45714285714286362</v>
      </c>
      <c r="V14" s="523">
        <v>-2.7898027898027951</v>
      </c>
      <c r="W14" s="523">
        <v>-0.10000000000000009</v>
      </c>
      <c r="X14" s="523">
        <v>11.7</v>
      </c>
      <c r="Y14" s="523">
        <v>-1.476644860086437</v>
      </c>
      <c r="Z14" s="523">
        <v>0.2</v>
      </c>
      <c r="AA14" s="523">
        <v>5.9514953131976661E-2</v>
      </c>
    </row>
    <row r="15" spans="1:27" s="546" customFormat="1">
      <c r="A15" s="520"/>
      <c r="B15" s="521" t="s">
        <v>141</v>
      </c>
      <c r="C15" s="522">
        <v>10</v>
      </c>
      <c r="D15" s="523">
        <v>-1.3037661191608125</v>
      </c>
      <c r="E15" s="523">
        <v>-1.2623985572587839</v>
      </c>
      <c r="F15" s="523">
        <v>9.3493975903614341</v>
      </c>
      <c r="G15" s="523">
        <v>-3.9229422066549913</v>
      </c>
      <c r="H15" s="523">
        <v>1.9927536231884058</v>
      </c>
      <c r="I15" s="523">
        <v>8</v>
      </c>
      <c r="J15" s="523">
        <v>2.0999999999999943</v>
      </c>
      <c r="K15" s="523"/>
      <c r="L15" s="523">
        <v>4.0000000000000036E-2</v>
      </c>
      <c r="M15" s="523">
        <v>1.2223954046338974</v>
      </c>
      <c r="N15" s="523">
        <v>-2.181818181818187</v>
      </c>
      <c r="O15" s="523">
        <v>-5.1031108004194214</v>
      </c>
      <c r="P15" s="523">
        <v>-1.8300653594771192</v>
      </c>
      <c r="Q15" s="523">
        <v>0.23501762632197751</v>
      </c>
      <c r="R15" s="523">
        <v>1.7999999999999972</v>
      </c>
      <c r="S15" s="523">
        <v>0.38604973669907711</v>
      </c>
      <c r="T15" s="523"/>
      <c r="U15" s="523">
        <v>0</v>
      </c>
      <c r="V15" s="523">
        <v>-6.9661786976274671</v>
      </c>
      <c r="W15" s="523">
        <v>-0.10000000000000009</v>
      </c>
      <c r="X15" s="523">
        <v>-8</v>
      </c>
      <c r="Y15" s="523">
        <v>-12.772093662020188</v>
      </c>
      <c r="Z15" s="523">
        <v>0.79999999999999993</v>
      </c>
      <c r="AA15" s="523">
        <v>-7.1855979865944217</v>
      </c>
    </row>
    <row r="16" spans="1:27" s="546" customFormat="1">
      <c r="A16" s="520"/>
      <c r="B16" s="521" t="s">
        <v>141</v>
      </c>
      <c r="C16" s="522">
        <v>11</v>
      </c>
      <c r="D16" s="523">
        <v>-0.97030073564343078</v>
      </c>
      <c r="E16" s="523">
        <v>-0.50034114168751154</v>
      </c>
      <c r="F16" s="523">
        <v>12.597066436583269</v>
      </c>
      <c r="G16" s="523">
        <v>4.4195999650624511</v>
      </c>
      <c r="H16" s="523">
        <v>-0.53956834532374098</v>
      </c>
      <c r="I16" s="523">
        <v>1</v>
      </c>
      <c r="J16" s="523">
        <v>-1.5999999999999943</v>
      </c>
      <c r="K16" s="523"/>
      <c r="L16" s="523">
        <v>2.0000000000000018E-2</v>
      </c>
      <c r="M16" s="523">
        <v>-4.8749175329422396</v>
      </c>
      <c r="N16" s="523">
        <v>0.73260073260073011</v>
      </c>
      <c r="O16" s="523">
        <v>2.6194690265486646</v>
      </c>
      <c r="P16" s="523">
        <v>2.0026121027427055</v>
      </c>
      <c r="Q16" s="523">
        <v>0</v>
      </c>
      <c r="R16" s="523">
        <v>-0.79999999999999716</v>
      </c>
      <c r="S16" s="523">
        <v>-28.473750560885435</v>
      </c>
      <c r="T16" s="523"/>
      <c r="U16" s="523">
        <v>0.455062571103517</v>
      </c>
      <c r="V16" s="523">
        <v>5.1961283749363307</v>
      </c>
      <c r="W16" s="523">
        <v>0</v>
      </c>
      <c r="X16" s="523">
        <v>-1.9000000000000004</v>
      </c>
      <c r="Y16" s="523">
        <v>19.191242083897354</v>
      </c>
      <c r="Z16" s="523">
        <v>-0.19999999999999996</v>
      </c>
      <c r="AA16" s="523">
        <v>8.7279953124602034</v>
      </c>
    </row>
    <row r="17" spans="1:27" s="546" customFormat="1">
      <c r="A17" s="524"/>
      <c r="B17" s="525" t="s">
        <v>141</v>
      </c>
      <c r="C17" s="526">
        <v>12</v>
      </c>
      <c r="D17" s="527">
        <v>-6.9888609414301124</v>
      </c>
      <c r="E17" s="527">
        <v>-0.45703839122486284</v>
      </c>
      <c r="F17" s="527">
        <v>6.1369000786782042</v>
      </c>
      <c r="G17" s="527">
        <v>1.7089635136289839E-2</v>
      </c>
      <c r="H17" s="527">
        <v>-11.641221374045802</v>
      </c>
      <c r="I17" s="527">
        <v>-6</v>
      </c>
      <c r="J17" s="527">
        <v>5.8999999999999915</v>
      </c>
      <c r="K17" s="527"/>
      <c r="L17" s="527">
        <v>3.0000000000000027E-2</v>
      </c>
      <c r="M17" s="527">
        <v>-2.5130928808038968</v>
      </c>
      <c r="N17" s="527">
        <v>-1.4705882352941124</v>
      </c>
      <c r="O17" s="527">
        <v>-2.2614840989399214</v>
      </c>
      <c r="P17" s="527">
        <v>8.6169754416195024E-2</v>
      </c>
      <c r="Q17" s="527">
        <v>1.3986013986014016</v>
      </c>
      <c r="R17" s="527">
        <v>0.29999999999999716</v>
      </c>
      <c r="S17" s="527">
        <v>1.3068659967328282</v>
      </c>
      <c r="T17" s="527"/>
      <c r="U17" s="527">
        <v>0.11344299489507489</v>
      </c>
      <c r="V17" s="527">
        <v>-4.4670050761421374</v>
      </c>
      <c r="W17" s="527">
        <v>0</v>
      </c>
      <c r="X17" s="527">
        <v>-4.4000000000000004</v>
      </c>
      <c r="Y17" s="527">
        <v>1.9104297164059325</v>
      </c>
      <c r="Z17" s="527">
        <v>-9.9999999999999978E-2</v>
      </c>
      <c r="AA17" s="527">
        <v>-3.6032901766854812</v>
      </c>
    </row>
    <row r="18" spans="1:27" s="546" customFormat="1">
      <c r="A18" s="528" t="s">
        <v>338</v>
      </c>
      <c r="B18" s="529">
        <v>1989</v>
      </c>
      <c r="C18" s="530">
        <v>1</v>
      </c>
      <c r="D18" s="531">
        <v>3.9345109997490524</v>
      </c>
      <c r="E18" s="531">
        <v>-3.1170039544080099</v>
      </c>
      <c r="F18" s="531">
        <v>-0.22927015666794909</v>
      </c>
      <c r="G18" s="531">
        <v>1.9962781255286755</v>
      </c>
      <c r="H18" s="531">
        <v>-5.9467918622848197</v>
      </c>
      <c r="I18" s="531">
        <v>1</v>
      </c>
      <c r="J18" s="531">
        <v>8.5</v>
      </c>
      <c r="K18" s="531"/>
      <c r="L18" s="531">
        <v>1.0000000000000009E-2</v>
      </c>
      <c r="M18" s="531">
        <v>-0.52425378392853128</v>
      </c>
      <c r="N18" s="531">
        <v>-5.3231939163498048</v>
      </c>
      <c r="O18" s="531">
        <v>-4.1590660342940655</v>
      </c>
      <c r="P18" s="531">
        <v>-1.1260285838025095</v>
      </c>
      <c r="Q18" s="531">
        <v>1.1507479861910241</v>
      </c>
      <c r="R18" s="531">
        <v>1.3999999999999915</v>
      </c>
      <c r="S18" s="531">
        <v>71.695851080612073</v>
      </c>
      <c r="T18" s="531"/>
      <c r="U18" s="531">
        <v>-0.22701475595914059</v>
      </c>
      <c r="V18" s="531">
        <v>-5.5496264674493094</v>
      </c>
      <c r="W18" s="531">
        <v>-0.10000000000000009</v>
      </c>
      <c r="X18" s="531">
        <v>0.70000000000000007</v>
      </c>
      <c r="Y18" s="531">
        <v>-9.5762001352265038</v>
      </c>
      <c r="Z18" s="531">
        <v>0.20000000000000007</v>
      </c>
      <c r="AA18" s="531">
        <v>2.9078031871118961</v>
      </c>
    </row>
    <row r="19" spans="1:27" s="546" customFormat="1">
      <c r="A19" s="520"/>
      <c r="B19" s="521" t="s">
        <v>141</v>
      </c>
      <c r="C19" s="522">
        <v>2</v>
      </c>
      <c r="D19" s="523">
        <v>-3.7284633382965091</v>
      </c>
      <c r="E19" s="523">
        <v>3.4370645610775687</v>
      </c>
      <c r="F19" s="523">
        <v>1.4432206608431493</v>
      </c>
      <c r="G19" s="523">
        <v>-5.4370268410185822</v>
      </c>
      <c r="H19" s="523">
        <v>13.346713497240341</v>
      </c>
      <c r="I19" s="523">
        <v>-2</v>
      </c>
      <c r="J19" s="523">
        <v>3.2000000000000028</v>
      </c>
      <c r="K19" s="523"/>
      <c r="L19" s="523">
        <v>-1.0000000000000009E-2</v>
      </c>
      <c r="M19" s="523">
        <v>-0.98639681172315474</v>
      </c>
      <c r="N19" s="523">
        <v>3.8314176245210727</v>
      </c>
      <c r="O19" s="523">
        <v>-0.67289719626166522</v>
      </c>
      <c r="P19" s="523">
        <v>-1.0507880910683038</v>
      </c>
      <c r="Q19" s="523">
        <v>-3.3740546829552129</v>
      </c>
      <c r="R19" s="523">
        <v>0.80000000000001137</v>
      </c>
      <c r="S19" s="523">
        <v>-82.512343552646698</v>
      </c>
      <c r="T19" s="523"/>
      <c r="U19" s="523">
        <v>0.22701475595914059</v>
      </c>
      <c r="V19" s="523">
        <v>-6.5759637188208595</v>
      </c>
      <c r="W19" s="523">
        <v>0</v>
      </c>
      <c r="X19" s="523">
        <v>-3.3</v>
      </c>
      <c r="Y19" s="523">
        <v>4.7537903734566402</v>
      </c>
      <c r="Z19" s="523">
        <v>-0.20000000000000007</v>
      </c>
      <c r="AA19" s="523">
        <v>19.275449234801538</v>
      </c>
    </row>
    <row r="20" spans="1:27" s="546" customFormat="1">
      <c r="A20" s="520"/>
      <c r="B20" s="521" t="s">
        <v>141</v>
      </c>
      <c r="C20" s="522">
        <v>3</v>
      </c>
      <c r="D20" s="523">
        <v>7.7920532067639217</v>
      </c>
      <c r="E20" s="523">
        <v>0.63723258989531439</v>
      </c>
      <c r="F20" s="523">
        <v>2.0156774916013567</v>
      </c>
      <c r="G20" s="523">
        <v>5.1016890727335404</v>
      </c>
      <c r="H20" s="523">
        <v>15.611448395490026</v>
      </c>
      <c r="I20" s="523">
        <v>0</v>
      </c>
      <c r="J20" s="523">
        <v>3.3000000000000114</v>
      </c>
      <c r="K20" s="523"/>
      <c r="L20" s="523">
        <v>-3.0000000000000027E-2</v>
      </c>
      <c r="M20" s="523">
        <v>0.48211065768244543</v>
      </c>
      <c r="N20" s="523">
        <v>2.2304832713754568</v>
      </c>
      <c r="O20" s="523">
        <v>8.4770114942528618</v>
      </c>
      <c r="P20" s="523">
        <v>3.6300777873811612</v>
      </c>
      <c r="Q20" s="523">
        <v>0.11827321111767512</v>
      </c>
      <c r="R20" s="523">
        <v>-2.4000000000000057</v>
      </c>
      <c r="S20" s="523">
        <v>17.122430741733698</v>
      </c>
      <c r="T20" s="523"/>
      <c r="U20" s="523">
        <v>0.45248868778279577</v>
      </c>
      <c r="V20" s="523">
        <v>16.657710908113916</v>
      </c>
      <c r="W20" s="523">
        <v>0.10000000000000009</v>
      </c>
      <c r="X20" s="523">
        <v>18.7</v>
      </c>
      <c r="Y20" s="523">
        <v>4.2089437070683369</v>
      </c>
      <c r="Z20" s="523">
        <v>-9.9999999999999978E-2</v>
      </c>
      <c r="AA20" s="523">
        <v>-20.628003128841211</v>
      </c>
    </row>
    <row r="21" spans="1:27" s="546" customFormat="1">
      <c r="A21" s="520"/>
      <c r="B21" s="521" t="s">
        <v>141</v>
      </c>
      <c r="C21" s="522">
        <v>4</v>
      </c>
      <c r="D21" s="523">
        <v>2.5575230622415388</v>
      </c>
      <c r="E21" s="523">
        <v>-7.9245283018867978</v>
      </c>
      <c r="F21" s="523">
        <v>-4.6898638426626453</v>
      </c>
      <c r="G21" s="523">
        <v>-1.2684989429175475</v>
      </c>
      <c r="H21" s="523">
        <v>-11.03565365025467</v>
      </c>
      <c r="I21" s="523">
        <v>2</v>
      </c>
      <c r="J21" s="523">
        <v>3.3999999999999773</v>
      </c>
      <c r="K21" s="523"/>
      <c r="L21" s="523">
        <v>1.0000000000000009E-2</v>
      </c>
      <c r="M21" s="523">
        <v>1.2139005730739916</v>
      </c>
      <c r="N21" s="523">
        <v>0</v>
      </c>
      <c r="O21" s="523">
        <v>-8.4770114942528618</v>
      </c>
      <c r="P21" s="523">
        <v>-3.5421166306695415</v>
      </c>
      <c r="Q21" s="523">
        <v>1.058201058201065</v>
      </c>
      <c r="R21" s="523">
        <v>1.0999999999999943</v>
      </c>
      <c r="S21" s="523">
        <v>12.906206684121347</v>
      </c>
      <c r="T21" s="523"/>
      <c r="U21" s="523">
        <v>-0.90702947845804682</v>
      </c>
      <c r="V21" s="523">
        <v>-5.190839694656483</v>
      </c>
      <c r="W21" s="523">
        <v>0</v>
      </c>
      <c r="X21" s="523">
        <v>-19.099999999999998</v>
      </c>
      <c r="Y21" s="523">
        <v>-20.493424914035725</v>
      </c>
      <c r="Z21" s="523">
        <v>0.89999999999999991</v>
      </c>
      <c r="AA21" s="523">
        <v>-4.8598703353923138</v>
      </c>
    </row>
    <row r="22" spans="1:27" s="546" customFormat="1">
      <c r="A22" s="520"/>
      <c r="B22" s="521" t="s">
        <v>141</v>
      </c>
      <c r="C22" s="522">
        <v>5</v>
      </c>
      <c r="D22" s="523">
        <v>1.4055222887558294</v>
      </c>
      <c r="E22" s="523">
        <v>7.1056371387967792</v>
      </c>
      <c r="F22" s="523">
        <v>0.61776061776062652</v>
      </c>
      <c r="G22" s="523">
        <v>5.4957788445621585</v>
      </c>
      <c r="H22" s="523">
        <v>-4.501607717041801</v>
      </c>
      <c r="I22" s="523">
        <v>-1</v>
      </c>
      <c r="J22" s="523">
        <v>3.3000000000000114</v>
      </c>
      <c r="K22" s="523"/>
      <c r="L22" s="523">
        <v>6.0000000000000053E-2</v>
      </c>
      <c r="M22" s="523">
        <v>-2.705546655038058</v>
      </c>
      <c r="N22" s="523">
        <v>-1.4814814814814763</v>
      </c>
      <c r="O22" s="523">
        <v>7.160940325497271</v>
      </c>
      <c r="P22" s="523">
        <v>3.711696158826066</v>
      </c>
      <c r="Q22" s="523">
        <v>-0.94007050528789327</v>
      </c>
      <c r="R22" s="523">
        <v>-2.1999999999999886</v>
      </c>
      <c r="S22" s="523">
        <v>-15.207383520515942</v>
      </c>
      <c r="T22" s="523"/>
      <c r="U22" s="523">
        <v>-0.22805017103763156</v>
      </c>
      <c r="V22" s="523">
        <v>4.3944813490035743</v>
      </c>
      <c r="W22" s="523">
        <v>0</v>
      </c>
      <c r="X22" s="523">
        <v>3</v>
      </c>
      <c r="Y22" s="523">
        <v>13.929856582159207</v>
      </c>
      <c r="Z22" s="523">
        <v>0.19999999999999996</v>
      </c>
      <c r="AA22" s="523">
        <v>10.89344018996735</v>
      </c>
    </row>
    <row r="23" spans="1:27" s="546" customFormat="1">
      <c r="A23" s="520"/>
      <c r="B23" s="521" t="s">
        <v>141</v>
      </c>
      <c r="C23" s="522">
        <v>6</v>
      </c>
      <c r="D23" s="523">
        <v>-4.5801096804623773</v>
      </c>
      <c r="E23" s="523">
        <v>-0.22899015342340279</v>
      </c>
      <c r="F23" s="523">
        <v>2.7334851936218638</v>
      </c>
      <c r="G23" s="523">
        <v>-1.3462006325521045</v>
      </c>
      <c r="H23" s="523">
        <v>-9.3457943925233646</v>
      </c>
      <c r="I23" s="523">
        <v>-2</v>
      </c>
      <c r="J23" s="523">
        <v>2</v>
      </c>
      <c r="K23" s="523"/>
      <c r="L23" s="523">
        <v>0</v>
      </c>
      <c r="M23" s="523">
        <v>3.5176496133984156</v>
      </c>
      <c r="N23" s="523">
        <v>2.9411764705882377</v>
      </c>
      <c r="O23" s="523">
        <v>1.7307026652821047</v>
      </c>
      <c r="P23" s="523">
        <v>-0.25456088247772352</v>
      </c>
      <c r="Q23" s="523">
        <v>1.5231400117164584</v>
      </c>
      <c r="R23" s="523">
        <v>0.69999999999998863</v>
      </c>
      <c r="S23" s="523">
        <v>24.68562747911216</v>
      </c>
      <c r="T23" s="523"/>
      <c r="U23" s="523">
        <v>0.68259385665529981</v>
      </c>
      <c r="V23" s="523">
        <v>5.825242718446602</v>
      </c>
      <c r="W23" s="523">
        <v>-0.19999999999999973</v>
      </c>
      <c r="X23" s="523">
        <v>1.2</v>
      </c>
      <c r="Y23" s="523">
        <v>27.019231230712375</v>
      </c>
      <c r="Z23" s="523">
        <v>0.20000000000000018</v>
      </c>
      <c r="AA23" s="523">
        <v>7.6263537906137184</v>
      </c>
    </row>
    <row r="24" spans="1:27" s="546" customFormat="1">
      <c r="A24" s="520"/>
      <c r="B24" s="521" t="s">
        <v>141</v>
      </c>
      <c r="C24" s="522">
        <v>7</v>
      </c>
      <c r="D24" s="523">
        <v>4.8095854193620973</v>
      </c>
      <c r="E24" s="523">
        <v>5.4415700267618279</v>
      </c>
      <c r="F24" s="523">
        <v>-3.1963470319634615</v>
      </c>
      <c r="G24" s="523">
        <v>0.9749756256093598</v>
      </c>
      <c r="H24" s="523">
        <v>-9.513513513513514</v>
      </c>
      <c r="I24" s="523">
        <v>0</v>
      </c>
      <c r="J24" s="523">
        <v>2</v>
      </c>
      <c r="K24" s="523"/>
      <c r="L24" s="523">
        <v>5.9999999999999831E-2</v>
      </c>
      <c r="M24" s="523">
        <v>-0.52276638295893896</v>
      </c>
      <c r="N24" s="523">
        <v>-0.72727272727273762</v>
      </c>
      <c r="O24" s="523">
        <v>2.8416779431664523</v>
      </c>
      <c r="P24" s="523">
        <v>-1.8867924528301911</v>
      </c>
      <c r="Q24" s="523">
        <v>-2.8301886792452899</v>
      </c>
      <c r="R24" s="523">
        <v>0.90000000000000568</v>
      </c>
      <c r="S24" s="523">
        <v>-5.8333494404391466</v>
      </c>
      <c r="T24" s="523"/>
      <c r="U24" s="523">
        <v>0.11331444759206155</v>
      </c>
      <c r="V24" s="523">
        <v>0.37664783427495824</v>
      </c>
      <c r="W24" s="523">
        <v>0</v>
      </c>
      <c r="X24" s="523">
        <v>-0.4</v>
      </c>
      <c r="Y24" s="523">
        <v>-28.780163986162382</v>
      </c>
      <c r="Z24" s="523">
        <v>0.10000000000000009</v>
      </c>
      <c r="AA24" s="523">
        <v>-7.2335825601297143</v>
      </c>
    </row>
    <row r="25" spans="1:27" s="546" customFormat="1">
      <c r="A25" s="520"/>
      <c r="B25" s="521" t="s">
        <v>141</v>
      </c>
      <c r="C25" s="522">
        <v>8</v>
      </c>
      <c r="D25" s="523">
        <v>8.4757464772062256</v>
      </c>
      <c r="E25" s="523">
        <v>-6.2695924764890281</v>
      </c>
      <c r="F25" s="523">
        <v>-3.2220039292730913</v>
      </c>
      <c r="G25" s="523">
        <v>-1.0403120936280885</v>
      </c>
      <c r="H25" s="523">
        <v>14.721345951629864</v>
      </c>
      <c r="I25" s="523">
        <v>-1</v>
      </c>
      <c r="J25" s="523">
        <v>2</v>
      </c>
      <c r="K25" s="523"/>
      <c r="L25" s="523">
        <v>8.0000000000000071E-2</v>
      </c>
      <c r="M25" s="523">
        <v>-1.3615151315974798</v>
      </c>
      <c r="N25" s="523">
        <v>0</v>
      </c>
      <c r="O25" s="523">
        <v>-1.8175698418041177</v>
      </c>
      <c r="P25" s="523">
        <v>2.2260273972602693</v>
      </c>
      <c r="Q25" s="523">
        <v>2.5974025974026009</v>
      </c>
      <c r="R25" s="523">
        <v>-1.2000000000000028</v>
      </c>
      <c r="S25" s="523">
        <v>5.0533669706966746</v>
      </c>
      <c r="T25" s="523"/>
      <c r="U25" s="523">
        <v>0.22624434389140591</v>
      </c>
      <c r="V25" s="523">
        <v>3.5087719298245585</v>
      </c>
      <c r="W25" s="523">
        <v>0</v>
      </c>
      <c r="X25" s="523">
        <v>-5.1000000000000005</v>
      </c>
      <c r="Y25" s="523">
        <v>6.7520982599795287</v>
      </c>
      <c r="Z25" s="523">
        <v>9.9999999999999645E-2</v>
      </c>
      <c r="AA25" s="523">
        <v>5.2821947724015521</v>
      </c>
    </row>
    <row r="26" spans="1:27" s="546" customFormat="1">
      <c r="A26" s="520"/>
      <c r="B26" s="521" t="s">
        <v>141</v>
      </c>
      <c r="C26" s="522">
        <v>9</v>
      </c>
      <c r="D26" s="523">
        <v>-13.497279534557988</v>
      </c>
      <c r="E26" s="523">
        <v>-9.7454545454545567</v>
      </c>
      <c r="F26" s="523">
        <v>5.4390054390054292</v>
      </c>
      <c r="G26" s="523">
        <v>0.17957717737327564</v>
      </c>
      <c r="H26" s="523">
        <v>-1.6790123456790123</v>
      </c>
      <c r="I26" s="523">
        <v>-1</v>
      </c>
      <c r="J26" s="523">
        <v>0.69999999999998863</v>
      </c>
      <c r="K26" s="523"/>
      <c r="L26" s="523">
        <v>-6.0000000000000053E-2</v>
      </c>
      <c r="M26" s="523">
        <v>-1.9416363584295047</v>
      </c>
      <c r="N26" s="523">
        <v>-1.4705882352941124</v>
      </c>
      <c r="O26" s="523">
        <v>-4.5865184155663625</v>
      </c>
      <c r="P26" s="523">
        <v>-0.59447983014861028</v>
      </c>
      <c r="Q26" s="523">
        <v>0.92807424593967203</v>
      </c>
      <c r="R26" s="523">
        <v>0.70000000000000284</v>
      </c>
      <c r="S26" s="523">
        <v>28.528772191749702</v>
      </c>
      <c r="T26" s="523"/>
      <c r="U26" s="523">
        <v>0</v>
      </c>
      <c r="V26" s="523">
        <v>-1.9239578561612538</v>
      </c>
      <c r="W26" s="523">
        <v>0</v>
      </c>
      <c r="X26" s="523">
        <v>0.5</v>
      </c>
      <c r="Y26" s="523">
        <v>-4.1122190381109824</v>
      </c>
      <c r="Z26" s="523">
        <v>-0.49999999999999978</v>
      </c>
      <c r="AA26" s="523">
        <v>29.465568070148908</v>
      </c>
    </row>
    <row r="27" spans="1:27" s="546" customFormat="1">
      <c r="A27" s="520"/>
      <c r="B27" s="521" t="s">
        <v>141</v>
      </c>
      <c r="C27" s="522">
        <v>10</v>
      </c>
      <c r="D27" s="523">
        <v>2.1134458884975049</v>
      </c>
      <c r="E27" s="523">
        <v>13.498098859315594</v>
      </c>
      <c r="F27" s="523">
        <v>-2.2179732313575351</v>
      </c>
      <c r="G27" s="523">
        <v>2.9092662541187817</v>
      </c>
      <c r="H27" s="523">
        <v>17.454545454545453</v>
      </c>
      <c r="I27" s="523">
        <v>2</v>
      </c>
      <c r="J27" s="523">
        <v>0.60000000000002274</v>
      </c>
      <c r="K27" s="523"/>
      <c r="L27" s="523">
        <v>3.0000000000000027E-2</v>
      </c>
      <c r="M27" s="523">
        <v>-4.8209034373041505E-2</v>
      </c>
      <c r="N27" s="523">
        <v>1.4705882352941124</v>
      </c>
      <c r="O27" s="523">
        <v>5.7340241796200422</v>
      </c>
      <c r="P27" s="523">
        <v>0.59447983014861028</v>
      </c>
      <c r="Q27" s="523">
        <v>-0.69524913093857976</v>
      </c>
      <c r="R27" s="523">
        <v>-0.29999999999999716</v>
      </c>
      <c r="S27" s="523">
        <v>-63.424306477861542</v>
      </c>
      <c r="T27" s="523"/>
      <c r="U27" s="523">
        <v>0.22573363431151564</v>
      </c>
      <c r="V27" s="523">
        <v>-9.2549745488194654E-2</v>
      </c>
      <c r="W27" s="523">
        <v>0</v>
      </c>
      <c r="X27" s="523">
        <v>0.80000000000000027</v>
      </c>
      <c r="Y27" s="523">
        <v>5.0135584946449985</v>
      </c>
      <c r="Z27" s="523">
        <v>0.30000000000000004</v>
      </c>
      <c r="AA27" s="523">
        <v>-22.445315648701129</v>
      </c>
    </row>
    <row r="28" spans="1:27" s="546" customFormat="1">
      <c r="A28" s="520"/>
      <c r="B28" s="521" t="s">
        <v>141</v>
      </c>
      <c r="C28" s="522">
        <v>11</v>
      </c>
      <c r="D28" s="523">
        <v>4.742018981880932</v>
      </c>
      <c r="E28" s="523">
        <v>5.5832070980307309</v>
      </c>
      <c r="F28" s="523">
        <v>0.61680801850422751</v>
      </c>
      <c r="G28" s="523">
        <v>-0.26969144126279049</v>
      </c>
      <c r="H28" s="523">
        <v>-25.980160604629191</v>
      </c>
      <c r="I28" s="523">
        <v>3</v>
      </c>
      <c r="J28" s="523">
        <v>0.69999999999998863</v>
      </c>
      <c r="K28" s="523"/>
      <c r="L28" s="523">
        <v>2.0000000000000018E-2</v>
      </c>
      <c r="M28" s="523">
        <v>-1.60600404417484</v>
      </c>
      <c r="N28" s="523">
        <v>-1.4705882352941124</v>
      </c>
      <c r="O28" s="523">
        <v>-0.74148972025614701</v>
      </c>
      <c r="P28" s="523">
        <v>0.2536997885835191</v>
      </c>
      <c r="Q28" s="523">
        <v>1.7291066282420748</v>
      </c>
      <c r="R28" s="523">
        <v>-0.90000000000000568</v>
      </c>
      <c r="S28" s="523">
        <v>33.454230251602461</v>
      </c>
      <c r="T28" s="523"/>
      <c r="U28" s="523">
        <v>-0.33879164313946597</v>
      </c>
      <c r="V28" s="523">
        <v>-9.505334626576138</v>
      </c>
      <c r="W28" s="523">
        <v>0</v>
      </c>
      <c r="X28" s="523">
        <v>0.10000000000000009</v>
      </c>
      <c r="Y28" s="523">
        <v>-5.2665430439388832</v>
      </c>
      <c r="Z28" s="523">
        <v>-0.5</v>
      </c>
      <c r="AA28" s="523">
        <v>2.7997070074062091</v>
      </c>
    </row>
    <row r="29" spans="1:27" s="546" customFormat="1">
      <c r="A29" s="532"/>
      <c r="B29" s="533" t="s">
        <v>141</v>
      </c>
      <c r="C29" s="534">
        <v>12</v>
      </c>
      <c r="D29" s="535">
        <v>-5.8245959767682285</v>
      </c>
      <c r="E29" s="535">
        <v>-2.6450511945392443</v>
      </c>
      <c r="F29" s="535">
        <v>-1.6272762495156869</v>
      </c>
      <c r="G29" s="535">
        <v>2.261661693105073</v>
      </c>
      <c r="H29" s="535">
        <v>44.818871103622577</v>
      </c>
      <c r="I29" s="535">
        <v>-4</v>
      </c>
      <c r="J29" s="535">
        <v>-1.3000000000000114</v>
      </c>
      <c r="K29" s="535"/>
      <c r="L29" s="535">
        <v>-2.0000000000000018E-2</v>
      </c>
      <c r="M29" s="535">
        <v>0.46150536793320618</v>
      </c>
      <c r="N29" s="535">
        <v>0</v>
      </c>
      <c r="O29" s="535">
        <v>0.33772374197906108</v>
      </c>
      <c r="P29" s="535">
        <v>1.1754827875734606</v>
      </c>
      <c r="Q29" s="535">
        <v>0.1142204454597308</v>
      </c>
      <c r="R29" s="535">
        <v>-0.20000000000000284</v>
      </c>
      <c r="S29" s="535">
        <v>11.867647058823536</v>
      </c>
      <c r="T29" s="535"/>
      <c r="U29" s="535">
        <v>0.45146726862301523</v>
      </c>
      <c r="V29" s="535">
        <v>3.6981509245377335</v>
      </c>
      <c r="W29" s="535">
        <v>-0.10000000000000009</v>
      </c>
      <c r="X29" s="535">
        <v>7.3</v>
      </c>
      <c r="Y29" s="535">
        <v>-1.0591869215369856</v>
      </c>
      <c r="Z29" s="535">
        <v>0.5</v>
      </c>
      <c r="AA29" s="535">
        <v>2.1517328992814249</v>
      </c>
    </row>
    <row r="30" spans="1:27" s="546" customFormat="1">
      <c r="A30" s="528" t="s">
        <v>339</v>
      </c>
      <c r="B30" s="529">
        <v>1990</v>
      </c>
      <c r="C30" s="530">
        <v>1</v>
      </c>
      <c r="D30" s="531">
        <v>-0.36086607858861003</v>
      </c>
      <c r="E30" s="531">
        <v>1.884368308351168</v>
      </c>
      <c r="F30" s="531">
        <v>-2.3715415019762847</v>
      </c>
      <c r="G30" s="531">
        <v>-4.1534559289790742</v>
      </c>
      <c r="H30" s="531">
        <v>-20.068156001514577</v>
      </c>
      <c r="I30" s="531">
        <v>0</v>
      </c>
      <c r="J30" s="531">
        <v>-1.3999999999999773</v>
      </c>
      <c r="K30" s="531"/>
      <c r="L30" s="531">
        <v>1.0000000000000009E-2</v>
      </c>
      <c r="M30" s="531">
        <v>-3.1228327421879718</v>
      </c>
      <c r="N30" s="531">
        <v>0</v>
      </c>
      <c r="O30" s="531">
        <v>5.6993121519816494</v>
      </c>
      <c r="P30" s="531">
        <v>0.49958368026645178</v>
      </c>
      <c r="Q30" s="531">
        <v>-4.0768782760629003</v>
      </c>
      <c r="R30" s="531">
        <v>-1.0999999999999943</v>
      </c>
      <c r="S30" s="531">
        <v>-0.12501736352270831</v>
      </c>
      <c r="T30" s="531"/>
      <c r="U30" s="531">
        <v>-0.22547914317925916</v>
      </c>
      <c r="V30" s="531">
        <v>10.418604651162781</v>
      </c>
      <c r="W30" s="531">
        <v>0.10000000000000009</v>
      </c>
      <c r="X30" s="531">
        <v>0.40000000000000036</v>
      </c>
      <c r="Y30" s="531">
        <v>0.82862230784498514</v>
      </c>
      <c r="Z30" s="531">
        <v>-0.30000000000000004</v>
      </c>
      <c r="AA30" s="531">
        <v>-6.6013429898768514</v>
      </c>
    </row>
    <row r="31" spans="1:27" s="546" customFormat="1">
      <c r="A31" s="520"/>
      <c r="B31" s="521" t="s">
        <v>141</v>
      </c>
      <c r="C31" s="522">
        <v>2</v>
      </c>
      <c r="D31" s="523">
        <v>9.9527649219905463</v>
      </c>
      <c r="E31" s="523">
        <v>-1.7979452054794471</v>
      </c>
      <c r="F31" s="523">
        <v>2.7613412228796843</v>
      </c>
      <c r="G31" s="523">
        <v>5.6018882769472853</v>
      </c>
      <c r="H31" s="523">
        <v>-11.953612845673506</v>
      </c>
      <c r="I31" s="523">
        <v>0</v>
      </c>
      <c r="J31" s="523">
        <v>-1.3000000000000114</v>
      </c>
      <c r="K31" s="523"/>
      <c r="L31" s="523">
        <v>4.0000000000000036E-2</v>
      </c>
      <c r="M31" s="523">
        <v>-4.630794785320929E-2</v>
      </c>
      <c r="N31" s="523">
        <v>0</v>
      </c>
      <c r="O31" s="523">
        <v>-3.4996759559300097</v>
      </c>
      <c r="P31" s="523">
        <v>-1.3377926421404753</v>
      </c>
      <c r="Q31" s="523">
        <v>-0.23809523809522457</v>
      </c>
      <c r="R31" s="523">
        <v>2.2999999999999972</v>
      </c>
      <c r="S31" s="523">
        <v>2.7046019367554934</v>
      </c>
      <c r="T31" s="523"/>
      <c r="U31" s="523">
        <v>0.67491563554556633</v>
      </c>
      <c r="V31" s="523">
        <v>-5.9171597633136095</v>
      </c>
      <c r="W31" s="523">
        <v>0</v>
      </c>
      <c r="X31" s="523">
        <v>9.9999999999999645E-2</v>
      </c>
      <c r="Y31" s="523">
        <v>1.914436306386474</v>
      </c>
      <c r="Z31" s="523">
        <v>1.3</v>
      </c>
      <c r="AA31" s="523">
        <v>-2.4291841848218576</v>
      </c>
    </row>
    <row r="32" spans="1:27" s="546" customFormat="1">
      <c r="A32" s="520"/>
      <c r="B32" s="521" t="s">
        <v>141</v>
      </c>
      <c r="C32" s="522">
        <v>3</v>
      </c>
      <c r="D32" s="523">
        <v>-1.3741885292521649</v>
      </c>
      <c r="E32" s="523">
        <v>-1.5233949945593035</v>
      </c>
      <c r="F32" s="523">
        <v>-0.31176929072486803</v>
      </c>
      <c r="G32" s="523">
        <v>-5.1338409608289508</v>
      </c>
      <c r="H32" s="523">
        <v>-4.2635658914728678</v>
      </c>
      <c r="I32" s="523">
        <v>0</v>
      </c>
      <c r="J32" s="523">
        <v>2</v>
      </c>
      <c r="K32" s="523"/>
      <c r="L32" s="523">
        <v>-1.0000000000000009E-2</v>
      </c>
      <c r="M32" s="523">
        <v>-1.5607399815309164</v>
      </c>
      <c r="N32" s="523">
        <v>2.9197080291970829</v>
      </c>
      <c r="O32" s="523">
        <v>-3.2852832718739569</v>
      </c>
      <c r="P32" s="523">
        <v>1.1715481171548165</v>
      </c>
      <c r="Q32" s="523">
        <v>4.6565774155995339</v>
      </c>
      <c r="R32" s="523">
        <v>-1.0999999999999943</v>
      </c>
      <c r="S32" s="523">
        <v>-14.763296954729523</v>
      </c>
      <c r="T32" s="523"/>
      <c r="U32" s="523">
        <v>-0.224466891133561</v>
      </c>
      <c r="V32" s="523">
        <v>-7.4939172749391618</v>
      </c>
      <c r="W32" s="523">
        <v>-0.20000000000000018</v>
      </c>
      <c r="X32" s="523">
        <v>-10.5</v>
      </c>
      <c r="Y32" s="523">
        <v>0.21700171894620063</v>
      </c>
      <c r="Z32" s="523">
        <v>0.19999999999999973</v>
      </c>
      <c r="AA32" s="523">
        <v>-3.0097817908193835E-2</v>
      </c>
    </row>
    <row r="33" spans="1:27" s="546" customFormat="1">
      <c r="A33" s="520"/>
      <c r="B33" s="521" t="s">
        <v>141</v>
      </c>
      <c r="C33" s="522">
        <v>4</v>
      </c>
      <c r="D33" s="523">
        <v>-5.5726213513403806</v>
      </c>
      <c r="E33" s="523">
        <v>-7.5557578516158381</v>
      </c>
      <c r="F33" s="523">
        <v>3.7533512064343202</v>
      </c>
      <c r="G33" s="523">
        <v>2.3566878980891719</v>
      </c>
      <c r="H33" s="523">
        <v>13.049514113836187</v>
      </c>
      <c r="I33" s="523">
        <v>0</v>
      </c>
      <c r="J33" s="523">
        <v>2</v>
      </c>
      <c r="K33" s="523"/>
      <c r="L33" s="523">
        <v>3.0000000000000027E-2</v>
      </c>
      <c r="M33" s="523">
        <v>-6.6295423565835732</v>
      </c>
      <c r="N33" s="523">
        <v>1.4285714285714235</v>
      </c>
      <c r="O33" s="523">
        <v>-6.8189566996245704E-2</v>
      </c>
      <c r="P33" s="523">
        <v>-0.50041701417848916</v>
      </c>
      <c r="Q33" s="523">
        <v>-1.9529006318207958</v>
      </c>
      <c r="R33" s="523">
        <v>1.8999999999999915</v>
      </c>
      <c r="S33" s="523">
        <v>-2.7024878785470157</v>
      </c>
      <c r="T33" s="523"/>
      <c r="U33" s="523">
        <v>0.224466891133561</v>
      </c>
      <c r="V33" s="523">
        <v>10.62709430349449</v>
      </c>
      <c r="W33" s="523">
        <v>0.10000000000000009</v>
      </c>
      <c r="X33" s="523">
        <v>13.4</v>
      </c>
      <c r="Y33" s="523">
        <v>7.051470329076448</v>
      </c>
      <c r="Z33" s="523">
        <v>-1</v>
      </c>
      <c r="AA33" s="523">
        <v>6.1076021929001731</v>
      </c>
    </row>
    <row r="34" spans="1:27" s="546" customFormat="1">
      <c r="A34" s="520"/>
      <c r="B34" s="521" t="s">
        <v>141</v>
      </c>
      <c r="C34" s="522">
        <v>5</v>
      </c>
      <c r="D34" s="523">
        <v>7.4112797828490953</v>
      </c>
      <c r="E34" s="523">
        <v>2.7985074626865671</v>
      </c>
      <c r="F34" s="523">
        <v>1.7883755588673664</v>
      </c>
      <c r="G34" s="523">
        <v>7.9201934703748487</v>
      </c>
      <c r="H34" s="523">
        <v>18.382642998027613</v>
      </c>
      <c r="I34" s="523">
        <v>-1</v>
      </c>
      <c r="J34" s="523">
        <v>2</v>
      </c>
      <c r="K34" s="523"/>
      <c r="L34" s="523">
        <v>0</v>
      </c>
      <c r="M34" s="523">
        <v>2.4184841286979055</v>
      </c>
      <c r="N34" s="523">
        <v>1.4084507042253598</v>
      </c>
      <c r="O34" s="523">
        <v>0.81521739130435944</v>
      </c>
      <c r="P34" s="523">
        <v>-0.58700209643604917</v>
      </c>
      <c r="Q34" s="523">
        <v>1.6110471806674238</v>
      </c>
      <c r="R34" s="523">
        <v>1</v>
      </c>
      <c r="S34" s="523">
        <v>4.7817538340542809</v>
      </c>
      <c r="T34" s="523"/>
      <c r="U34" s="523">
        <v>0.55897149245388489</v>
      </c>
      <c r="V34" s="523">
        <v>-2.0202020202020226</v>
      </c>
      <c r="W34" s="523">
        <v>0</v>
      </c>
      <c r="X34" s="523">
        <v>-5.5</v>
      </c>
      <c r="Y34" s="523">
        <v>-15.759847864470967</v>
      </c>
      <c r="Z34" s="523">
        <v>0.5</v>
      </c>
      <c r="AA34" s="523">
        <v>-21.253552328313461</v>
      </c>
    </row>
    <row r="35" spans="1:27" s="546" customFormat="1">
      <c r="A35" s="520"/>
      <c r="B35" s="521" t="s">
        <v>141</v>
      </c>
      <c r="C35" s="522">
        <v>6</v>
      </c>
      <c r="D35" s="523">
        <v>2.8200602751247259</v>
      </c>
      <c r="E35" s="523">
        <v>6.5836298932384256</v>
      </c>
      <c r="F35" s="523">
        <v>5.1798561151079054</v>
      </c>
      <c r="G35" s="523">
        <v>-3.2055543245439102</v>
      </c>
      <c r="H35" s="523">
        <v>-38.005159071367153</v>
      </c>
      <c r="I35" s="523">
        <v>0</v>
      </c>
      <c r="J35" s="523">
        <v>0</v>
      </c>
      <c r="K35" s="523"/>
      <c r="L35" s="523">
        <v>7.0000000000000062E-2</v>
      </c>
      <c r="M35" s="523">
        <v>0.9322672782679714</v>
      </c>
      <c r="N35" s="523">
        <v>-0.70175438596492223</v>
      </c>
      <c r="O35" s="523">
        <v>3.0646235842771441</v>
      </c>
      <c r="P35" s="523">
        <v>2.7374533388635394</v>
      </c>
      <c r="Q35" s="523">
        <v>0.45558086560365113</v>
      </c>
      <c r="R35" s="523">
        <v>-1.5999999999999943</v>
      </c>
      <c r="S35" s="523">
        <v>6.0195187364970533</v>
      </c>
      <c r="T35" s="523"/>
      <c r="U35" s="523">
        <v>0</v>
      </c>
      <c r="V35" s="523">
        <v>0.2779064381658149</v>
      </c>
      <c r="W35" s="523">
        <v>0.10000000000000009</v>
      </c>
      <c r="X35" s="523">
        <v>3.4</v>
      </c>
      <c r="Y35" s="523">
        <v>2.60125632168831</v>
      </c>
      <c r="Z35" s="523">
        <v>-0.89999999999999991</v>
      </c>
      <c r="AA35" s="523">
        <v>33.925861244516526</v>
      </c>
    </row>
    <row r="36" spans="1:27" s="546" customFormat="1">
      <c r="A36" s="520"/>
      <c r="B36" s="521" t="s">
        <v>141</v>
      </c>
      <c r="C36" s="522">
        <v>7</v>
      </c>
      <c r="D36" s="523">
        <v>-9.6969696969696972</v>
      </c>
      <c r="E36" s="523">
        <v>7.382828701783497</v>
      </c>
      <c r="F36" s="523">
        <v>-6.6666666666666581</v>
      </c>
      <c r="G36" s="523">
        <v>-0.99577549788774899</v>
      </c>
      <c r="H36" s="523">
        <v>23.430178069353328</v>
      </c>
      <c r="I36" s="523">
        <v>-1</v>
      </c>
      <c r="J36" s="523">
        <v>0</v>
      </c>
      <c r="K36" s="523"/>
      <c r="L36" s="523">
        <v>1.0000000000000009E-2</v>
      </c>
      <c r="M36" s="523">
        <v>0.24700480287118229</v>
      </c>
      <c r="N36" s="523">
        <v>-0.7067137809187255</v>
      </c>
      <c r="O36" s="523">
        <v>2.6545807704758788</v>
      </c>
      <c r="P36" s="523">
        <v>0</v>
      </c>
      <c r="Q36" s="523">
        <v>1.3544018058690779</v>
      </c>
      <c r="R36" s="523">
        <v>0.5</v>
      </c>
      <c r="S36" s="523">
        <v>-3.6789482406231047</v>
      </c>
      <c r="T36" s="523"/>
      <c r="U36" s="523">
        <v>0.44493882091211506</v>
      </c>
      <c r="V36" s="523">
        <v>-1.7732151189920591</v>
      </c>
      <c r="W36" s="523">
        <v>-0.10000000000000009</v>
      </c>
      <c r="X36" s="523">
        <v>-4.8999999999999995</v>
      </c>
      <c r="Y36" s="523">
        <v>-7.7870751532871152</v>
      </c>
      <c r="Z36" s="523">
        <v>0.10000000000000009</v>
      </c>
      <c r="AA36" s="523">
        <v>-20.024248112949273</v>
      </c>
    </row>
    <row r="37" spans="1:27" s="546" customFormat="1">
      <c r="A37" s="520"/>
      <c r="B37" s="521" t="s">
        <v>141</v>
      </c>
      <c r="C37" s="522">
        <v>8</v>
      </c>
      <c r="D37" s="523">
        <v>6.626949595019747</v>
      </c>
      <c r="E37" s="523">
        <v>-6.910821435961096</v>
      </c>
      <c r="F37" s="523">
        <v>3.8235294117646976</v>
      </c>
      <c r="G37" s="523">
        <v>2.1598920053997301</v>
      </c>
      <c r="H37" s="523">
        <v>-22.180801491146319</v>
      </c>
      <c r="I37" s="523">
        <v>0</v>
      </c>
      <c r="J37" s="523">
        <v>0</v>
      </c>
      <c r="K37" s="523"/>
      <c r="L37" s="523">
        <v>0</v>
      </c>
      <c r="M37" s="523">
        <v>0.60123189472134075</v>
      </c>
      <c r="N37" s="523">
        <v>-0.71174377224199037</v>
      </c>
      <c r="O37" s="523">
        <v>-2.8515878159429717</v>
      </c>
      <c r="P37" s="523">
        <v>0.65252854812397809</v>
      </c>
      <c r="Q37" s="523">
        <v>-1.0140845070422599</v>
      </c>
      <c r="R37" s="523">
        <v>-1.2999999999999972</v>
      </c>
      <c r="S37" s="523">
        <v>54.131038539942274</v>
      </c>
      <c r="T37" s="523"/>
      <c r="U37" s="523">
        <v>0.1109262340543633</v>
      </c>
      <c r="V37" s="523">
        <v>1.6806722689075604</v>
      </c>
      <c r="W37" s="523">
        <v>-0.10000000000000009</v>
      </c>
      <c r="X37" s="523">
        <v>5.6999999999999993</v>
      </c>
      <c r="Y37" s="523">
        <v>0.8634974122952368</v>
      </c>
      <c r="Z37" s="523">
        <v>0.10000000000000009</v>
      </c>
      <c r="AA37" s="523">
        <v>-4.7064056939501864</v>
      </c>
    </row>
    <row r="38" spans="1:27" s="546" customFormat="1">
      <c r="A38" s="520"/>
      <c r="B38" s="521" t="s">
        <v>141</v>
      </c>
      <c r="C38" s="522">
        <v>9</v>
      </c>
      <c r="D38" s="523">
        <v>-3.9093413308142981</v>
      </c>
      <c r="E38" s="523">
        <v>2.9560810810810811</v>
      </c>
      <c r="F38" s="523">
        <v>-4.3494286767416197</v>
      </c>
      <c r="G38" s="523">
        <v>-4.5064866095136944</v>
      </c>
      <c r="H38" s="523">
        <v>21.682242990654206</v>
      </c>
      <c r="I38" s="523">
        <v>0</v>
      </c>
      <c r="J38" s="523">
        <v>0</v>
      </c>
      <c r="K38" s="523"/>
      <c r="L38" s="523">
        <v>-3.0000000000000027E-2</v>
      </c>
      <c r="M38" s="523">
        <v>-2.9606942317508893</v>
      </c>
      <c r="N38" s="523">
        <v>0</v>
      </c>
      <c r="O38" s="523">
        <v>1.8886356235753863</v>
      </c>
      <c r="P38" s="523">
        <v>-2.5524907369287724</v>
      </c>
      <c r="Q38" s="523">
        <v>-4.8723897911832985</v>
      </c>
      <c r="R38" s="523">
        <v>2</v>
      </c>
      <c r="S38" s="523">
        <v>-69.659137100052277</v>
      </c>
      <c r="T38" s="523"/>
      <c r="U38" s="523">
        <v>-0.77907623817473892</v>
      </c>
      <c r="V38" s="523">
        <v>-1.0237319683573702</v>
      </c>
      <c r="W38" s="523">
        <v>0.10000000000000009</v>
      </c>
      <c r="X38" s="523">
        <v>-5.5</v>
      </c>
      <c r="Y38" s="523">
        <v>3.6580953865855705</v>
      </c>
      <c r="Z38" s="523">
        <v>-0.20000000000000018</v>
      </c>
      <c r="AA38" s="523">
        <v>-1.0487028598905546</v>
      </c>
    </row>
    <row r="39" spans="1:27" s="546" customFormat="1">
      <c r="A39" s="520"/>
      <c r="B39" s="521" t="s">
        <v>141</v>
      </c>
      <c r="C39" s="522">
        <v>10</v>
      </c>
      <c r="D39" s="523">
        <v>1.4315147298852111</v>
      </c>
      <c r="E39" s="523">
        <v>-4.0331139885374654</v>
      </c>
      <c r="F39" s="523">
        <v>3.0426716141002026</v>
      </c>
      <c r="G39" s="523">
        <v>1.9217464832039357</v>
      </c>
      <c r="H39" s="523">
        <v>-17.61467889908257</v>
      </c>
      <c r="I39" s="523">
        <v>6</v>
      </c>
      <c r="J39" s="523">
        <v>0</v>
      </c>
      <c r="K39" s="523"/>
      <c r="L39" s="523">
        <v>-3.0000000000000027E-2</v>
      </c>
      <c r="M39" s="523">
        <v>6.9060773480659046E-2</v>
      </c>
      <c r="N39" s="523">
        <v>1.4184397163120517</v>
      </c>
      <c r="O39" s="523">
        <v>2.0434227330778985</v>
      </c>
      <c r="P39" s="523">
        <v>2.6337448559670689</v>
      </c>
      <c r="Q39" s="523">
        <v>4.645760743321719</v>
      </c>
      <c r="R39" s="523">
        <v>-1</v>
      </c>
      <c r="S39" s="523">
        <v>4.6220133176655036</v>
      </c>
      <c r="T39" s="523"/>
      <c r="U39" s="523">
        <v>0.55710306406685239</v>
      </c>
      <c r="V39" s="523">
        <v>10.628875110717448</v>
      </c>
      <c r="W39" s="523">
        <v>0.10000000000000009</v>
      </c>
      <c r="X39" s="523">
        <v>1.5</v>
      </c>
      <c r="Y39" s="523">
        <v>-5.3487754472830282</v>
      </c>
      <c r="Z39" s="523">
        <v>0.5</v>
      </c>
      <c r="AA39" s="523">
        <v>3.806986248786334</v>
      </c>
    </row>
    <row r="40" spans="1:27" s="546" customFormat="1">
      <c r="A40" s="520"/>
      <c r="B40" s="521" t="s">
        <v>141</v>
      </c>
      <c r="C40" s="522">
        <v>11</v>
      </c>
      <c r="D40" s="523">
        <v>-7.792100251179999</v>
      </c>
      <c r="E40" s="523">
        <v>-1.2205754141238061</v>
      </c>
      <c r="F40" s="523">
        <v>-5.5597295266716786</v>
      </c>
      <c r="G40" s="523">
        <v>-9.2567513741735041</v>
      </c>
      <c r="H40" s="523">
        <v>6.1433447098976108</v>
      </c>
      <c r="I40" s="523">
        <v>-5</v>
      </c>
      <c r="J40" s="523">
        <v>0</v>
      </c>
      <c r="K40" s="523"/>
      <c r="L40" s="523">
        <v>5.0000000000000044E-2</v>
      </c>
      <c r="M40" s="523">
        <v>-2.9599789823977538</v>
      </c>
      <c r="N40" s="523">
        <v>0.70175438596492223</v>
      </c>
      <c r="O40" s="523">
        <v>-3.538115149565777</v>
      </c>
      <c r="P40" s="523">
        <v>-2.2176591375769927</v>
      </c>
      <c r="Q40" s="523">
        <v>-2.6451983898792379</v>
      </c>
      <c r="R40" s="523">
        <v>2.0999999999999943</v>
      </c>
      <c r="S40" s="523">
        <v>32.968594571550376</v>
      </c>
      <c r="T40" s="523"/>
      <c r="U40" s="523">
        <v>0.44345898004435219</v>
      </c>
      <c r="V40" s="523">
        <v>-6.7826086956521836</v>
      </c>
      <c r="W40" s="523">
        <v>-0.20000000000000018</v>
      </c>
      <c r="X40" s="523">
        <v>3.1</v>
      </c>
      <c r="Y40" s="523">
        <v>0.67893246309945798</v>
      </c>
      <c r="Z40" s="523">
        <v>1.5</v>
      </c>
      <c r="AA40" s="523">
        <v>1.0009480344819903</v>
      </c>
    </row>
    <row r="41" spans="1:27" s="546" customFormat="1">
      <c r="A41" s="532"/>
      <c r="B41" s="533" t="s">
        <v>141</v>
      </c>
      <c r="C41" s="534">
        <v>12</v>
      </c>
      <c r="D41" s="535">
        <v>17.247759392181816</v>
      </c>
      <c r="E41" s="535">
        <v>-0.39551746868820287</v>
      </c>
      <c r="F41" s="535">
        <v>-7.730962504831411E-2</v>
      </c>
      <c r="G41" s="535">
        <v>7.1209924279039791</v>
      </c>
      <c r="H41" s="535">
        <v>6.498855835240275</v>
      </c>
      <c r="I41" s="535">
        <v>0</v>
      </c>
      <c r="J41" s="535">
        <v>-1.3000000000000114</v>
      </c>
      <c r="K41" s="535"/>
      <c r="L41" s="535">
        <v>2.0000000000000018E-2</v>
      </c>
      <c r="M41" s="535">
        <v>1.1027746162940948</v>
      </c>
      <c r="N41" s="535">
        <v>-7.2463768115942022</v>
      </c>
      <c r="O41" s="535">
        <v>0.39215686274511291</v>
      </c>
      <c r="P41" s="535">
        <v>-1.4219991635299061</v>
      </c>
      <c r="Q41" s="535">
        <v>1.733102253032929</v>
      </c>
      <c r="R41" s="535">
        <v>1.4000000000000057</v>
      </c>
      <c r="S41" s="535">
        <v>-42.959559845130691</v>
      </c>
      <c r="T41" s="535"/>
      <c r="U41" s="535">
        <v>-0.2214839424141781</v>
      </c>
      <c r="V41" s="535">
        <v>0.53859964093358037</v>
      </c>
      <c r="W41" s="535">
        <v>0</v>
      </c>
      <c r="X41" s="535">
        <v>-1.1000000000000005</v>
      </c>
      <c r="Y41" s="535">
        <v>4.3461366742805074</v>
      </c>
      <c r="Z41" s="535">
        <v>-0.60000000000000009</v>
      </c>
      <c r="AA41" s="535">
        <v>9.2400401740877207</v>
      </c>
    </row>
    <row r="42" spans="1:27" s="546" customFormat="1">
      <c r="A42" s="536" t="s">
        <v>340</v>
      </c>
      <c r="B42" s="537">
        <v>1991</v>
      </c>
      <c r="C42" s="538">
        <v>1</v>
      </c>
      <c r="D42" s="539">
        <v>-4.5302085971425203</v>
      </c>
      <c r="E42" s="539">
        <v>1.225382932166307</v>
      </c>
      <c r="F42" s="539">
        <v>6.4371257485029885</v>
      </c>
      <c r="G42" s="539">
        <v>3.3950145282153232</v>
      </c>
      <c r="H42" s="539">
        <v>7.2618539085860743</v>
      </c>
      <c r="I42" s="539">
        <v>1</v>
      </c>
      <c r="J42" s="539">
        <v>-1.3999999999999773</v>
      </c>
      <c r="K42" s="539"/>
      <c r="L42" s="539">
        <v>5.9999999999999831E-2</v>
      </c>
      <c r="M42" s="539">
        <v>-1.0250292707711939</v>
      </c>
      <c r="N42" s="539">
        <v>0.7490636704119823</v>
      </c>
      <c r="O42" s="539">
        <v>-0.5232177894048472</v>
      </c>
      <c r="P42" s="539">
        <v>1.5050167224080244</v>
      </c>
      <c r="Q42" s="539">
        <v>1.7035775127768313</v>
      </c>
      <c r="R42" s="539">
        <v>-2.6000000000000085</v>
      </c>
      <c r="S42" s="539">
        <v>16.669550173010364</v>
      </c>
      <c r="T42" s="539"/>
      <c r="U42" s="539">
        <v>0.2214839424141781</v>
      </c>
      <c r="V42" s="539">
        <v>-1.35196034249662</v>
      </c>
      <c r="W42" s="539">
        <v>0</v>
      </c>
      <c r="X42" s="539">
        <v>0.60000000000000053</v>
      </c>
      <c r="Y42" s="539">
        <v>1.8631053430197082</v>
      </c>
      <c r="Z42" s="539">
        <v>0.40000000000000036</v>
      </c>
      <c r="AA42" s="539">
        <v>-8.5810232985002948</v>
      </c>
    </row>
    <row r="43" spans="1:27" s="546" customFormat="1">
      <c r="A43" s="520"/>
      <c r="B43" s="521" t="s">
        <v>141</v>
      </c>
      <c r="C43" s="522">
        <v>2</v>
      </c>
      <c r="D43" s="523">
        <v>-1.6234469576298138</v>
      </c>
      <c r="E43" s="523">
        <v>-0.69838498472282595</v>
      </c>
      <c r="F43" s="523">
        <v>-0.87399854333577343</v>
      </c>
      <c r="G43" s="523">
        <v>0.49501237530938275</v>
      </c>
      <c r="H43" s="523">
        <v>-10.134257254222607</v>
      </c>
      <c r="I43" s="523">
        <v>-1</v>
      </c>
      <c r="J43" s="523">
        <v>-1.3000000000000114</v>
      </c>
      <c r="K43" s="523"/>
      <c r="L43" s="523">
        <v>-2.0000000000000018E-2</v>
      </c>
      <c r="M43" s="523">
        <v>-0.66837473543500059</v>
      </c>
      <c r="N43" s="523">
        <v>8.5714285714285658</v>
      </c>
      <c r="O43" s="523">
        <v>-0.65789473684210531</v>
      </c>
      <c r="P43" s="523">
        <v>0.99091659785301645</v>
      </c>
      <c r="Q43" s="523">
        <v>3.3222591362126246</v>
      </c>
      <c r="R43" s="523">
        <v>0.30000000000001137</v>
      </c>
      <c r="S43" s="523">
        <v>-58.756682765567284</v>
      </c>
      <c r="T43" s="523"/>
      <c r="U43" s="523">
        <v>-0.55463117027176922</v>
      </c>
      <c r="V43" s="523">
        <v>-1.8315018315018314</v>
      </c>
      <c r="W43" s="523">
        <v>0.10000000000000009</v>
      </c>
      <c r="X43" s="523">
        <v>-2.9000000000000004</v>
      </c>
      <c r="Y43" s="523">
        <v>-1.9299352796248317</v>
      </c>
      <c r="Z43" s="523">
        <v>0</v>
      </c>
      <c r="AA43" s="523">
        <v>17.249138737877605</v>
      </c>
    </row>
    <row r="44" spans="1:27" s="546" customFormat="1">
      <c r="A44" s="520"/>
      <c r="B44" s="521" t="s">
        <v>141</v>
      </c>
      <c r="C44" s="522">
        <v>3</v>
      </c>
      <c r="D44" s="523">
        <v>-4.630864984587884</v>
      </c>
      <c r="E44" s="523">
        <v>2.4659312134977238</v>
      </c>
      <c r="F44" s="523">
        <v>1.0913059294288834</v>
      </c>
      <c r="G44" s="523">
        <v>-3.75</v>
      </c>
      <c r="H44" s="523">
        <v>-45.190156599552573</v>
      </c>
      <c r="I44" s="523">
        <v>-1</v>
      </c>
      <c r="J44" s="523">
        <v>-3.6999999999999886</v>
      </c>
      <c r="K44" s="523"/>
      <c r="L44" s="523">
        <v>0</v>
      </c>
      <c r="M44" s="523">
        <v>-0.99971918000561644</v>
      </c>
      <c r="N44" s="523">
        <v>-4.9122807017543808</v>
      </c>
      <c r="O44" s="523">
        <v>3.1828515751867528</v>
      </c>
      <c r="P44" s="523">
        <v>-0.41169205434335115</v>
      </c>
      <c r="Q44" s="523">
        <v>-0.7654455986878107</v>
      </c>
      <c r="R44" s="523">
        <v>9.9999999999994316E-2</v>
      </c>
      <c r="S44" s="523">
        <v>45.330618247638434</v>
      </c>
      <c r="T44" s="523"/>
      <c r="U44" s="523">
        <v>-0.44593088071349574</v>
      </c>
      <c r="V44" s="523">
        <v>1.4678899082568755</v>
      </c>
      <c r="W44" s="523">
        <v>0.10000000000000009</v>
      </c>
      <c r="X44" s="523">
        <v>7.3</v>
      </c>
      <c r="Y44" s="523">
        <v>-0.17655414700597327</v>
      </c>
      <c r="Z44" s="523">
        <v>-0.10000000000000009</v>
      </c>
      <c r="AA44" s="523">
        <v>-9.164461827524061</v>
      </c>
    </row>
    <row r="45" spans="1:27" s="546" customFormat="1">
      <c r="A45" s="520"/>
      <c r="B45" s="521" t="s">
        <v>141</v>
      </c>
      <c r="C45" s="522">
        <v>4</v>
      </c>
      <c r="D45" s="523">
        <v>5.9318548308122212</v>
      </c>
      <c r="E45" s="523">
        <v>7.9606073040623739</v>
      </c>
      <c r="F45" s="523">
        <v>3.4139402560455276</v>
      </c>
      <c r="G45" s="523">
        <v>3.9890377588306944</v>
      </c>
      <c r="H45" s="523">
        <v>27</v>
      </c>
      <c r="I45" s="523">
        <v>0</v>
      </c>
      <c r="J45" s="523">
        <v>-3.6000000000000227</v>
      </c>
      <c r="K45" s="523"/>
      <c r="L45" s="523">
        <v>4.0000000000000036E-2</v>
      </c>
      <c r="M45" s="523">
        <v>-4.3627219139683318</v>
      </c>
      <c r="N45" s="523">
        <v>-5.1660516605166134</v>
      </c>
      <c r="O45" s="523">
        <v>1.017811704834602</v>
      </c>
      <c r="P45" s="523">
        <v>1.8798528810788699</v>
      </c>
      <c r="Q45" s="523">
        <v>0.7654455986878107</v>
      </c>
      <c r="R45" s="523">
        <v>0</v>
      </c>
      <c r="S45" s="523">
        <v>8.8370760517442761</v>
      </c>
      <c r="T45" s="523"/>
      <c r="U45" s="523">
        <v>2.9719317556411702</v>
      </c>
      <c r="V45" s="523">
        <v>-2.4896265560166002</v>
      </c>
      <c r="W45" s="523">
        <v>0</v>
      </c>
      <c r="X45" s="523">
        <v>-5</v>
      </c>
      <c r="Y45" s="523">
        <v>-4.4903424619843353</v>
      </c>
      <c r="Z45" s="523">
        <v>-0.10000000000000009</v>
      </c>
      <c r="AA45" s="523">
        <v>12.680429832320231</v>
      </c>
    </row>
    <row r="46" spans="1:27" s="546" customFormat="1">
      <c r="A46" s="520"/>
      <c r="B46" s="521" t="s">
        <v>141</v>
      </c>
      <c r="C46" s="522">
        <v>5</v>
      </c>
      <c r="D46" s="523">
        <v>3.1674716387734492</v>
      </c>
      <c r="E46" s="523">
        <v>-1.8319394663480661</v>
      </c>
      <c r="F46" s="523">
        <v>1.1817865832464294</v>
      </c>
      <c r="G46" s="523">
        <v>-1.6556291390728477</v>
      </c>
      <c r="H46" s="523">
        <v>-12.397660818713451</v>
      </c>
      <c r="I46" s="523">
        <v>4</v>
      </c>
      <c r="J46" s="523">
        <v>-3.6999999999999886</v>
      </c>
      <c r="K46" s="523"/>
      <c r="L46" s="523">
        <v>-1.0000000000000009E-2</v>
      </c>
      <c r="M46" s="523">
        <v>-1.0813118019491939</v>
      </c>
      <c r="N46" s="523">
        <v>-1.5267175572519029</v>
      </c>
      <c r="O46" s="523">
        <v>-0.25348542458808976</v>
      </c>
      <c r="P46" s="523">
        <v>3.2656312226204656</v>
      </c>
      <c r="Q46" s="523">
        <v>1.1911207363291918</v>
      </c>
      <c r="R46" s="523">
        <v>-2.0999999999999943</v>
      </c>
      <c r="S46" s="523">
        <v>-18.571823969000825</v>
      </c>
      <c r="T46" s="523"/>
      <c r="U46" s="523">
        <v>0</v>
      </c>
      <c r="V46" s="523">
        <v>-9.3414292386729866E-2</v>
      </c>
      <c r="W46" s="523">
        <v>-0.10000000000000009</v>
      </c>
      <c r="X46" s="523">
        <v>4.4000000000000004</v>
      </c>
      <c r="Y46" s="523">
        <v>20.617402902306949</v>
      </c>
      <c r="Z46" s="523">
        <v>-0.70000000000000018</v>
      </c>
      <c r="AA46" s="523">
        <v>4.2099062732800885</v>
      </c>
    </row>
    <row r="47" spans="1:27" s="546" customFormat="1">
      <c r="A47" s="520"/>
      <c r="B47" s="521" t="s">
        <v>141</v>
      </c>
      <c r="C47" s="522">
        <v>6</v>
      </c>
      <c r="D47" s="523">
        <v>-3.7179094111537325</v>
      </c>
      <c r="E47" s="523">
        <v>-7.809563583211534</v>
      </c>
      <c r="F47" s="523">
        <v>-6.8620443173695467</v>
      </c>
      <c r="G47" s="523">
        <v>-3.930671618693903</v>
      </c>
      <c r="H47" s="523">
        <v>8.9338892197736754</v>
      </c>
      <c r="I47" s="523">
        <v>2</v>
      </c>
      <c r="J47" s="523">
        <v>0.69999999999998863</v>
      </c>
      <c r="K47" s="523"/>
      <c r="L47" s="523">
        <v>7.0000000000000062E-2</v>
      </c>
      <c r="M47" s="523">
        <v>2.7998166366938055</v>
      </c>
      <c r="N47" s="523">
        <v>2.281368821292781</v>
      </c>
      <c r="O47" s="523">
        <v>-4.3435980551053408</v>
      </c>
      <c r="P47" s="523">
        <v>-4.1599999999999913</v>
      </c>
      <c r="Q47" s="523">
        <v>-2.6172300981461349</v>
      </c>
      <c r="R47" s="523">
        <v>3.5</v>
      </c>
      <c r="S47" s="523">
        <v>26.83925505217276</v>
      </c>
      <c r="T47" s="523"/>
      <c r="U47" s="523">
        <v>0.32485110990795579</v>
      </c>
      <c r="V47" s="523">
        <v>-0.65635255508673496</v>
      </c>
      <c r="W47" s="523">
        <v>0</v>
      </c>
      <c r="X47" s="523">
        <v>2.0999999999999996</v>
      </c>
      <c r="Y47" s="523">
        <v>-7.0137943922281849</v>
      </c>
      <c r="Z47" s="523">
        <v>0.10000000000000009</v>
      </c>
      <c r="AA47" s="523">
        <v>-4.2877692854295661</v>
      </c>
    </row>
    <row r="48" spans="1:27" s="546" customFormat="1">
      <c r="A48" s="520"/>
      <c r="B48" s="521" t="s">
        <v>141</v>
      </c>
      <c r="C48" s="522">
        <v>7</v>
      </c>
      <c r="D48" s="523">
        <v>0.43005827416851394</v>
      </c>
      <c r="E48" s="523">
        <v>-2.6420079260237781</v>
      </c>
      <c r="F48" s="523">
        <v>12.165450121654501</v>
      </c>
      <c r="G48" s="523">
        <v>3.0314807617567041</v>
      </c>
      <c r="H48" s="523">
        <v>25.298804780876495</v>
      </c>
      <c r="I48" s="523">
        <v>-5</v>
      </c>
      <c r="J48" s="523">
        <v>0.60000000000002274</v>
      </c>
      <c r="K48" s="523"/>
      <c r="L48" s="523">
        <v>4.0000000000000036E-2</v>
      </c>
      <c r="M48" s="523">
        <v>0.75293900270227421</v>
      </c>
      <c r="N48" s="523">
        <v>0</v>
      </c>
      <c r="O48" s="523">
        <v>-0.86522462562396762</v>
      </c>
      <c r="P48" s="523">
        <v>1.298701298701294</v>
      </c>
      <c r="Q48" s="523">
        <v>0.77050082553660193</v>
      </c>
      <c r="R48" s="523">
        <v>0</v>
      </c>
      <c r="S48" s="523">
        <v>-22.461139896373052</v>
      </c>
      <c r="T48" s="523"/>
      <c r="U48" s="523">
        <v>0.43149946062568034</v>
      </c>
      <c r="V48" s="523">
        <v>1.8639328984156571</v>
      </c>
      <c r="W48" s="523">
        <v>0.10000000000000009</v>
      </c>
      <c r="X48" s="523">
        <v>-6</v>
      </c>
      <c r="Y48" s="523">
        <v>6.0010027688591325</v>
      </c>
      <c r="Z48" s="523">
        <v>0.80000000000000027</v>
      </c>
      <c r="AA48" s="523">
        <v>-9.2890503373118811</v>
      </c>
    </row>
    <row r="49" spans="1:27" s="546" customFormat="1">
      <c r="A49" s="520"/>
      <c r="B49" s="521" t="s">
        <v>141</v>
      </c>
      <c r="C49" s="522">
        <v>8</v>
      </c>
      <c r="D49" s="523">
        <v>-4.3324296628747101</v>
      </c>
      <c r="E49" s="523">
        <v>3.3347959631417265</v>
      </c>
      <c r="F49" s="523">
        <v>0.2617801047120456</v>
      </c>
      <c r="G49" s="523">
        <v>3.4168736358846994</v>
      </c>
      <c r="H49" s="523">
        <v>-27.450980392156861</v>
      </c>
      <c r="I49" s="523">
        <v>0</v>
      </c>
      <c r="J49" s="523">
        <v>0.69999999999998863</v>
      </c>
      <c r="K49" s="523"/>
      <c r="L49" s="523">
        <v>-7.0000000000000062E-2</v>
      </c>
      <c r="M49" s="523">
        <v>2.6406911662863477</v>
      </c>
      <c r="N49" s="523">
        <v>-4.6153846153846265</v>
      </c>
      <c r="O49" s="523">
        <v>1.063829787234039</v>
      </c>
      <c r="P49" s="523">
        <v>-1.4622258326563746</v>
      </c>
      <c r="Q49" s="523">
        <v>-0.77050082553660193</v>
      </c>
      <c r="R49" s="523">
        <v>0.19999999999998863</v>
      </c>
      <c r="S49" s="523">
        <v>36.343011801229871</v>
      </c>
      <c r="T49" s="523"/>
      <c r="U49" s="523">
        <v>-0.21551724137931338</v>
      </c>
      <c r="V49" s="523">
        <v>-1.1142061281337075</v>
      </c>
      <c r="W49" s="523">
        <v>-0.10000000000000009</v>
      </c>
      <c r="X49" s="523">
        <v>0.60000000000000053</v>
      </c>
      <c r="Y49" s="523">
        <v>-8.5175900929853885</v>
      </c>
      <c r="Z49" s="523">
        <v>0.29999999999999982</v>
      </c>
      <c r="AA49" s="523">
        <v>-4.2152893546082328</v>
      </c>
    </row>
    <row r="50" spans="1:27" s="546" customFormat="1">
      <c r="A50" s="520"/>
      <c r="B50" s="521" t="s">
        <v>141</v>
      </c>
      <c r="C50" s="522">
        <v>9</v>
      </c>
      <c r="D50" s="523">
        <v>2.0497611673927856</v>
      </c>
      <c r="E50" s="523">
        <v>-3.6475499890133958</v>
      </c>
      <c r="F50" s="523">
        <v>-1.1173184357541823</v>
      </c>
      <c r="G50" s="523">
        <v>-2.1540762902019446</v>
      </c>
      <c r="H50" s="523">
        <v>6.4297800338409479</v>
      </c>
      <c r="I50" s="523">
        <v>2</v>
      </c>
      <c r="J50" s="523">
        <v>-7.2999999999999972</v>
      </c>
      <c r="K50" s="523"/>
      <c r="L50" s="523">
        <v>-4.0000000000000036E-2</v>
      </c>
      <c r="M50" s="523">
        <v>-0.11211265079151531</v>
      </c>
      <c r="N50" s="523">
        <v>0.78431372549020717</v>
      </c>
      <c r="O50" s="523">
        <v>-1.6672224074691566</v>
      </c>
      <c r="P50" s="523">
        <v>0.57119543043655874</v>
      </c>
      <c r="Q50" s="523">
        <v>1.098901098901099</v>
      </c>
      <c r="R50" s="523">
        <v>-0.19999999999998863</v>
      </c>
      <c r="S50" s="523">
        <v>-39.904652243298386</v>
      </c>
      <c r="T50" s="523"/>
      <c r="U50" s="523">
        <v>0.21551724137931338</v>
      </c>
      <c r="V50" s="523">
        <v>0.37278657968313672</v>
      </c>
      <c r="W50" s="523">
        <v>0</v>
      </c>
      <c r="X50" s="523">
        <v>-1.5</v>
      </c>
      <c r="Y50" s="523">
        <v>-4.0456390089097667</v>
      </c>
      <c r="Z50" s="523">
        <v>-0.79999999999999982</v>
      </c>
      <c r="AA50" s="523">
        <v>39.621537261022233</v>
      </c>
    </row>
    <row r="51" spans="1:27" s="546" customFormat="1">
      <c r="A51" s="520"/>
      <c r="B51" s="521" t="s">
        <v>141</v>
      </c>
      <c r="C51" s="522">
        <v>10</v>
      </c>
      <c r="D51" s="523">
        <v>-5.1852690916117563</v>
      </c>
      <c r="E51" s="523">
        <v>1.3339261894175189</v>
      </c>
      <c r="F51" s="523">
        <v>-1.3976705490848738</v>
      </c>
      <c r="G51" s="523">
        <v>3.3016061867935753</v>
      </c>
      <c r="H51" s="523">
        <v>-4.9272116461366178</v>
      </c>
      <c r="I51" s="523">
        <v>-3</v>
      </c>
      <c r="J51" s="523">
        <v>-7.4000000000000057</v>
      </c>
      <c r="K51" s="523"/>
      <c r="L51" s="523">
        <v>-3.0000000000000027E-2</v>
      </c>
      <c r="M51" s="523">
        <v>1.2463073407279335</v>
      </c>
      <c r="N51" s="523">
        <v>-0.78431372549020717</v>
      </c>
      <c r="O51" s="523">
        <v>1.6672224074691566</v>
      </c>
      <c r="P51" s="523">
        <v>0</v>
      </c>
      <c r="Q51" s="523">
        <v>-1.8753447324875927</v>
      </c>
      <c r="R51" s="523">
        <v>0.69999999999998863</v>
      </c>
      <c r="S51" s="523">
        <v>45.071744145130396</v>
      </c>
      <c r="T51" s="523"/>
      <c r="U51" s="523">
        <v>0.32240730789897593</v>
      </c>
      <c r="V51" s="523">
        <v>2.207911683532664</v>
      </c>
      <c r="W51" s="523">
        <v>-0.10000000000000009</v>
      </c>
      <c r="X51" s="523">
        <v>3.5</v>
      </c>
      <c r="Y51" s="523">
        <v>-1.8078494938109591</v>
      </c>
      <c r="Z51" s="523">
        <v>-0.30000000000000027</v>
      </c>
      <c r="AA51" s="523">
        <v>-31.401792863086165</v>
      </c>
    </row>
    <row r="52" spans="1:27" s="546" customFormat="1">
      <c r="A52" s="520"/>
      <c r="B52" s="521" t="s">
        <v>141</v>
      </c>
      <c r="C52" s="522">
        <v>11</v>
      </c>
      <c r="D52" s="523">
        <v>-1.086672443912571</v>
      </c>
      <c r="E52" s="523">
        <v>1.9247594050743679</v>
      </c>
      <c r="F52" s="523">
        <v>-1.417482281471478</v>
      </c>
      <c r="G52" s="523">
        <v>-3.8017144986954903</v>
      </c>
      <c r="H52" s="523">
        <v>8.2553659878921302</v>
      </c>
      <c r="I52" s="523">
        <v>8</v>
      </c>
      <c r="J52" s="523">
        <v>-7.2999999999999972</v>
      </c>
      <c r="K52" s="523"/>
      <c r="L52" s="523">
        <v>0</v>
      </c>
      <c r="M52" s="523">
        <v>1.6066816858069204</v>
      </c>
      <c r="N52" s="523">
        <v>-0.79051383399209219</v>
      </c>
      <c r="O52" s="523">
        <v>2.8683181225554146</v>
      </c>
      <c r="P52" s="523">
        <v>0.81037277147487841</v>
      </c>
      <c r="Q52" s="523">
        <v>1.5469613259668571</v>
      </c>
      <c r="R52" s="523">
        <v>-0.39999999999999147</v>
      </c>
      <c r="S52" s="523">
        <v>-11.142924512412831</v>
      </c>
      <c r="T52" s="523"/>
      <c r="U52" s="523">
        <v>0.10723860589811723</v>
      </c>
      <c r="V52" s="523">
        <v>3.8375725122713047</v>
      </c>
      <c r="W52" s="523">
        <v>0.10000000000000009</v>
      </c>
      <c r="X52" s="523">
        <v>-4</v>
      </c>
      <c r="Y52" s="523">
        <v>-0.73467905420490642</v>
      </c>
      <c r="Z52" s="523">
        <v>0.70000000000000018</v>
      </c>
      <c r="AA52" s="523">
        <v>3.6493948147877182</v>
      </c>
    </row>
    <row r="53" spans="1:27" s="546" customFormat="1">
      <c r="A53" s="524"/>
      <c r="B53" s="525" t="s">
        <v>141</v>
      </c>
      <c r="C53" s="526">
        <v>12</v>
      </c>
      <c r="D53" s="527">
        <v>-2.0299675177255323</v>
      </c>
      <c r="E53" s="527">
        <v>-1.0890873448050533</v>
      </c>
      <c r="F53" s="527">
        <v>-8.0622347949080666</v>
      </c>
      <c r="G53" s="527">
        <v>1.2985052091197342</v>
      </c>
      <c r="H53" s="527">
        <v>-15.858528237307473</v>
      </c>
      <c r="I53" s="527">
        <v>-6</v>
      </c>
      <c r="J53" s="527">
        <v>-4</v>
      </c>
      <c r="K53" s="527"/>
      <c r="L53" s="527">
        <v>-6.999999999999984E-2</v>
      </c>
      <c r="M53" s="527">
        <v>2.0480172646344674</v>
      </c>
      <c r="N53" s="527">
        <v>0</v>
      </c>
      <c r="O53" s="527">
        <v>-0.19298809906721323</v>
      </c>
      <c r="P53" s="527">
        <v>-0.89177138224564945</v>
      </c>
      <c r="Q53" s="527">
        <v>-2.3294509151414404</v>
      </c>
      <c r="R53" s="527">
        <v>0.59999999999999432</v>
      </c>
      <c r="S53" s="527">
        <v>-6.0946919570651437</v>
      </c>
      <c r="T53" s="527"/>
      <c r="U53" s="527">
        <v>-0.53734551316496504</v>
      </c>
      <c r="V53" s="527">
        <v>-0.26304252520823951</v>
      </c>
      <c r="W53" s="527">
        <v>0</v>
      </c>
      <c r="X53" s="527">
        <v>1.3999999999999995</v>
      </c>
      <c r="Y53" s="527">
        <v>-10.623526061668242</v>
      </c>
      <c r="Z53" s="527">
        <v>-0.5</v>
      </c>
      <c r="AA53" s="527">
        <v>-5.9996301091178035</v>
      </c>
    </row>
    <row r="54" spans="1:27" s="546" customFormat="1">
      <c r="A54" s="528" t="s">
        <v>341</v>
      </c>
      <c r="B54" s="529">
        <v>1992</v>
      </c>
      <c r="C54" s="530">
        <v>1</v>
      </c>
      <c r="D54" s="531">
        <v>8.0139821294295377</v>
      </c>
      <c r="E54" s="531">
        <v>3.35917312661498</v>
      </c>
      <c r="F54" s="531">
        <v>-8.2086689681626304</v>
      </c>
      <c r="G54" s="531">
        <v>-5.9473237043330505</v>
      </c>
      <c r="H54" s="531">
        <v>12.543554006968641</v>
      </c>
      <c r="I54" s="531">
        <v>0</v>
      </c>
      <c r="J54" s="531">
        <v>-4</v>
      </c>
      <c r="K54" s="531"/>
      <c r="L54" s="531">
        <v>-2.0000000000000018E-2</v>
      </c>
      <c r="M54" s="531">
        <v>-0.44102849557899881</v>
      </c>
      <c r="N54" s="531">
        <v>-1.5999999999999943</v>
      </c>
      <c r="O54" s="531">
        <v>0.70580686557587047</v>
      </c>
      <c r="P54" s="531">
        <v>1.4551333872271603</v>
      </c>
      <c r="Q54" s="531">
        <v>1.6694490818030052</v>
      </c>
      <c r="R54" s="531">
        <v>3.1000000000000085</v>
      </c>
      <c r="S54" s="531">
        <v>-14.727672392737936</v>
      </c>
      <c r="T54" s="531"/>
      <c r="U54" s="531">
        <v>1.4973262032085621</v>
      </c>
      <c r="V54" s="531">
        <v>-0.97044552271725504</v>
      </c>
      <c r="W54" s="531">
        <v>0</v>
      </c>
      <c r="X54" s="531">
        <v>-1.1999999999999997</v>
      </c>
      <c r="Y54" s="531">
        <v>10.930201144099344</v>
      </c>
      <c r="Z54" s="531">
        <v>-1.4000000000000001</v>
      </c>
      <c r="AA54" s="531">
        <v>-3.0232063018948225</v>
      </c>
    </row>
    <row r="55" spans="1:27" s="546" customFormat="1">
      <c r="A55" s="520"/>
      <c r="B55" s="521" t="s">
        <v>141</v>
      </c>
      <c r="C55" s="522">
        <v>2</v>
      </c>
      <c r="D55" s="523">
        <v>-8.7351383686704231</v>
      </c>
      <c r="E55" s="523">
        <v>-2.7479604980678429</v>
      </c>
      <c r="F55" s="523">
        <v>3.5363457760314341</v>
      </c>
      <c r="G55" s="523">
        <v>2.794348508634223</v>
      </c>
      <c r="H55" s="523">
        <v>-14.035087719298245</v>
      </c>
      <c r="I55" s="523">
        <v>3</v>
      </c>
      <c r="J55" s="523">
        <v>-4</v>
      </c>
      <c r="K55" s="523"/>
      <c r="L55" s="523">
        <v>-1.0000000000000009E-2</v>
      </c>
      <c r="M55" s="523">
        <v>2.63403065977809</v>
      </c>
      <c r="N55" s="523">
        <v>0.80321285140561971</v>
      </c>
      <c r="O55" s="523">
        <v>0.57379662097545781</v>
      </c>
      <c r="P55" s="523">
        <v>-0.56338028169013166</v>
      </c>
      <c r="Q55" s="523">
        <v>-2.1193530395984288</v>
      </c>
      <c r="R55" s="523">
        <v>-0.10000000000000853</v>
      </c>
      <c r="S55" s="523">
        <v>18.466815571155074</v>
      </c>
      <c r="T55" s="523"/>
      <c r="U55" s="523">
        <v>0.10610079575596214</v>
      </c>
      <c r="V55" s="523">
        <v>3.0554343081623747</v>
      </c>
      <c r="W55" s="523">
        <v>-0.10000000000000009</v>
      </c>
      <c r="X55" s="523">
        <v>4.0999999999999996</v>
      </c>
      <c r="Y55" s="523">
        <v>4.8047908369429342</v>
      </c>
      <c r="Z55" s="523">
        <v>0.19999999999999996</v>
      </c>
      <c r="AA55" s="523">
        <v>-14.953744772525662</v>
      </c>
    </row>
    <row r="56" spans="1:27" s="546" customFormat="1">
      <c r="A56" s="520"/>
      <c r="B56" s="521" t="s">
        <v>141</v>
      </c>
      <c r="C56" s="522">
        <v>3</v>
      </c>
      <c r="D56" s="523">
        <v>-13.719607143128426</v>
      </c>
      <c r="E56" s="523">
        <v>-13.327141862084973</v>
      </c>
      <c r="F56" s="523">
        <v>4.5283018867924527</v>
      </c>
      <c r="G56" s="523">
        <v>-2.3020906741836975</v>
      </c>
      <c r="H56" s="523">
        <v>31.478537360890304</v>
      </c>
      <c r="I56" s="523">
        <v>2</v>
      </c>
      <c r="J56" s="523">
        <v>-1.2999999999999972</v>
      </c>
      <c r="K56" s="523"/>
      <c r="L56" s="523">
        <v>-0.10000000000000009</v>
      </c>
      <c r="M56" s="523">
        <v>-0.4818267518592228</v>
      </c>
      <c r="N56" s="523">
        <v>-8.3333333333333339</v>
      </c>
      <c r="O56" s="523">
        <v>-6.0248853962017144</v>
      </c>
      <c r="P56" s="523">
        <v>-4.7933884297520759</v>
      </c>
      <c r="Q56" s="523">
        <v>-3.5570854847963376</v>
      </c>
      <c r="R56" s="523">
        <v>3.9000000000000057</v>
      </c>
      <c r="S56" s="523">
        <v>-51.759244363753361</v>
      </c>
      <c r="T56" s="523"/>
      <c r="U56" s="523">
        <v>-0.10610079575596214</v>
      </c>
      <c r="V56" s="523">
        <v>-1.3852813852813803</v>
      </c>
      <c r="W56" s="523">
        <v>0.10000000000000009</v>
      </c>
      <c r="X56" s="523">
        <v>-3.2</v>
      </c>
      <c r="Y56" s="523">
        <v>1.9963154026567886</v>
      </c>
      <c r="Z56" s="523">
        <v>-0.29999999999999982</v>
      </c>
      <c r="AA56" s="523">
        <v>44.615493757094207</v>
      </c>
    </row>
    <row r="57" spans="1:27" s="546" customFormat="1">
      <c r="A57" s="520"/>
      <c r="B57" s="521" t="s">
        <v>141</v>
      </c>
      <c r="C57" s="522">
        <v>4</v>
      </c>
      <c r="D57" s="523">
        <v>16.508544578457485</v>
      </c>
      <c r="E57" s="523">
        <v>18.099547511312217</v>
      </c>
      <c r="F57" s="523">
        <v>-2.3898431665421871</v>
      </c>
      <c r="G57" s="523">
        <v>4.5366571185259739</v>
      </c>
      <c r="H57" s="523">
        <v>-2.5034770514603615</v>
      </c>
      <c r="I57" s="523">
        <v>-3</v>
      </c>
      <c r="J57" s="523">
        <v>-1.4000000000000057</v>
      </c>
      <c r="K57" s="523"/>
      <c r="L57" s="523">
        <v>3.0000000000000027E-2</v>
      </c>
      <c r="M57" s="523">
        <v>2.4435271422348563</v>
      </c>
      <c r="N57" s="523">
        <v>-0.87336244541484409</v>
      </c>
      <c r="O57" s="523">
        <v>6.7840834964122658</v>
      </c>
      <c r="P57" s="523">
        <v>3.3305578684429644</v>
      </c>
      <c r="Q57" s="523">
        <v>-1.5303119482048233</v>
      </c>
      <c r="R57" s="523">
        <v>-0.79999999999999716</v>
      </c>
      <c r="S57" s="523">
        <v>38.210138202613571</v>
      </c>
      <c r="T57" s="523"/>
      <c r="U57" s="523">
        <v>1.2658227848101293</v>
      </c>
      <c r="V57" s="523">
        <v>-1.5817223198593997</v>
      </c>
      <c r="W57" s="523">
        <v>0</v>
      </c>
      <c r="X57" s="523">
        <v>-0.29999999999999982</v>
      </c>
      <c r="Y57" s="523">
        <v>16.828651345341481</v>
      </c>
      <c r="Z57" s="523">
        <v>-0.10000000000000009</v>
      </c>
      <c r="AA57" s="523">
        <v>-29.574885981557316</v>
      </c>
    </row>
    <row r="58" spans="1:27" s="546" customFormat="1">
      <c r="A58" s="520"/>
      <c r="B58" s="521" t="s">
        <v>141</v>
      </c>
      <c r="C58" s="522">
        <v>5</v>
      </c>
      <c r="D58" s="523">
        <v>-17.932052508303272</v>
      </c>
      <c r="E58" s="523">
        <v>-5.0191407911527062</v>
      </c>
      <c r="F58" s="523">
        <v>1.3513513513513387</v>
      </c>
      <c r="G58" s="523">
        <v>-2.2041940915352822</v>
      </c>
      <c r="H58" s="523">
        <v>6.4516129032258061</v>
      </c>
      <c r="I58" s="523">
        <v>0</v>
      </c>
      <c r="J58" s="523">
        <v>-1.2999999999999972</v>
      </c>
      <c r="K58" s="523"/>
      <c r="L58" s="523">
        <v>-7.0000000000000062E-2</v>
      </c>
      <c r="M58" s="523">
        <v>-0.68474137133339885</v>
      </c>
      <c r="N58" s="523">
        <v>0</v>
      </c>
      <c r="O58" s="523">
        <v>-1.8465456860872369</v>
      </c>
      <c r="P58" s="523">
        <v>-1.1532125205930737</v>
      </c>
      <c r="Q58" s="523">
        <v>1.7636684303350971</v>
      </c>
      <c r="R58" s="523">
        <v>0.69999999999998863</v>
      </c>
      <c r="S58" s="523">
        <v>17.491400349751132</v>
      </c>
      <c r="T58" s="523"/>
      <c r="U58" s="523">
        <v>0.2094240837696216</v>
      </c>
      <c r="V58" s="523">
        <v>0.96959012780960274</v>
      </c>
      <c r="W58" s="523">
        <v>0</v>
      </c>
      <c r="X58" s="523">
        <v>-0.5</v>
      </c>
      <c r="Y58" s="523">
        <v>-8.6882294359764316</v>
      </c>
      <c r="Z58" s="523">
        <v>0.19999999999999996</v>
      </c>
      <c r="AA58" s="523">
        <v>-7.816469300816821E-2</v>
      </c>
    </row>
    <row r="59" spans="1:27" s="546" customFormat="1">
      <c r="A59" s="520"/>
      <c r="B59" s="521" t="s">
        <v>141</v>
      </c>
      <c r="C59" s="522">
        <v>6</v>
      </c>
      <c r="D59" s="523">
        <v>25.139600150449905</v>
      </c>
      <c r="E59" s="523">
        <v>2.8811008385293557</v>
      </c>
      <c r="F59" s="523">
        <v>-0.89887640449437356</v>
      </c>
      <c r="G59" s="523">
        <v>-1.4027431421446384</v>
      </c>
      <c r="H59" s="523">
        <v>2.5206431986093003</v>
      </c>
      <c r="I59" s="523">
        <v>5</v>
      </c>
      <c r="J59" s="523">
        <v>-1.2999999999999972</v>
      </c>
      <c r="K59" s="523"/>
      <c r="L59" s="523">
        <v>3.0000000000000027E-2</v>
      </c>
      <c r="M59" s="523">
        <v>1.5214030489490482</v>
      </c>
      <c r="N59" s="523">
        <v>0</v>
      </c>
      <c r="O59" s="523">
        <v>-1.3587835651892555</v>
      </c>
      <c r="P59" s="523">
        <v>-0.41511000415110005</v>
      </c>
      <c r="Q59" s="523">
        <v>0.23282887077998002</v>
      </c>
      <c r="R59" s="523">
        <v>0.5</v>
      </c>
      <c r="S59" s="523">
        <v>-49.60522253098673</v>
      </c>
      <c r="T59" s="523"/>
      <c r="U59" s="523">
        <v>-0.10465724751438442</v>
      </c>
      <c r="V59" s="523">
        <v>-6.521739130434784</v>
      </c>
      <c r="W59" s="523">
        <v>0</v>
      </c>
      <c r="X59" s="523">
        <v>-4.5999999999999996</v>
      </c>
      <c r="Y59" s="523">
        <v>-19.93694623510369</v>
      </c>
      <c r="Z59" s="523">
        <v>0.59999999999999987</v>
      </c>
      <c r="AA59" s="523">
        <v>-15.407937677650263</v>
      </c>
    </row>
    <row r="60" spans="1:27" s="546" customFormat="1">
      <c r="A60" s="520"/>
      <c r="B60" s="521" t="s">
        <v>141</v>
      </c>
      <c r="C60" s="522">
        <v>7</v>
      </c>
      <c r="D60" s="523">
        <v>-12.606385158672698</v>
      </c>
      <c r="E60" s="523">
        <v>-4.8187540698936377</v>
      </c>
      <c r="F60" s="523">
        <v>0.89887640449437356</v>
      </c>
      <c r="G60" s="523">
        <v>1.5110211075628943</v>
      </c>
      <c r="H60" s="523">
        <v>-26.763990267639901</v>
      </c>
      <c r="I60" s="523">
        <v>-7</v>
      </c>
      <c r="J60" s="523">
        <v>-1.4000000000000057</v>
      </c>
      <c r="K60" s="523"/>
      <c r="L60" s="523">
        <v>1.0000000000000009E-2</v>
      </c>
      <c r="M60" s="523">
        <v>-6.0984286382208847E-2</v>
      </c>
      <c r="N60" s="523">
        <v>-2.6666666666666732</v>
      </c>
      <c r="O60" s="523">
        <v>-2.3731048121291987</v>
      </c>
      <c r="P60" s="523">
        <v>1.2401818933443571</v>
      </c>
      <c r="Q60" s="523">
        <v>0.69524913093857976</v>
      </c>
      <c r="R60" s="523">
        <v>-1.2999999999999972</v>
      </c>
      <c r="S60" s="523">
        <v>18.643121193585287</v>
      </c>
      <c r="T60" s="523"/>
      <c r="U60" s="523">
        <v>-0.10476689366159697</v>
      </c>
      <c r="V60" s="523">
        <v>1.5791918253599655</v>
      </c>
      <c r="W60" s="523">
        <v>0</v>
      </c>
      <c r="X60" s="523">
        <v>5.6999999999999993</v>
      </c>
      <c r="Y60" s="523">
        <v>9.30115876239398</v>
      </c>
      <c r="Z60" s="523">
        <v>-1.1999999999999997</v>
      </c>
      <c r="AA60" s="523">
        <v>23.98361741853881</v>
      </c>
    </row>
    <row r="61" spans="1:27" s="546" customFormat="1">
      <c r="A61" s="520"/>
      <c r="B61" s="521" t="s">
        <v>141</v>
      </c>
      <c r="C61" s="522">
        <v>8</v>
      </c>
      <c r="D61" s="523">
        <v>-5.3948836199474464</v>
      </c>
      <c r="E61" s="523">
        <v>-4.5030702751876301</v>
      </c>
      <c r="F61" s="523">
        <v>-10.518053375196224</v>
      </c>
      <c r="G61" s="523">
        <v>-3.5882908404154863</v>
      </c>
      <c r="H61" s="523">
        <v>22.620827105132037</v>
      </c>
      <c r="I61" s="523">
        <v>2</v>
      </c>
      <c r="J61" s="523">
        <v>-1.2999999999999972</v>
      </c>
      <c r="K61" s="523"/>
      <c r="L61" s="523">
        <v>-2.0000000000000018E-2</v>
      </c>
      <c r="M61" s="523">
        <v>1.5035166143631244</v>
      </c>
      <c r="N61" s="523">
        <v>-0.90497737556560753</v>
      </c>
      <c r="O61" s="523">
        <v>-7.258900795022468</v>
      </c>
      <c r="P61" s="523">
        <v>-5.9221658206429781</v>
      </c>
      <c r="Q61" s="523">
        <v>-2.6916325336454037</v>
      </c>
      <c r="R61" s="523">
        <v>5.7999999999999972</v>
      </c>
      <c r="S61" s="523">
        <v>-10.918979937400593</v>
      </c>
      <c r="T61" s="523"/>
      <c r="U61" s="523">
        <v>0.2094240837696216</v>
      </c>
      <c r="V61" s="523">
        <v>-10.067763794772512</v>
      </c>
      <c r="W61" s="523">
        <v>0.10000000000000009</v>
      </c>
      <c r="X61" s="523">
        <v>-3.1999999999999997</v>
      </c>
      <c r="Y61" s="523">
        <v>5.6977300294576327</v>
      </c>
      <c r="Z61" s="523">
        <v>-0.30000000000000004</v>
      </c>
      <c r="AA61" s="523">
        <v>-2.8547011655181191</v>
      </c>
    </row>
    <row r="62" spans="1:27" s="546" customFormat="1">
      <c r="A62" s="520"/>
      <c r="B62" s="521" t="s">
        <v>141</v>
      </c>
      <c r="C62" s="522">
        <v>9</v>
      </c>
      <c r="D62" s="523">
        <v>4.2753770509084692</v>
      </c>
      <c r="E62" s="523">
        <v>8.1249999999999947</v>
      </c>
      <c r="F62" s="523">
        <v>-1.6708437761069339</v>
      </c>
      <c r="G62" s="523">
        <v>1.8733132243213209</v>
      </c>
      <c r="H62" s="523">
        <v>-9.1760299625468171</v>
      </c>
      <c r="I62" s="523">
        <v>-4</v>
      </c>
      <c r="J62" s="523">
        <v>-5.7000000000000028</v>
      </c>
      <c r="K62" s="523"/>
      <c r="L62" s="523">
        <v>-5.0000000000000044E-2</v>
      </c>
      <c r="M62" s="523">
        <v>2.437721363699318</v>
      </c>
      <c r="N62" s="523">
        <v>-0.91324200913241693</v>
      </c>
      <c r="O62" s="523">
        <v>9.4326725905673143</v>
      </c>
      <c r="P62" s="523">
        <v>6.902356902356904</v>
      </c>
      <c r="Q62" s="523">
        <v>5.0867052023121451</v>
      </c>
      <c r="R62" s="523">
        <v>-5.5999999999999943</v>
      </c>
      <c r="S62" s="523">
        <v>40.645203139527354</v>
      </c>
      <c r="T62" s="523"/>
      <c r="U62" s="523">
        <v>0.20898641588297059</v>
      </c>
      <c r="V62" s="523">
        <v>10.982658959537577</v>
      </c>
      <c r="W62" s="523">
        <v>0</v>
      </c>
      <c r="X62" s="523">
        <v>2.4</v>
      </c>
      <c r="Y62" s="523">
        <v>8.0269306602772765</v>
      </c>
      <c r="Z62" s="523">
        <v>0.39999999999999991</v>
      </c>
      <c r="AA62" s="523">
        <v>9.9559357657783995E-2</v>
      </c>
    </row>
    <row r="63" spans="1:27" s="546" customFormat="1">
      <c r="A63" s="520"/>
      <c r="B63" s="521" t="s">
        <v>141</v>
      </c>
      <c r="C63" s="522">
        <v>10</v>
      </c>
      <c r="D63" s="523">
        <v>-4.2584589438178586</v>
      </c>
      <c r="E63" s="523">
        <v>1.4903129657228018</v>
      </c>
      <c r="F63" s="523">
        <v>-4.7434238896075893</v>
      </c>
      <c r="G63" s="523">
        <v>1.7925337074273244</v>
      </c>
      <c r="H63" s="523">
        <v>-19.375672766415502</v>
      </c>
      <c r="I63" s="523">
        <v>2</v>
      </c>
      <c r="J63" s="523">
        <v>-5.5999999999999943</v>
      </c>
      <c r="K63" s="523"/>
      <c r="L63" s="523">
        <v>0</v>
      </c>
      <c r="M63" s="523">
        <v>3.4994046018514924</v>
      </c>
      <c r="N63" s="523">
        <v>-0.92165898617511177</v>
      </c>
      <c r="O63" s="523">
        <v>-3.3853302356455326</v>
      </c>
      <c r="P63" s="523">
        <v>-3.8142620232172542</v>
      </c>
      <c r="Q63" s="523">
        <v>-1.7055144968732234</v>
      </c>
      <c r="R63" s="523">
        <v>2</v>
      </c>
      <c r="S63" s="523">
        <v>-14.269762427322778</v>
      </c>
      <c r="T63" s="523"/>
      <c r="U63" s="523">
        <v>0.20855057351408013</v>
      </c>
      <c r="V63" s="523">
        <v>-9.6696984202967862</v>
      </c>
      <c r="W63" s="523">
        <v>0</v>
      </c>
      <c r="X63" s="523">
        <v>-5.3</v>
      </c>
      <c r="Y63" s="523">
        <v>-1.5232618910054356</v>
      </c>
      <c r="Z63" s="523">
        <v>-0.39999999999999991</v>
      </c>
      <c r="AA63" s="523">
        <v>-6.3738353299106434</v>
      </c>
    </row>
    <row r="64" spans="1:27" s="546" customFormat="1">
      <c r="A64" s="520"/>
      <c r="B64" s="521" t="s">
        <v>141</v>
      </c>
      <c r="C64" s="522">
        <v>11</v>
      </c>
      <c r="D64" s="523">
        <v>-9.1350794774438526</v>
      </c>
      <c r="E64" s="523">
        <v>-4.009484802759208</v>
      </c>
      <c r="F64" s="523">
        <v>-0.7982261640798276</v>
      </c>
      <c r="G64" s="523">
        <v>1.9126310152245429</v>
      </c>
      <c r="H64" s="523">
        <v>11.24859392575928</v>
      </c>
      <c r="I64" s="523">
        <v>8</v>
      </c>
      <c r="J64" s="523">
        <v>-5.7000000000000028</v>
      </c>
      <c r="K64" s="523"/>
      <c r="L64" s="523">
        <v>-4.9999999999999822E-2</v>
      </c>
      <c r="M64" s="523">
        <v>0.87764632920193997</v>
      </c>
      <c r="N64" s="523">
        <v>-0.93023255813954808</v>
      </c>
      <c r="O64" s="523">
        <v>-3.9944903581267104</v>
      </c>
      <c r="P64" s="523">
        <v>-2.6552462526766547</v>
      </c>
      <c r="Q64" s="523">
        <v>-1.502021952628535</v>
      </c>
      <c r="R64" s="523">
        <v>2.7000000000000028</v>
      </c>
      <c r="S64" s="523">
        <v>7.7864116357840061</v>
      </c>
      <c r="T64" s="523"/>
      <c r="U64" s="523">
        <v>-0.41753653444677002</v>
      </c>
      <c r="V64" s="523">
        <v>-3.6885245901639432</v>
      </c>
      <c r="W64" s="523">
        <v>9.9999999999999645E-2</v>
      </c>
      <c r="X64" s="523">
        <v>1.1000000000000001</v>
      </c>
      <c r="Y64" s="523">
        <v>1.8964318060135403</v>
      </c>
      <c r="Z64" s="523">
        <v>-1</v>
      </c>
      <c r="AA64" s="523">
        <v>-7.2834605597964233</v>
      </c>
    </row>
    <row r="65" spans="1:27" s="546" customFormat="1">
      <c r="A65" s="532"/>
      <c r="B65" s="533" t="s">
        <v>141</v>
      </c>
      <c r="C65" s="534">
        <v>12</v>
      </c>
      <c r="D65" s="535">
        <v>3.3435280271195404</v>
      </c>
      <c r="E65" s="535">
        <v>1.4413627429569702</v>
      </c>
      <c r="F65" s="535">
        <v>11.577181208053691</v>
      </c>
      <c r="G65" s="535">
        <v>-2.7191028496812351</v>
      </c>
      <c r="H65" s="535">
        <v>22.15909090909091</v>
      </c>
      <c r="I65" s="535">
        <v>-4</v>
      </c>
      <c r="J65" s="535">
        <v>-2</v>
      </c>
      <c r="K65" s="535"/>
      <c r="L65" s="535">
        <v>-3.0000000000000027E-2</v>
      </c>
      <c r="M65" s="535">
        <v>5.0645146582774947</v>
      </c>
      <c r="N65" s="535">
        <v>0</v>
      </c>
      <c r="O65" s="535">
        <v>1.1875654907439668</v>
      </c>
      <c r="P65" s="535">
        <v>1.2936610608020698</v>
      </c>
      <c r="Q65" s="535">
        <v>0.81159420289853756</v>
      </c>
      <c r="R65" s="535">
        <v>-3.1000000000000085</v>
      </c>
      <c r="S65" s="535">
        <v>30.022492421032045</v>
      </c>
      <c r="T65" s="535"/>
      <c r="U65" s="535">
        <v>-0.62959076600209274</v>
      </c>
      <c r="V65" s="535">
        <v>-0.52328623757195192</v>
      </c>
      <c r="W65" s="535">
        <v>0</v>
      </c>
      <c r="X65" s="535">
        <v>-3</v>
      </c>
      <c r="Y65" s="535">
        <v>4.2764562070705114</v>
      </c>
      <c r="Z65" s="535">
        <v>0.60000000000000009</v>
      </c>
      <c r="AA65" s="535">
        <v>-59.538887518162134</v>
      </c>
    </row>
    <row r="66" spans="1:27" s="546" customFormat="1">
      <c r="A66" s="536" t="s">
        <v>342</v>
      </c>
      <c r="B66" s="537">
        <v>1993</v>
      </c>
      <c r="C66" s="538">
        <v>1</v>
      </c>
      <c r="D66" s="539">
        <v>8.4539591823987852</v>
      </c>
      <c r="E66" s="539">
        <v>1.3781223083548739</v>
      </c>
      <c r="F66" s="539">
        <v>-10.605427974947798</v>
      </c>
      <c r="G66" s="539">
        <v>-10.403866633898582</v>
      </c>
      <c r="H66" s="539">
        <v>-23.961813842482101</v>
      </c>
      <c r="I66" s="539">
        <v>1</v>
      </c>
      <c r="J66" s="539">
        <v>-2</v>
      </c>
      <c r="K66" s="539"/>
      <c r="L66" s="539">
        <v>-3.0000000000000027E-2</v>
      </c>
      <c r="M66" s="539">
        <v>5.7661081361202156</v>
      </c>
      <c r="N66" s="539">
        <v>0</v>
      </c>
      <c r="O66" s="539">
        <v>1.7894012388162381</v>
      </c>
      <c r="P66" s="539">
        <v>0.17123287671233117</v>
      </c>
      <c r="Q66" s="539">
        <v>-1.5125072716695722</v>
      </c>
      <c r="R66" s="539">
        <v>-0.79999999999999716</v>
      </c>
      <c r="S66" s="539">
        <v>-23.569108910891082</v>
      </c>
      <c r="T66" s="539"/>
      <c r="U66" s="539">
        <v>0.31529164477141053</v>
      </c>
      <c r="V66" s="539">
        <v>2.7935851008794645</v>
      </c>
      <c r="W66" s="539">
        <v>0</v>
      </c>
      <c r="X66" s="539">
        <v>-0.10000000000000009</v>
      </c>
      <c r="Y66" s="539">
        <v>-7.7737539594043872</v>
      </c>
      <c r="Z66" s="539">
        <v>0.6</v>
      </c>
      <c r="AA66" s="539">
        <v>49.761018092249948</v>
      </c>
    </row>
    <row r="67" spans="1:27" s="546" customFormat="1">
      <c r="A67" s="520"/>
      <c r="B67" s="521" t="s">
        <v>141</v>
      </c>
      <c r="C67" s="522">
        <v>2</v>
      </c>
      <c r="D67" s="523">
        <v>-6.517484897472988</v>
      </c>
      <c r="E67" s="523">
        <v>-6.0819744380784533</v>
      </c>
      <c r="F67" s="523">
        <v>-3.7735849056603796</v>
      </c>
      <c r="G67" s="523">
        <v>-2.1486592715521007</v>
      </c>
      <c r="H67" s="523">
        <v>9.798865394533264</v>
      </c>
      <c r="I67" s="523">
        <v>-5</v>
      </c>
      <c r="J67" s="523">
        <v>-2</v>
      </c>
      <c r="K67" s="523"/>
      <c r="L67" s="523">
        <v>-1.0000000000000009E-2</v>
      </c>
      <c r="M67" s="523">
        <v>1.9123956497156351</v>
      </c>
      <c r="N67" s="523">
        <v>-5.7692307692307665</v>
      </c>
      <c r="O67" s="523">
        <v>-4.3917741373300689</v>
      </c>
      <c r="P67" s="523">
        <v>-1.8998272884283269</v>
      </c>
      <c r="Q67" s="523">
        <v>-0.11730205278591709</v>
      </c>
      <c r="R67" s="523">
        <v>1.7000000000000028</v>
      </c>
      <c r="S67" s="523">
        <v>16.774151092392728</v>
      </c>
      <c r="T67" s="523"/>
      <c r="U67" s="523">
        <v>0.20964360587002392</v>
      </c>
      <c r="V67" s="523">
        <v>-1.5424164524421593</v>
      </c>
      <c r="W67" s="523">
        <v>0.10000000000000009</v>
      </c>
      <c r="X67" s="523">
        <v>-2.7</v>
      </c>
      <c r="Y67" s="523">
        <v>3.493269177422365</v>
      </c>
      <c r="Z67" s="523">
        <v>-0.30000000000000004</v>
      </c>
      <c r="AA67" s="523">
        <v>-2.1790215765862042</v>
      </c>
    </row>
    <row r="68" spans="1:27" s="546" customFormat="1">
      <c r="A68" s="520"/>
      <c r="B68" s="521" t="s">
        <v>141</v>
      </c>
      <c r="C68" s="522">
        <v>3</v>
      </c>
      <c r="D68" s="523">
        <v>5.523160890049911</v>
      </c>
      <c r="E68" s="523">
        <v>4.4009779951100274</v>
      </c>
      <c r="F68" s="523">
        <v>-9.1617040769590943E-2</v>
      </c>
      <c r="G68" s="523">
        <v>6.8718560832125499</v>
      </c>
      <c r="H68" s="523">
        <v>5.4519368723098998</v>
      </c>
      <c r="I68" s="523">
        <v>6</v>
      </c>
      <c r="J68" s="523">
        <v>0</v>
      </c>
      <c r="K68" s="523"/>
      <c r="L68" s="523">
        <v>1.0000000000000009E-2</v>
      </c>
      <c r="M68" s="523">
        <v>2.9360448602984821</v>
      </c>
      <c r="N68" s="523">
        <v>2.92682926829269</v>
      </c>
      <c r="O68" s="523">
        <v>8.9857045609257913</v>
      </c>
      <c r="P68" s="523">
        <v>4.6828437633035334</v>
      </c>
      <c r="Q68" s="523">
        <v>3.1195840554592751</v>
      </c>
      <c r="R68" s="523">
        <v>-4</v>
      </c>
      <c r="S68" s="523">
        <v>-20.13131296256077</v>
      </c>
      <c r="T68" s="523"/>
      <c r="U68" s="523">
        <v>0</v>
      </c>
      <c r="V68" s="523">
        <v>14.155031295137221</v>
      </c>
      <c r="W68" s="523">
        <v>-0.10000000000000009</v>
      </c>
      <c r="X68" s="523">
        <v>-1.5</v>
      </c>
      <c r="Y68" s="523">
        <v>-1.7317651529450884</v>
      </c>
      <c r="Z68" s="523">
        <v>0.20000000000000007</v>
      </c>
      <c r="AA68" s="523">
        <v>26.309866199824928</v>
      </c>
    </row>
    <row r="69" spans="1:27" s="546" customFormat="1">
      <c r="A69" s="520"/>
      <c r="B69" s="521" t="s">
        <v>141</v>
      </c>
      <c r="C69" s="522">
        <v>4</v>
      </c>
      <c r="D69" s="523">
        <v>-2.7006510087184479</v>
      </c>
      <c r="E69" s="523">
        <v>0.69354139575205653</v>
      </c>
      <c r="F69" s="523">
        <v>2.8016267510167268</v>
      </c>
      <c r="G69" s="523">
        <v>2.7798098024871982</v>
      </c>
      <c r="H69" s="523">
        <v>3.2967032967032965</v>
      </c>
      <c r="I69" s="523">
        <v>-2</v>
      </c>
      <c r="J69" s="523">
        <v>0</v>
      </c>
      <c r="K69" s="523"/>
      <c r="L69" s="523">
        <v>-3.0000000000000027E-2</v>
      </c>
      <c r="M69" s="523">
        <v>2.7652241125018757</v>
      </c>
      <c r="N69" s="523">
        <v>0.95693779904305887</v>
      </c>
      <c r="O69" s="523">
        <v>-2.7741083223249592</v>
      </c>
      <c r="P69" s="523">
        <v>-1.7624842635333684</v>
      </c>
      <c r="Q69" s="523">
        <v>-1.8369690011481155</v>
      </c>
      <c r="R69" s="523">
        <v>1.2999999999999972</v>
      </c>
      <c r="S69" s="523">
        <v>17.811997630933249</v>
      </c>
      <c r="T69" s="523"/>
      <c r="U69" s="523">
        <v>0.20920502092050508</v>
      </c>
      <c r="V69" s="523">
        <v>-6.9799906933457416</v>
      </c>
      <c r="W69" s="523">
        <v>0</v>
      </c>
      <c r="X69" s="523">
        <v>4.3000000000000007</v>
      </c>
      <c r="Y69" s="523">
        <v>-2.0442218378124992</v>
      </c>
      <c r="Z69" s="523">
        <v>-0.20000000000000007</v>
      </c>
      <c r="AA69" s="523">
        <v>-15.584982826738671</v>
      </c>
    </row>
    <row r="70" spans="1:27" s="546" customFormat="1">
      <c r="A70" s="520"/>
      <c r="B70" s="521" t="s">
        <v>141</v>
      </c>
      <c r="C70" s="522">
        <v>5</v>
      </c>
      <c r="D70" s="523">
        <v>2.5143909739811079</v>
      </c>
      <c r="E70" s="523">
        <v>-0.69354139575205653</v>
      </c>
      <c r="F70" s="523">
        <v>-11.698113207547173</v>
      </c>
      <c r="G70" s="523">
        <v>-7.329842931937173</v>
      </c>
      <c r="H70" s="523">
        <v>-18.396458435809148</v>
      </c>
      <c r="I70" s="523">
        <v>2</v>
      </c>
      <c r="J70" s="523">
        <v>0</v>
      </c>
      <c r="K70" s="523"/>
      <c r="L70" s="523">
        <v>0</v>
      </c>
      <c r="M70" s="523">
        <v>-3.5261053714919166</v>
      </c>
      <c r="N70" s="523">
        <v>2.8169014084507107</v>
      </c>
      <c r="O70" s="523">
        <v>-2.4406779661017102</v>
      </c>
      <c r="P70" s="523">
        <v>-1.7941050832977312</v>
      </c>
      <c r="Q70" s="523">
        <v>-2.1077283372365305</v>
      </c>
      <c r="R70" s="523">
        <v>2.7000000000000028</v>
      </c>
      <c r="S70" s="523">
        <v>-7.2254242199826155</v>
      </c>
      <c r="T70" s="523"/>
      <c r="U70" s="523">
        <v>-0.20920502092050508</v>
      </c>
      <c r="V70" s="523">
        <v>-4.1338582677165387</v>
      </c>
      <c r="W70" s="523">
        <v>0.20000000000000018</v>
      </c>
      <c r="X70" s="523">
        <v>0.89999999999999991</v>
      </c>
      <c r="Y70" s="523">
        <v>-5.0712388312001933</v>
      </c>
      <c r="Z70" s="523">
        <v>0.10000000000000009</v>
      </c>
      <c r="AA70" s="523">
        <v>-4.3875283297027226</v>
      </c>
    </row>
    <row r="71" spans="1:27" s="546" customFormat="1">
      <c r="A71" s="520"/>
      <c r="B71" s="521" t="s">
        <v>141</v>
      </c>
      <c r="C71" s="522">
        <v>6</v>
      </c>
      <c r="D71" s="523">
        <v>-9.6557861615230482</v>
      </c>
      <c r="E71" s="523">
        <v>-2.0210896309314559</v>
      </c>
      <c r="F71" s="523">
        <v>10.805687203791473</v>
      </c>
      <c r="G71" s="523">
        <v>4.4204487936561501</v>
      </c>
      <c r="H71" s="523">
        <v>20.689655172413794</v>
      </c>
      <c r="I71" s="523">
        <v>1</v>
      </c>
      <c r="J71" s="523">
        <v>-3</v>
      </c>
      <c r="K71" s="523"/>
      <c r="L71" s="523">
        <v>-5.0000000000000044E-2</v>
      </c>
      <c r="M71" s="523">
        <v>3.6861839295037102</v>
      </c>
      <c r="N71" s="523">
        <v>-0.93023255813954808</v>
      </c>
      <c r="O71" s="523">
        <v>-2.1505376344085985</v>
      </c>
      <c r="P71" s="523">
        <v>0.85836909871244638</v>
      </c>
      <c r="Q71" s="523">
        <v>3.830528148578058</v>
      </c>
      <c r="R71" s="523">
        <v>-0.5</v>
      </c>
      <c r="S71" s="523">
        <v>14.431391997024452</v>
      </c>
      <c r="T71" s="523"/>
      <c r="U71" s="523">
        <v>0.31364349189754015</v>
      </c>
      <c r="V71" s="523">
        <v>-0.70600100857287218</v>
      </c>
      <c r="W71" s="523">
        <v>0</v>
      </c>
      <c r="X71" s="523">
        <v>1.1000000000000001</v>
      </c>
      <c r="Y71" s="523">
        <v>17.200192059241367</v>
      </c>
      <c r="Z71" s="523">
        <v>-0.20000000000000007</v>
      </c>
      <c r="AA71" s="523">
        <v>-8.9355801546452298</v>
      </c>
    </row>
    <row r="72" spans="1:27" s="546" customFormat="1">
      <c r="A72" s="520"/>
      <c r="B72" s="521" t="s">
        <v>141</v>
      </c>
      <c r="C72" s="522">
        <v>7</v>
      </c>
      <c r="D72" s="523">
        <v>8.2341357199465275</v>
      </c>
      <c r="E72" s="523">
        <v>4.5119305856832872</v>
      </c>
      <c r="F72" s="523">
        <v>-6.4037122969837643</v>
      </c>
      <c r="G72" s="523">
        <v>-5.896847650607528</v>
      </c>
      <c r="H72" s="523">
        <v>7.2125583368689012</v>
      </c>
      <c r="I72" s="523">
        <v>-3</v>
      </c>
      <c r="J72" s="523">
        <v>-3</v>
      </c>
      <c r="K72" s="523"/>
      <c r="L72" s="523">
        <v>0</v>
      </c>
      <c r="M72" s="523">
        <v>1.605670698821184</v>
      </c>
      <c r="N72" s="523">
        <v>0.93023255813954808</v>
      </c>
      <c r="O72" s="523">
        <v>1.1850819100732082</v>
      </c>
      <c r="P72" s="523">
        <v>0.34129692832764991</v>
      </c>
      <c r="Q72" s="523">
        <v>0.3411028993746415</v>
      </c>
      <c r="R72" s="523">
        <v>0.29999999999999716</v>
      </c>
      <c r="S72" s="523">
        <v>-9.1955065692989191</v>
      </c>
      <c r="T72" s="523"/>
      <c r="U72" s="523">
        <v>-0.20898641588297059</v>
      </c>
      <c r="V72" s="523">
        <v>-5.9405940594059441</v>
      </c>
      <c r="W72" s="523">
        <v>0</v>
      </c>
      <c r="X72" s="523">
        <v>-4.1999999999999993</v>
      </c>
      <c r="Y72" s="523">
        <v>-12.095725603360354</v>
      </c>
      <c r="Z72" s="523">
        <v>1.5</v>
      </c>
      <c r="AA72" s="523">
        <v>30.960846692865903</v>
      </c>
    </row>
    <row r="73" spans="1:27" s="546" customFormat="1">
      <c r="A73" s="520"/>
      <c r="B73" s="521" t="s">
        <v>141</v>
      </c>
      <c r="C73" s="522">
        <v>8</v>
      </c>
      <c r="D73" s="523">
        <v>-4.5916802340671614</v>
      </c>
      <c r="E73" s="523">
        <v>-9.9777282850779407</v>
      </c>
      <c r="F73" s="523">
        <v>6.9412309116149933</v>
      </c>
      <c r="G73" s="523">
        <v>-1.7664723547076489</v>
      </c>
      <c r="H73" s="523">
        <v>-2.4875621890547261</v>
      </c>
      <c r="I73" s="523">
        <v>0</v>
      </c>
      <c r="J73" s="523">
        <v>-3</v>
      </c>
      <c r="K73" s="523"/>
      <c r="L73" s="523">
        <v>-9.9999999999998979E-3</v>
      </c>
      <c r="M73" s="523">
        <v>1.1067193675889218</v>
      </c>
      <c r="N73" s="523">
        <v>2.7397260273972508</v>
      </c>
      <c r="O73" s="523">
        <v>-1.888772298006308</v>
      </c>
      <c r="P73" s="523">
        <v>-0.68376068376069343</v>
      </c>
      <c r="Q73" s="523">
        <v>-0.22727272727271436</v>
      </c>
      <c r="R73" s="523">
        <v>1.2000000000000028</v>
      </c>
      <c r="S73" s="523">
        <v>-11.330107004705534</v>
      </c>
      <c r="T73" s="523"/>
      <c r="U73" s="523">
        <v>0.31331592689296228</v>
      </c>
      <c r="V73" s="523">
        <v>6.3442537701508153</v>
      </c>
      <c r="W73" s="523">
        <v>0</v>
      </c>
      <c r="X73" s="523">
        <v>1</v>
      </c>
      <c r="Y73" s="523">
        <v>0.58888404421759988</v>
      </c>
      <c r="Z73" s="523">
        <v>0.39999999999999991</v>
      </c>
      <c r="AA73" s="523">
        <v>-23.358133923185207</v>
      </c>
    </row>
    <row r="74" spans="1:27" s="546" customFormat="1">
      <c r="A74" s="520"/>
      <c r="B74" s="521" t="s">
        <v>141</v>
      </c>
      <c r="C74" s="522">
        <v>9</v>
      </c>
      <c r="D74" s="523">
        <v>-5.7642615782150664</v>
      </c>
      <c r="E74" s="523">
        <v>9.3833780160857909</v>
      </c>
      <c r="F74" s="523">
        <v>-4.2941982640475134</v>
      </c>
      <c r="G74" s="523">
        <v>2.0462162638913388</v>
      </c>
      <c r="H74" s="523">
        <v>-10.145566828407587</v>
      </c>
      <c r="I74" s="523">
        <v>3</v>
      </c>
      <c r="J74" s="523">
        <v>4.2999999999999972</v>
      </c>
      <c r="K74" s="523"/>
      <c r="L74" s="523">
        <v>9.9999999999998979E-3</v>
      </c>
      <c r="M74" s="523">
        <v>-1.715422794538094</v>
      </c>
      <c r="N74" s="523">
        <v>-0.90497737556560753</v>
      </c>
      <c r="O74" s="523">
        <v>3.4698126301179739</v>
      </c>
      <c r="P74" s="523">
        <v>1.9532908704883323</v>
      </c>
      <c r="Q74" s="523">
        <v>0.68027210884353095</v>
      </c>
      <c r="R74" s="523">
        <v>-1.4000000000000057</v>
      </c>
      <c r="S74" s="523">
        <v>-20.662370982588772</v>
      </c>
      <c r="T74" s="523"/>
      <c r="U74" s="523">
        <v>0.10422094841062461</v>
      </c>
      <c r="V74" s="523">
        <v>-1.7285205897305571</v>
      </c>
      <c r="W74" s="523">
        <v>0.10000000000000009</v>
      </c>
      <c r="X74" s="523">
        <v>0.59999999999999964</v>
      </c>
      <c r="Y74" s="523">
        <v>3.7420889649530484</v>
      </c>
      <c r="Z74" s="523">
        <v>-0.89999999999999991</v>
      </c>
      <c r="AA74" s="523">
        <v>-13.270533394838427</v>
      </c>
    </row>
    <row r="75" spans="1:27" s="546" customFormat="1">
      <c r="A75" s="520"/>
      <c r="B75" s="521" t="s">
        <v>141</v>
      </c>
      <c r="C75" s="522">
        <v>10</v>
      </c>
      <c r="D75" s="523">
        <v>9.8478153352197655</v>
      </c>
      <c r="E75" s="523">
        <v>-0.21362956633198033</v>
      </c>
      <c r="F75" s="523">
        <v>-12.499999999999996</v>
      </c>
      <c r="G75" s="523">
        <v>-4.2257288044931798</v>
      </c>
      <c r="H75" s="523">
        <v>31.611893583724569</v>
      </c>
      <c r="I75" s="523">
        <v>-7</v>
      </c>
      <c r="J75" s="523">
        <v>4.4000000000000057</v>
      </c>
      <c r="K75" s="523"/>
      <c r="L75" s="523">
        <v>-2.9999999999999916E-2</v>
      </c>
      <c r="M75" s="523">
        <v>2.2325977521938194</v>
      </c>
      <c r="N75" s="523">
        <v>-2.7649769585253523</v>
      </c>
      <c r="O75" s="523">
        <v>-1.5812994156067262</v>
      </c>
      <c r="P75" s="523">
        <v>-1.6108520559559183</v>
      </c>
      <c r="Q75" s="523">
        <v>-1.5945330296127629</v>
      </c>
      <c r="R75" s="523">
        <v>3.3000000000000114</v>
      </c>
      <c r="S75" s="523">
        <v>9.9381460417618044</v>
      </c>
      <c r="T75" s="523"/>
      <c r="U75" s="523">
        <v>0.31201248049921698</v>
      </c>
      <c r="V75" s="523">
        <v>-1.2383900928792597</v>
      </c>
      <c r="W75" s="523">
        <v>0.10000000000000009</v>
      </c>
      <c r="X75" s="523">
        <v>6.1</v>
      </c>
      <c r="Y75" s="523">
        <v>-1.3633381820256125</v>
      </c>
      <c r="Z75" s="523">
        <v>-0.5</v>
      </c>
      <c r="AA75" s="523">
        <v>14.10996978851963</v>
      </c>
    </row>
    <row r="76" spans="1:27" s="546" customFormat="1">
      <c r="A76" s="520"/>
      <c r="B76" s="521" t="s">
        <v>141</v>
      </c>
      <c r="C76" s="522">
        <v>11</v>
      </c>
      <c r="D76" s="523">
        <v>1.0178977796912452</v>
      </c>
      <c r="E76" s="523">
        <v>-2.2054054054054153</v>
      </c>
      <c r="F76" s="523">
        <v>15.699658703071668</v>
      </c>
      <c r="G76" s="523">
        <v>0.50872093023255816</v>
      </c>
      <c r="H76" s="523">
        <v>-27.867590454195536</v>
      </c>
      <c r="I76" s="523">
        <v>3</v>
      </c>
      <c r="J76" s="523">
        <v>4.2999999999999972</v>
      </c>
      <c r="K76" s="523"/>
      <c r="L76" s="523">
        <v>0</v>
      </c>
      <c r="M76" s="523">
        <v>1.720744363592994</v>
      </c>
      <c r="N76" s="523">
        <v>0</v>
      </c>
      <c r="O76" s="523">
        <v>-1.2552301255230205</v>
      </c>
      <c r="P76" s="523">
        <v>0.59650617809970419</v>
      </c>
      <c r="Q76" s="523">
        <v>1.707455890722823</v>
      </c>
      <c r="R76" s="523">
        <v>-1</v>
      </c>
      <c r="S76" s="523">
        <v>17.125913068633832</v>
      </c>
      <c r="T76" s="523"/>
      <c r="U76" s="523">
        <v>0.4145077720207313</v>
      </c>
      <c r="V76" s="523">
        <v>-1.2539184952978089</v>
      </c>
      <c r="W76" s="523">
        <v>0</v>
      </c>
      <c r="X76" s="523">
        <v>-7.4</v>
      </c>
      <c r="Y76" s="523">
        <v>0.8853066688875989</v>
      </c>
      <c r="Z76" s="523">
        <v>9.9999999999999867E-2</v>
      </c>
      <c r="AA76" s="523">
        <v>-3.011206086577896</v>
      </c>
    </row>
    <row r="77" spans="1:27" s="546" customFormat="1">
      <c r="A77" s="524"/>
      <c r="B77" s="525" t="s">
        <v>141</v>
      </c>
      <c r="C77" s="526">
        <v>12</v>
      </c>
      <c r="D77" s="527">
        <v>10.845691962670916</v>
      </c>
      <c r="E77" s="527">
        <v>2.2054054054054153</v>
      </c>
      <c r="F77" s="527">
        <v>6.7278287461773729</v>
      </c>
      <c r="G77" s="527">
        <v>2.8933738167529914</v>
      </c>
      <c r="H77" s="527">
        <v>-0.53811659192825112</v>
      </c>
      <c r="I77" s="527">
        <v>6</v>
      </c>
      <c r="J77" s="527">
        <v>-1.7000000000000028</v>
      </c>
      <c r="K77" s="527"/>
      <c r="L77" s="527">
        <v>2.0000000000000018E-2</v>
      </c>
      <c r="M77" s="527">
        <v>3.037097431716258</v>
      </c>
      <c r="N77" s="527">
        <v>0</v>
      </c>
      <c r="O77" s="527">
        <v>-3.4261241970021494</v>
      </c>
      <c r="P77" s="527">
        <v>-0.25521054870267729</v>
      </c>
      <c r="Q77" s="527">
        <v>-0.56593095642331637</v>
      </c>
      <c r="R77" s="527">
        <v>0.29999999999999716</v>
      </c>
      <c r="S77" s="527">
        <v>-16.925883776802326</v>
      </c>
      <c r="T77" s="527"/>
      <c r="U77" s="527">
        <v>0.2066115702479368</v>
      </c>
      <c r="V77" s="527">
        <v>-12.632755729457797</v>
      </c>
      <c r="W77" s="527">
        <v>9.9999999999999645E-2</v>
      </c>
      <c r="X77" s="527">
        <v>4.7</v>
      </c>
      <c r="Y77" s="527">
        <v>2.946914567766354</v>
      </c>
      <c r="Z77" s="527">
        <v>0</v>
      </c>
      <c r="AA77" s="527">
        <v>5.573147561747934</v>
      </c>
    </row>
    <row r="78" spans="1:27" s="546" customFormat="1">
      <c r="A78" s="528" t="s">
        <v>343</v>
      </c>
      <c r="B78" s="529">
        <v>1994</v>
      </c>
      <c r="C78" s="530">
        <v>1</v>
      </c>
      <c r="D78" s="531">
        <v>-12.099291915612064</v>
      </c>
      <c r="E78" s="531">
        <v>-3.9249890972525074</v>
      </c>
      <c r="F78" s="531">
        <v>-3.9655172413793056</v>
      </c>
      <c r="G78" s="531">
        <v>3.3411235177010301</v>
      </c>
      <c r="H78" s="531">
        <v>-1.8148820326678765</v>
      </c>
      <c r="I78" s="531">
        <v>-8</v>
      </c>
      <c r="J78" s="531">
        <v>-1.5999999999999943</v>
      </c>
      <c r="K78" s="531"/>
      <c r="L78" s="531">
        <v>0</v>
      </c>
      <c r="M78" s="531">
        <v>1.6893957708223741</v>
      </c>
      <c r="N78" s="531">
        <v>-2.843601895734587</v>
      </c>
      <c r="O78" s="531">
        <v>5.3022269353128317</v>
      </c>
      <c r="P78" s="531">
        <v>1.6054076890578721</v>
      </c>
      <c r="Q78" s="531">
        <v>1.6882386043894204</v>
      </c>
      <c r="R78" s="531">
        <v>-0.79999999999999716</v>
      </c>
      <c r="S78" s="531">
        <v>15.213506910257822</v>
      </c>
      <c r="T78" s="531"/>
      <c r="U78" s="531">
        <v>0.20618556701029755</v>
      </c>
      <c r="V78" s="531">
        <v>16.830601092896181</v>
      </c>
      <c r="W78" s="531">
        <v>0</v>
      </c>
      <c r="X78" s="531">
        <v>-0.5</v>
      </c>
      <c r="Y78" s="531">
        <v>-7.3577211969596359</v>
      </c>
      <c r="Z78" s="531">
        <v>0.19999999999999996</v>
      </c>
      <c r="AA78" s="531">
        <v>15.395864646382583</v>
      </c>
    </row>
    <row r="79" spans="1:27" s="546" customFormat="1">
      <c r="A79" s="520"/>
      <c r="B79" s="521" t="s">
        <v>141</v>
      </c>
      <c r="C79" s="522">
        <v>2</v>
      </c>
      <c r="D79" s="523">
        <v>-0.12246068469473398</v>
      </c>
      <c r="E79" s="523">
        <v>3.4535519125682961</v>
      </c>
      <c r="F79" s="523">
        <v>0</v>
      </c>
      <c r="G79" s="523">
        <v>-3.4996534996534998</v>
      </c>
      <c r="H79" s="523">
        <v>16.316232127838521</v>
      </c>
      <c r="I79" s="523">
        <v>4</v>
      </c>
      <c r="J79" s="523">
        <v>-1.7000000000000028</v>
      </c>
      <c r="K79" s="523"/>
      <c r="L79" s="523">
        <v>-2.0000000000000018E-2</v>
      </c>
      <c r="M79" s="523">
        <v>2.50644015874121</v>
      </c>
      <c r="N79" s="523">
        <v>6.511627906976738</v>
      </c>
      <c r="O79" s="523">
        <v>-2.7225130890052198</v>
      </c>
      <c r="P79" s="523">
        <v>-2.2891055532005113</v>
      </c>
      <c r="Q79" s="523">
        <v>-4.4495151169423748</v>
      </c>
      <c r="R79" s="523">
        <v>1.8999999999999915</v>
      </c>
      <c r="S79" s="523">
        <v>-20.574439855735989</v>
      </c>
      <c r="T79" s="523"/>
      <c r="U79" s="523">
        <v>0.30848329048844358</v>
      </c>
      <c r="V79" s="523">
        <v>-7.3145245559038656</v>
      </c>
      <c r="W79" s="523">
        <v>0.10000000000000009</v>
      </c>
      <c r="X79" s="523">
        <v>-9.9999999999999978E-2</v>
      </c>
      <c r="Y79" s="523">
        <v>-5.7178284012883669</v>
      </c>
      <c r="Z79" s="523">
        <v>0.30000000000000004</v>
      </c>
      <c r="AA79" s="523">
        <v>-8.7559055118110098</v>
      </c>
    </row>
    <row r="80" spans="1:27" s="546" customFormat="1">
      <c r="A80" s="520"/>
      <c r="B80" s="521" t="s">
        <v>141</v>
      </c>
      <c r="C80" s="522">
        <v>3</v>
      </c>
      <c r="D80" s="523">
        <v>-1.0728710215665815</v>
      </c>
      <c r="E80" s="523">
        <v>3.1302876480541482</v>
      </c>
      <c r="F80" s="523">
        <v>9.4679514034352721</v>
      </c>
      <c r="G80" s="523">
        <v>7.5343628033259797</v>
      </c>
      <c r="H80" s="523">
        <v>-26.50814619110524</v>
      </c>
      <c r="I80" s="523">
        <v>-3</v>
      </c>
      <c r="J80" s="523">
        <v>4</v>
      </c>
      <c r="K80" s="523"/>
      <c r="L80" s="523">
        <v>2.0000000000000018E-2</v>
      </c>
      <c r="M80" s="523">
        <v>5.3979553604881394</v>
      </c>
      <c r="N80" s="523">
        <v>4.4052863436123353</v>
      </c>
      <c r="O80" s="523">
        <v>2.2393282015395299</v>
      </c>
      <c r="P80" s="523">
        <v>3.1236808780076006</v>
      </c>
      <c r="Q80" s="523">
        <v>6.3276836158192022</v>
      </c>
      <c r="R80" s="523">
        <v>-2.2999999999999972</v>
      </c>
      <c r="S80" s="523">
        <v>46.202146403972442</v>
      </c>
      <c r="T80" s="523"/>
      <c r="U80" s="523">
        <v>0.20512820512819346</v>
      </c>
      <c r="V80" s="523">
        <v>0.21668472372698031</v>
      </c>
      <c r="W80" s="523">
        <v>0</v>
      </c>
      <c r="X80" s="523">
        <v>9.9999999999999978E-2</v>
      </c>
      <c r="Y80" s="523">
        <v>1.1971841531698697</v>
      </c>
      <c r="Z80" s="523">
        <v>0</v>
      </c>
      <c r="AA80" s="523">
        <v>-24.634095586025126</v>
      </c>
    </row>
    <row r="81" spans="1:27" s="546" customFormat="1">
      <c r="A81" s="520"/>
      <c r="B81" s="521" t="s">
        <v>141</v>
      </c>
      <c r="C81" s="522">
        <v>4</v>
      </c>
      <c r="D81" s="523">
        <v>-3.2292753646277221</v>
      </c>
      <c r="E81" s="523">
        <v>-0.87847730600292584</v>
      </c>
      <c r="F81" s="523">
        <v>-1.2882447665056314</v>
      </c>
      <c r="G81" s="523">
        <v>1.0573403822692151</v>
      </c>
      <c r="H81" s="523">
        <v>19.348922512608894</v>
      </c>
      <c r="I81" s="523">
        <v>-1</v>
      </c>
      <c r="J81" s="523">
        <v>4</v>
      </c>
      <c r="K81" s="523"/>
      <c r="L81" s="523">
        <v>-2.0000000000000018E-2</v>
      </c>
      <c r="M81" s="523">
        <v>2.1282766888603906</v>
      </c>
      <c r="N81" s="523">
        <v>-8.0717488789237706</v>
      </c>
      <c r="O81" s="523">
        <v>-1.9566736547868704</v>
      </c>
      <c r="P81" s="523">
        <v>0.16611295681063359</v>
      </c>
      <c r="Q81" s="523">
        <v>1.0893246187363834</v>
      </c>
      <c r="R81" s="523">
        <v>-0.70000000000000284</v>
      </c>
      <c r="S81" s="523">
        <v>-5.3960151270161587</v>
      </c>
      <c r="T81" s="523"/>
      <c r="U81" s="523">
        <v>0.10240655401946597</v>
      </c>
      <c r="V81" s="523">
        <v>0.32414910858994828</v>
      </c>
      <c r="W81" s="523">
        <v>-0.10000000000000009</v>
      </c>
      <c r="X81" s="523">
        <v>-0.30000000000000004</v>
      </c>
      <c r="Y81" s="523">
        <v>-1.451138242522467</v>
      </c>
      <c r="Z81" s="523">
        <v>-0.59999999999999987</v>
      </c>
      <c r="AA81" s="523">
        <v>21.744852872050391</v>
      </c>
    </row>
    <row r="82" spans="1:27" s="546" customFormat="1">
      <c r="A82" s="520"/>
      <c r="B82" s="521" t="s">
        <v>141</v>
      </c>
      <c r="C82" s="522">
        <v>5</v>
      </c>
      <c r="D82" s="523">
        <v>0.86739218057233813</v>
      </c>
      <c r="E82" s="523">
        <v>0</v>
      </c>
      <c r="F82" s="523">
        <v>-0.65040650406504985</v>
      </c>
      <c r="G82" s="523">
        <v>-3.5237938415939403</v>
      </c>
      <c r="H82" s="523">
        <v>5.6074766355140184</v>
      </c>
      <c r="I82" s="523">
        <v>1</v>
      </c>
      <c r="J82" s="523">
        <v>4</v>
      </c>
      <c r="K82" s="523"/>
      <c r="L82" s="523">
        <v>-1.0000000000000009E-2</v>
      </c>
      <c r="M82" s="523">
        <v>-11.847518425194718</v>
      </c>
      <c r="N82" s="523">
        <v>-3.809523809523796</v>
      </c>
      <c r="O82" s="523">
        <v>0.35223670306445937</v>
      </c>
      <c r="P82" s="523">
        <v>-0.83333333333333337</v>
      </c>
      <c r="Q82" s="523">
        <v>1.2917115177610363</v>
      </c>
      <c r="R82" s="523">
        <v>-0.89999999999999147</v>
      </c>
      <c r="S82" s="523">
        <v>-36.286344755970923</v>
      </c>
      <c r="T82" s="523"/>
      <c r="U82" s="523">
        <v>-0.10240655401946597</v>
      </c>
      <c r="V82" s="523">
        <v>0.7522837184309541</v>
      </c>
      <c r="W82" s="523">
        <v>0</v>
      </c>
      <c r="X82" s="523">
        <v>5.4</v>
      </c>
      <c r="Y82" s="523">
        <v>-3.294036206205941</v>
      </c>
      <c r="Z82" s="523">
        <v>-0.50000000000000011</v>
      </c>
      <c r="AA82" s="523">
        <v>-12.09423612984444</v>
      </c>
    </row>
    <row r="83" spans="1:27" s="546" customFormat="1">
      <c r="A83" s="520"/>
      <c r="B83" s="521" t="s">
        <v>141</v>
      </c>
      <c r="C83" s="522">
        <v>6</v>
      </c>
      <c r="D83" s="523">
        <v>4.7225335224645608</v>
      </c>
      <c r="E83" s="523">
        <v>3.7113402061855671</v>
      </c>
      <c r="F83" s="523">
        <v>5.319571258435901</v>
      </c>
      <c r="G83" s="523">
        <v>3.7661376531535238</v>
      </c>
      <c r="H83" s="523">
        <v>7.8237751614128372</v>
      </c>
      <c r="I83" s="523">
        <v>0</v>
      </c>
      <c r="J83" s="523">
        <v>2.7000000000000028</v>
      </c>
      <c r="K83" s="523"/>
      <c r="L83" s="523">
        <v>0</v>
      </c>
      <c r="M83" s="523">
        <v>6.8072886681602816</v>
      </c>
      <c r="N83" s="523">
        <v>-2.9556650246305489</v>
      </c>
      <c r="O83" s="523">
        <v>6.1349693251533743</v>
      </c>
      <c r="P83" s="523">
        <v>0.99916736053289168</v>
      </c>
      <c r="Q83" s="523">
        <v>-3.0401737242128091</v>
      </c>
      <c r="R83" s="523">
        <v>-0.70000000000000284</v>
      </c>
      <c r="S83" s="523">
        <v>14.733208475634383</v>
      </c>
      <c r="T83" s="523"/>
      <c r="U83" s="523">
        <v>-0.10251153254740576</v>
      </c>
      <c r="V83" s="523">
        <v>5.0104384133611655</v>
      </c>
      <c r="W83" s="523">
        <v>0</v>
      </c>
      <c r="X83" s="523">
        <v>-9.4</v>
      </c>
      <c r="Y83" s="523">
        <v>3.4224345339795668</v>
      </c>
      <c r="Z83" s="523">
        <v>-0.6</v>
      </c>
      <c r="AA83" s="523">
        <v>9.5120895148241953</v>
      </c>
    </row>
    <row r="84" spans="1:27" s="546" customFormat="1">
      <c r="A84" s="520"/>
      <c r="B84" s="521" t="s">
        <v>141</v>
      </c>
      <c r="C84" s="522">
        <v>7</v>
      </c>
      <c r="D84" s="523">
        <v>-6.1133028246804422</v>
      </c>
      <c r="E84" s="523">
        <v>-0.56841250507511398</v>
      </c>
      <c r="F84" s="523">
        <v>-3.5419126328217345</v>
      </c>
      <c r="G84" s="523">
        <v>1.9342978179202301</v>
      </c>
      <c r="H84" s="523">
        <v>-20.64516129032258</v>
      </c>
      <c r="I84" s="523">
        <v>2</v>
      </c>
      <c r="J84" s="523">
        <v>2.5999999999999943</v>
      </c>
      <c r="K84" s="523"/>
      <c r="L84" s="523">
        <v>-1.0000000000000009E-2</v>
      </c>
      <c r="M84" s="523">
        <v>0.54187488710939846</v>
      </c>
      <c r="N84" s="523">
        <v>0.99502487562188691</v>
      </c>
      <c r="O84" s="523">
        <v>-0.66357000663570009</v>
      </c>
      <c r="P84" s="523">
        <v>-1.9238812212463379</v>
      </c>
      <c r="Q84" s="523">
        <v>-2.794857462269424</v>
      </c>
      <c r="R84" s="523">
        <v>2</v>
      </c>
      <c r="S84" s="523">
        <v>8.7741386922183953</v>
      </c>
      <c r="T84" s="523"/>
      <c r="U84" s="523">
        <v>0</v>
      </c>
      <c r="V84" s="523">
        <v>-0.10188487009679931</v>
      </c>
      <c r="W84" s="523">
        <v>0.10000000000000009</v>
      </c>
      <c r="X84" s="523">
        <v>10.9</v>
      </c>
      <c r="Y84" s="523">
        <v>4.853164359128679E-2</v>
      </c>
      <c r="Z84" s="523">
        <v>-0.8</v>
      </c>
      <c r="AA84" s="523">
        <v>-17.703054700449925</v>
      </c>
    </row>
    <row r="85" spans="1:27" s="546" customFormat="1">
      <c r="A85" s="520"/>
      <c r="B85" s="521" t="s">
        <v>141</v>
      </c>
      <c r="C85" s="522">
        <v>8</v>
      </c>
      <c r="D85" s="523">
        <v>4.3301349683481254</v>
      </c>
      <c r="E85" s="523">
        <v>0.77063475968363637</v>
      </c>
      <c r="F85" s="523">
        <v>1.668653158522057</v>
      </c>
      <c r="G85" s="523">
        <v>-0.39660506068057427</v>
      </c>
      <c r="H85" s="523">
        <v>9.0987124463519322</v>
      </c>
      <c r="I85" s="523">
        <v>-6</v>
      </c>
      <c r="J85" s="523">
        <v>2.7000000000000028</v>
      </c>
      <c r="K85" s="523"/>
      <c r="L85" s="523">
        <v>3.0000000000000027E-2</v>
      </c>
      <c r="M85" s="523">
        <v>-0.45068840313208131</v>
      </c>
      <c r="N85" s="523">
        <v>6.6985645933014464</v>
      </c>
      <c r="O85" s="523">
        <v>-3.8683406854428157</v>
      </c>
      <c r="P85" s="523">
        <v>1.5088013411567451</v>
      </c>
      <c r="Q85" s="523">
        <v>2.463605823068312</v>
      </c>
      <c r="R85" s="523">
        <v>-0.29999999999999716</v>
      </c>
      <c r="S85" s="523">
        <v>-10.957636640010573</v>
      </c>
      <c r="T85" s="523"/>
      <c r="U85" s="523">
        <v>0.20491803278688817</v>
      </c>
      <c r="V85" s="523">
        <v>-8.8344864289515694</v>
      </c>
      <c r="W85" s="523">
        <v>0.10000000000000009</v>
      </c>
      <c r="X85" s="523">
        <v>-3.4</v>
      </c>
      <c r="Y85" s="523">
        <v>5.3650149591374783</v>
      </c>
      <c r="Z85" s="523">
        <v>0.10000000000000009</v>
      </c>
      <c r="AA85" s="523">
        <v>25.242894760737311</v>
      </c>
    </row>
    <row r="86" spans="1:27" s="546" customFormat="1">
      <c r="A86" s="520"/>
      <c r="B86" s="521" t="s">
        <v>141</v>
      </c>
      <c r="C86" s="522">
        <v>9</v>
      </c>
      <c r="D86" s="523">
        <v>-0.39515505540761392</v>
      </c>
      <c r="E86" s="523">
        <v>-7.8085642317380337</v>
      </c>
      <c r="F86" s="523">
        <v>3.0267753201397012</v>
      </c>
      <c r="G86" s="523">
        <v>2.3562676720075402</v>
      </c>
      <c r="H86" s="523">
        <v>-5.3962900505902196</v>
      </c>
      <c r="I86" s="523">
        <v>4</v>
      </c>
      <c r="J86" s="523">
        <v>-2</v>
      </c>
      <c r="K86" s="523"/>
      <c r="L86" s="523">
        <v>1.0000000000000009E-2</v>
      </c>
      <c r="M86" s="523">
        <v>-1.8533299062512683</v>
      </c>
      <c r="N86" s="523">
        <v>-6.6985645933014464</v>
      </c>
      <c r="O86" s="523">
        <v>-4.457021577644154</v>
      </c>
      <c r="P86" s="523">
        <v>-2.4421052631578997</v>
      </c>
      <c r="Q86" s="523">
        <v>-1.8983807928531575</v>
      </c>
      <c r="R86" s="523">
        <v>1.6999999999999886</v>
      </c>
      <c r="S86" s="523">
        <v>-19.608445297504804</v>
      </c>
      <c r="T86" s="523"/>
      <c r="U86" s="523">
        <v>0.20449897750511536</v>
      </c>
      <c r="V86" s="523">
        <v>3.178082191780828</v>
      </c>
      <c r="W86" s="523">
        <v>0</v>
      </c>
      <c r="X86" s="523">
        <v>-5.4</v>
      </c>
      <c r="Y86" s="523">
        <v>-10.005415041813125</v>
      </c>
      <c r="Z86" s="523">
        <v>0.79999999999999993</v>
      </c>
      <c r="AA86" s="523">
        <v>-9.5809395065900524</v>
      </c>
    </row>
    <row r="87" spans="1:27" s="546" customFormat="1">
      <c r="A87" s="520"/>
      <c r="B87" s="521" t="s">
        <v>141</v>
      </c>
      <c r="C87" s="522">
        <v>10</v>
      </c>
      <c r="D87" s="523">
        <v>8.2909011270935432E-2</v>
      </c>
      <c r="E87" s="523">
        <v>5.6463595839524441</v>
      </c>
      <c r="F87" s="523">
        <v>-7.6190476190476266</v>
      </c>
      <c r="G87" s="523">
        <v>-3.0260047281323876</v>
      </c>
      <c r="H87" s="523">
        <v>-10.583941605839415</v>
      </c>
      <c r="I87" s="523">
        <v>0</v>
      </c>
      <c r="J87" s="523">
        <v>-2</v>
      </c>
      <c r="K87" s="523"/>
      <c r="L87" s="523">
        <v>0</v>
      </c>
      <c r="M87" s="523">
        <v>0.79696446300098545</v>
      </c>
      <c r="N87" s="523">
        <v>0.98522167487684398</v>
      </c>
      <c r="O87" s="523">
        <v>10.360205831903961</v>
      </c>
      <c r="P87" s="523">
        <v>3.6820083682008415</v>
      </c>
      <c r="Q87" s="523">
        <v>3.107658157602661</v>
      </c>
      <c r="R87" s="523">
        <v>-3</v>
      </c>
      <c r="S87" s="523">
        <v>0.59830691871936481</v>
      </c>
      <c r="T87" s="523"/>
      <c r="U87" s="523">
        <v>0.10209290454312844</v>
      </c>
      <c r="V87" s="523">
        <v>10.719754977029096</v>
      </c>
      <c r="W87" s="523">
        <v>0</v>
      </c>
      <c r="X87" s="523">
        <v>0.39999999999999991</v>
      </c>
      <c r="Y87" s="523">
        <v>7.1716809553012384</v>
      </c>
      <c r="Z87" s="523">
        <v>0.9</v>
      </c>
      <c r="AA87" s="523">
        <v>19.222362589985753</v>
      </c>
    </row>
    <row r="88" spans="1:27" s="546" customFormat="1">
      <c r="A88" s="520"/>
      <c r="B88" s="521" t="s">
        <v>141</v>
      </c>
      <c r="C88" s="522">
        <v>11</v>
      </c>
      <c r="D88" s="523">
        <v>8.40504812193387</v>
      </c>
      <c r="E88" s="523">
        <v>1.5973786606594331</v>
      </c>
      <c r="F88" s="523">
        <v>-3.2704402515723316</v>
      </c>
      <c r="G88" s="523">
        <v>2.637189103829451</v>
      </c>
      <c r="H88" s="523">
        <v>18.134034165571617</v>
      </c>
      <c r="I88" s="523">
        <v>-3</v>
      </c>
      <c r="J88" s="523">
        <v>-2</v>
      </c>
      <c r="K88" s="523"/>
      <c r="L88" s="523">
        <v>1.9999999999999907E-2</v>
      </c>
      <c r="M88" s="523">
        <v>-0.25227522413160974</v>
      </c>
      <c r="N88" s="523">
        <v>0.97560975609757483</v>
      </c>
      <c r="O88" s="523">
        <v>3.1460674157303226</v>
      </c>
      <c r="P88" s="523">
        <v>1.8722018722018701</v>
      </c>
      <c r="Q88" s="523">
        <v>0.54495912806539515</v>
      </c>
      <c r="R88" s="523">
        <v>-1</v>
      </c>
      <c r="S88" s="523">
        <v>-57.926180538505598</v>
      </c>
      <c r="T88" s="523"/>
      <c r="U88" s="523">
        <v>0</v>
      </c>
      <c r="V88" s="523">
        <v>4.45286594031265</v>
      </c>
      <c r="W88" s="523">
        <v>-0.10000000000000009</v>
      </c>
      <c r="X88" s="523">
        <v>3.5999999999999996</v>
      </c>
      <c r="Y88" s="523">
        <v>-0.46884083791234554</v>
      </c>
      <c r="Z88" s="523">
        <v>-0.19999999999999996</v>
      </c>
      <c r="AA88" s="523">
        <v>-17.772554331587017</v>
      </c>
    </row>
    <row r="89" spans="1:27" s="546" customFormat="1">
      <c r="A89" s="532"/>
      <c r="B89" s="533" t="s">
        <v>141</v>
      </c>
      <c r="C89" s="534">
        <v>12</v>
      </c>
      <c r="D89" s="535">
        <v>-1.3896327605923309</v>
      </c>
      <c r="E89" s="535">
        <v>-2.3016851623510046</v>
      </c>
      <c r="F89" s="535">
        <v>-0.512820512820508</v>
      </c>
      <c r="G89" s="535">
        <v>-3.0861755163409037</v>
      </c>
      <c r="H89" s="535">
        <v>-11.824755423224159</v>
      </c>
      <c r="I89" s="535">
        <v>4</v>
      </c>
      <c r="J89" s="535">
        <v>3.7000000000000028</v>
      </c>
      <c r="K89" s="535"/>
      <c r="L89" s="535">
        <v>-1.9999999999999907E-2</v>
      </c>
      <c r="M89" s="535">
        <v>0.20620794443238302</v>
      </c>
      <c r="N89" s="535">
        <v>2.8708133971291767</v>
      </c>
      <c r="O89" s="535">
        <v>-5.5880441845354101</v>
      </c>
      <c r="P89" s="535">
        <v>-3.8635429510891925</v>
      </c>
      <c r="Q89" s="535">
        <v>0.32555615843732733</v>
      </c>
      <c r="R89" s="535">
        <v>3.7000000000000028</v>
      </c>
      <c r="S89" s="535">
        <v>40.406950019918483</v>
      </c>
      <c r="T89" s="535"/>
      <c r="U89" s="535">
        <v>-0.10209290454312844</v>
      </c>
      <c r="V89" s="535">
        <v>-8.6031899468342239</v>
      </c>
      <c r="W89" s="535">
        <v>0</v>
      </c>
      <c r="X89" s="535">
        <v>-2.8</v>
      </c>
      <c r="Y89" s="535">
        <v>-3.7459699977704188</v>
      </c>
      <c r="Z89" s="535">
        <v>-0.10000000000000009</v>
      </c>
      <c r="AA89" s="535">
        <v>-3.0091873418845227</v>
      </c>
    </row>
    <row r="90" spans="1:27" s="546" customFormat="1">
      <c r="A90" s="536" t="s">
        <v>344</v>
      </c>
      <c r="B90" s="537">
        <v>1995</v>
      </c>
      <c r="C90" s="538">
        <v>1</v>
      </c>
      <c r="D90" s="539">
        <v>-6.4396732016309821</v>
      </c>
      <c r="E90" s="539">
        <v>-1.1289985364833739</v>
      </c>
      <c r="F90" s="539">
        <v>-17.723880597014926</v>
      </c>
      <c r="G90" s="539">
        <v>3.3817951959544881</v>
      </c>
      <c r="H90" s="539">
        <v>27.658745617452279</v>
      </c>
      <c r="I90" s="539">
        <v>0</v>
      </c>
      <c r="J90" s="539">
        <v>3.5999999999999943</v>
      </c>
      <c r="K90" s="539"/>
      <c r="L90" s="539">
        <v>0</v>
      </c>
      <c r="M90" s="539">
        <v>-6.5072393037256412E-2</v>
      </c>
      <c r="N90" s="539">
        <v>0.93896713615023153</v>
      </c>
      <c r="O90" s="539">
        <v>3.0283080974325181</v>
      </c>
      <c r="P90" s="539">
        <v>0.91781393408427914</v>
      </c>
      <c r="Q90" s="539">
        <v>1.1847065158858465</v>
      </c>
      <c r="R90" s="539">
        <v>-1.0999999999999943</v>
      </c>
      <c r="S90" s="539">
        <v>34.146547714684374</v>
      </c>
      <c r="T90" s="539"/>
      <c r="U90" s="539">
        <v>0.30596634370218984</v>
      </c>
      <c r="V90" s="539">
        <v>6.7349926793557886</v>
      </c>
      <c r="W90" s="539">
        <v>0.10000000000000009</v>
      </c>
      <c r="X90" s="539">
        <v>-2.9999999999999996</v>
      </c>
      <c r="Y90" s="539">
        <v>2.5750506024825834</v>
      </c>
      <c r="Z90" s="539">
        <v>-1.1000000000000001</v>
      </c>
      <c r="AA90" s="539">
        <v>22.857256889704864</v>
      </c>
    </row>
    <row r="91" spans="1:27" s="546" customFormat="1">
      <c r="A91" s="520"/>
      <c r="B91" s="521" t="s">
        <v>141</v>
      </c>
      <c r="C91" s="522">
        <v>2</v>
      </c>
      <c r="D91" s="523">
        <v>3.9754676012342332</v>
      </c>
      <c r="E91" s="523">
        <v>1.2536564981195153</v>
      </c>
      <c r="F91" s="523">
        <v>0</v>
      </c>
      <c r="G91" s="523">
        <v>-0.68610634648370494</v>
      </c>
      <c r="H91" s="523">
        <v>-15.169366715758468</v>
      </c>
      <c r="I91" s="523">
        <v>3</v>
      </c>
      <c r="J91" s="523">
        <v>3.7000000000000028</v>
      </c>
      <c r="K91" s="523"/>
      <c r="L91" s="523">
        <v>0</v>
      </c>
      <c r="M91" s="523">
        <v>3.8229777724569969</v>
      </c>
      <c r="N91" s="523">
        <v>-2.843601895734587</v>
      </c>
      <c r="O91" s="523">
        <v>3.7543748011454068</v>
      </c>
      <c r="P91" s="523">
        <v>3.2679738562091503</v>
      </c>
      <c r="Q91" s="523">
        <v>3.2648762506582352</v>
      </c>
      <c r="R91" s="523">
        <v>-2.4000000000000057</v>
      </c>
      <c r="S91" s="523">
        <v>1.0311685978622049</v>
      </c>
      <c r="T91" s="523"/>
      <c r="U91" s="523">
        <v>0.50787201625190448</v>
      </c>
      <c r="V91" s="523">
        <v>7.4545454545454444</v>
      </c>
      <c r="W91" s="523">
        <v>0</v>
      </c>
      <c r="X91" s="523">
        <v>1.9999999999999996</v>
      </c>
      <c r="Y91" s="523">
        <v>-5.2275737087892935</v>
      </c>
      <c r="Z91" s="523">
        <v>-0.19999999999999996</v>
      </c>
      <c r="AA91" s="523">
        <v>-4.2990688399831694</v>
      </c>
    </row>
    <row r="92" spans="1:27" s="546" customFormat="1">
      <c r="A92" s="520"/>
      <c r="B92" s="521" t="s">
        <v>141</v>
      </c>
      <c r="C92" s="522">
        <v>3</v>
      </c>
      <c r="D92" s="523">
        <v>-7.373900111537985</v>
      </c>
      <c r="E92" s="523">
        <v>-10.858143607705783</v>
      </c>
      <c r="F92" s="523">
        <v>-3.6477331943720688</v>
      </c>
      <c r="G92" s="523">
        <v>2.9293863706444649</v>
      </c>
      <c r="H92" s="523">
        <v>-31.977818853974121</v>
      </c>
      <c r="I92" s="523">
        <v>2</v>
      </c>
      <c r="J92" s="523">
        <v>-0.29999999999999716</v>
      </c>
      <c r="K92" s="523"/>
      <c r="L92" s="523">
        <v>-5.0000000000000044E-2</v>
      </c>
      <c r="M92" s="523">
        <v>-0.62323242903529186</v>
      </c>
      <c r="N92" s="523">
        <v>1.904761904761898</v>
      </c>
      <c r="O92" s="523">
        <v>-7.1821417017146523</v>
      </c>
      <c r="P92" s="523">
        <v>-2.7709861450692794</v>
      </c>
      <c r="Q92" s="523">
        <v>0.51679586563307489</v>
      </c>
      <c r="R92" s="523">
        <v>5.7000000000000028</v>
      </c>
      <c r="S92" s="523">
        <v>-23.687208907190119</v>
      </c>
      <c r="T92" s="523"/>
      <c r="U92" s="523">
        <v>-0.20283975659229497</v>
      </c>
      <c r="V92" s="523">
        <v>-6.3291139240506329</v>
      </c>
      <c r="W92" s="523">
        <v>0.10000000000000009</v>
      </c>
      <c r="X92" s="523">
        <v>-2.4</v>
      </c>
      <c r="Y92" s="523">
        <v>-1.7544492978592832</v>
      </c>
      <c r="Z92" s="523">
        <v>-0.50000000000000011</v>
      </c>
      <c r="AA92" s="523">
        <v>3.9691411189093007</v>
      </c>
    </row>
    <row r="93" spans="1:27" s="546" customFormat="1">
      <c r="A93" s="520"/>
      <c r="B93" s="521" t="s">
        <v>141</v>
      </c>
      <c r="C93" s="522">
        <v>4</v>
      </c>
      <c r="D93" s="523">
        <v>0.94768521482999013</v>
      </c>
      <c r="E93" s="523">
        <v>13.873330461008182</v>
      </c>
      <c r="F93" s="523">
        <v>8.8280060882800626</v>
      </c>
      <c r="G93" s="523">
        <v>-5.2713661883967564</v>
      </c>
      <c r="H93" s="523">
        <v>7.9239302694136295</v>
      </c>
      <c r="I93" s="523">
        <v>-5</v>
      </c>
      <c r="J93" s="523">
        <v>-0.40000000000000568</v>
      </c>
      <c r="K93" s="523"/>
      <c r="L93" s="523">
        <v>-1.0000000000000009E-2</v>
      </c>
      <c r="M93" s="523">
        <v>3.9183873190015408</v>
      </c>
      <c r="N93" s="523">
        <v>6.3926940639269514</v>
      </c>
      <c r="O93" s="523">
        <v>3.9473684210526314</v>
      </c>
      <c r="P93" s="523">
        <v>1.0686395396629651</v>
      </c>
      <c r="Q93" s="523">
        <v>0.41152263374486181</v>
      </c>
      <c r="R93" s="523">
        <v>-0.29999999999999716</v>
      </c>
      <c r="S93" s="523">
        <v>-40.659190745136549</v>
      </c>
      <c r="T93" s="523"/>
      <c r="U93" s="523">
        <v>-0.91789903110658411</v>
      </c>
      <c r="V93" s="523">
        <v>-0.65573770491802219</v>
      </c>
      <c r="W93" s="523">
        <v>0</v>
      </c>
      <c r="X93" s="523">
        <v>2.9</v>
      </c>
      <c r="Y93" s="523">
        <v>-3.1193594394503394</v>
      </c>
      <c r="Z93" s="523">
        <v>0.60000000000000009</v>
      </c>
      <c r="AA93" s="523">
        <v>-25.365458594857245</v>
      </c>
    </row>
    <row r="94" spans="1:27" s="546" customFormat="1">
      <c r="A94" s="520"/>
      <c r="B94" s="521" t="s">
        <v>141</v>
      </c>
      <c r="C94" s="522">
        <v>5</v>
      </c>
      <c r="D94" s="523">
        <v>-1.5283842794759799</v>
      </c>
      <c r="E94" s="523">
        <v>-10.606703436571914</v>
      </c>
      <c r="F94" s="523">
        <v>-4.0654437283093792</v>
      </c>
      <c r="G94" s="523">
        <v>1.6521048451151708</v>
      </c>
      <c r="H94" s="523">
        <v>9.9468855625301789</v>
      </c>
      <c r="I94" s="523">
        <v>2</v>
      </c>
      <c r="J94" s="523">
        <v>-0.29999999999999716</v>
      </c>
      <c r="K94" s="523"/>
      <c r="L94" s="523">
        <v>-3.0000000000000027E-2</v>
      </c>
      <c r="M94" s="523">
        <v>-2.0464665280240952</v>
      </c>
      <c r="N94" s="523">
        <v>-1.7857142857142954</v>
      </c>
      <c r="O94" s="523">
        <v>-7.4966532797858019</v>
      </c>
      <c r="P94" s="523">
        <v>-0.65627563576701975</v>
      </c>
      <c r="Q94" s="523">
        <v>0.81799591002044691</v>
      </c>
      <c r="R94" s="523">
        <v>0.79999999999999716</v>
      </c>
      <c r="S94" s="523">
        <v>51.791696274489908</v>
      </c>
      <c r="T94" s="523"/>
      <c r="U94" s="523">
        <v>0.510986203372509</v>
      </c>
      <c r="V94" s="523">
        <v>-4.6153846153846265</v>
      </c>
      <c r="W94" s="523">
        <v>-0.10000000000000009</v>
      </c>
      <c r="X94" s="523">
        <v>-5.4</v>
      </c>
      <c r="Y94" s="523">
        <v>4.6058292342706117</v>
      </c>
      <c r="Z94" s="523">
        <v>0.9</v>
      </c>
      <c r="AA94" s="523">
        <v>22.592455469167792</v>
      </c>
    </row>
    <row r="95" spans="1:27" s="546" customFormat="1">
      <c r="A95" s="520"/>
      <c r="B95" s="521" t="s">
        <v>141</v>
      </c>
      <c r="C95" s="522">
        <v>6</v>
      </c>
      <c r="D95" s="523">
        <v>5.6150005896458248</v>
      </c>
      <c r="E95" s="523">
        <v>5.6172436316133272</v>
      </c>
      <c r="F95" s="523">
        <v>-4.7668393782383358</v>
      </c>
      <c r="G95" s="523">
        <v>0.81594225639416285</v>
      </c>
      <c r="H95" s="523">
        <v>-6.4577397910731245</v>
      </c>
      <c r="I95" s="523">
        <v>-5</v>
      </c>
      <c r="J95" s="523">
        <v>-3.7000000000000028</v>
      </c>
      <c r="K95" s="523"/>
      <c r="L95" s="523">
        <v>1.0000000000000009E-2</v>
      </c>
      <c r="M95" s="523">
        <v>3.1115566666243653</v>
      </c>
      <c r="N95" s="523">
        <v>-3.6697247706422056</v>
      </c>
      <c r="O95" s="523">
        <v>6.3951531470885215</v>
      </c>
      <c r="P95" s="523">
        <v>1.7944535073409487</v>
      </c>
      <c r="Q95" s="523">
        <v>1.1139240506329056</v>
      </c>
      <c r="R95" s="523">
        <v>-0.90000000000000568</v>
      </c>
      <c r="S95" s="523">
        <v>-34.891924524728338</v>
      </c>
      <c r="T95" s="523"/>
      <c r="U95" s="523">
        <v>0.10188487009679931</v>
      </c>
      <c r="V95" s="523">
        <v>5.1773729626078673</v>
      </c>
      <c r="W95" s="523">
        <v>0.10000000000000009</v>
      </c>
      <c r="X95" s="523">
        <v>11.9</v>
      </c>
      <c r="Y95" s="523">
        <v>-10.121657729819715</v>
      </c>
      <c r="Z95" s="523">
        <v>0.4</v>
      </c>
      <c r="AA95" s="523">
        <v>-40.33934440792396</v>
      </c>
    </row>
    <row r="96" spans="1:27" s="546" customFormat="1">
      <c r="A96" s="520"/>
      <c r="B96" s="521" t="s">
        <v>141</v>
      </c>
      <c r="C96" s="522">
        <v>7</v>
      </c>
      <c r="D96" s="523">
        <v>-5.6263169481397641</v>
      </c>
      <c r="E96" s="523">
        <v>-1.9674935842600487</v>
      </c>
      <c r="F96" s="523">
        <v>-2.4717893605588359</v>
      </c>
      <c r="G96" s="523">
        <v>7.8106693743653838E-2</v>
      </c>
      <c r="H96" s="523">
        <v>16.064981949458485</v>
      </c>
      <c r="I96" s="523">
        <v>2</v>
      </c>
      <c r="J96" s="523">
        <v>-3.5999999999999943</v>
      </c>
      <c r="K96" s="523"/>
      <c r="L96" s="523">
        <v>-1.0000000000000009E-2</v>
      </c>
      <c r="M96" s="523">
        <v>3.49811976062889E-2</v>
      </c>
      <c r="N96" s="523">
        <v>0.93023255813954808</v>
      </c>
      <c r="O96" s="523">
        <v>-3.653271338425772</v>
      </c>
      <c r="P96" s="523">
        <v>-1.3838013838013863</v>
      </c>
      <c r="Q96" s="523">
        <v>-0.91047040971167581</v>
      </c>
      <c r="R96" s="523">
        <v>1.4000000000000057</v>
      </c>
      <c r="S96" s="523">
        <v>9.302452763118314</v>
      </c>
      <c r="T96" s="523"/>
      <c r="U96" s="523">
        <v>-0.10188487009679931</v>
      </c>
      <c r="V96" s="523">
        <v>-6.2650602409638552</v>
      </c>
      <c r="W96" s="523">
        <v>0</v>
      </c>
      <c r="X96" s="523">
        <v>-5.7</v>
      </c>
      <c r="Y96" s="523">
        <v>12.285615898225597</v>
      </c>
      <c r="Z96" s="523">
        <v>-0.30000000000000004</v>
      </c>
      <c r="AA96" s="523">
        <v>34.097936954816085</v>
      </c>
    </row>
    <row r="97" spans="1:27" s="546" customFormat="1">
      <c r="A97" s="520"/>
      <c r="B97" s="521" t="s">
        <v>141</v>
      </c>
      <c r="C97" s="522">
        <v>8</v>
      </c>
      <c r="D97" s="523">
        <v>2.2999168319365393</v>
      </c>
      <c r="E97" s="523">
        <v>-2.0069808027923188</v>
      </c>
      <c r="F97" s="523">
        <v>6.8313189700472936</v>
      </c>
      <c r="G97" s="523">
        <v>2.4980724749421741</v>
      </c>
      <c r="H97" s="523">
        <v>-21.974965229485395</v>
      </c>
      <c r="I97" s="523">
        <v>11</v>
      </c>
      <c r="J97" s="523">
        <v>-3.7000000000000028</v>
      </c>
      <c r="K97" s="523"/>
      <c r="L97" s="523">
        <v>1.0000000000000009E-2</v>
      </c>
      <c r="M97" s="523">
        <v>2.3283950617283882</v>
      </c>
      <c r="N97" s="523">
        <v>2.7397260273972508</v>
      </c>
      <c r="O97" s="523">
        <v>3.913764510779421</v>
      </c>
      <c r="P97" s="523">
        <v>3.0669895076674711</v>
      </c>
      <c r="Q97" s="523">
        <v>1.51285930408472</v>
      </c>
      <c r="R97" s="523">
        <v>-1.5999999999999943</v>
      </c>
      <c r="S97" s="523">
        <v>-13.648923995869039</v>
      </c>
      <c r="T97" s="523"/>
      <c r="U97" s="523">
        <v>0.20366598778004366</v>
      </c>
      <c r="V97" s="523">
        <v>10.108644307982997</v>
      </c>
      <c r="W97" s="523">
        <v>0.10000000000000009</v>
      </c>
      <c r="X97" s="523">
        <v>-1.7</v>
      </c>
      <c r="Y97" s="523">
        <v>-18.307803627711891</v>
      </c>
      <c r="Z97" s="523">
        <v>-0.4</v>
      </c>
      <c r="AA97" s="523">
        <v>0.85199945032294599</v>
      </c>
    </row>
    <row r="98" spans="1:27" s="546" customFormat="1">
      <c r="A98" s="520"/>
      <c r="B98" s="521" t="s">
        <v>141</v>
      </c>
      <c r="C98" s="522">
        <v>9</v>
      </c>
      <c r="D98" s="523">
        <v>3.4069537916349311</v>
      </c>
      <c r="E98" s="523">
        <v>1.400437636761483</v>
      </c>
      <c r="F98" s="523">
        <v>7.2477962781586598</v>
      </c>
      <c r="G98" s="523">
        <v>-2.2641509433962264</v>
      </c>
      <c r="H98" s="523">
        <v>16.355810616929698</v>
      </c>
      <c r="I98" s="523">
        <v>-4</v>
      </c>
      <c r="J98" s="523">
        <v>2.7000000000000028</v>
      </c>
      <c r="K98" s="523"/>
      <c r="L98" s="523">
        <v>0</v>
      </c>
      <c r="M98" s="523">
        <v>-0.51386832735858334</v>
      </c>
      <c r="N98" s="523">
        <v>-0.90497737556560753</v>
      </c>
      <c r="O98" s="523">
        <v>2.0605280103026509</v>
      </c>
      <c r="P98" s="523">
        <v>4.4306257287213384</v>
      </c>
      <c r="Q98" s="523">
        <v>5.1682106289614795</v>
      </c>
      <c r="R98" s="523">
        <v>-2.4000000000000057</v>
      </c>
      <c r="S98" s="523">
        <v>24.826174796001361</v>
      </c>
      <c r="T98" s="523"/>
      <c r="U98" s="523">
        <v>0</v>
      </c>
      <c r="V98" s="523">
        <v>4.741000877963117</v>
      </c>
      <c r="W98" s="523">
        <v>0</v>
      </c>
      <c r="X98" s="523">
        <v>8.4</v>
      </c>
      <c r="Y98" s="523">
        <v>-3.2267301793066081</v>
      </c>
      <c r="Z98" s="523">
        <v>0.5</v>
      </c>
      <c r="AA98" s="523">
        <v>-1.842608850046372</v>
      </c>
    </row>
    <row r="99" spans="1:27" s="546" customFormat="1">
      <c r="A99" s="520"/>
      <c r="B99" s="521" t="s">
        <v>141</v>
      </c>
      <c r="C99" s="522">
        <v>10</v>
      </c>
      <c r="D99" s="523">
        <v>-3.8791088954665836</v>
      </c>
      <c r="E99" s="523">
        <v>1.2953367875647668</v>
      </c>
      <c r="F99" s="523">
        <v>-1.23632905373276</v>
      </c>
      <c r="G99" s="523">
        <v>-0.68782241675785527</v>
      </c>
      <c r="H99" s="523">
        <v>24.105754276827373</v>
      </c>
      <c r="I99" s="523">
        <v>2</v>
      </c>
      <c r="J99" s="523">
        <v>2.5999999999999943</v>
      </c>
      <c r="K99" s="523"/>
      <c r="L99" s="523">
        <v>0</v>
      </c>
      <c r="M99" s="523">
        <v>1.852099410585168</v>
      </c>
      <c r="N99" s="523">
        <v>-3.7037037037037068</v>
      </c>
      <c r="O99" s="523">
        <v>-4.0312093628088537</v>
      </c>
      <c r="P99" s="523">
        <v>-5.6293979671618466</v>
      </c>
      <c r="Q99" s="523">
        <v>-4.1727316836487107</v>
      </c>
      <c r="R99" s="523">
        <v>3.9000000000000057</v>
      </c>
      <c r="S99" s="523">
        <v>21.691360079906786</v>
      </c>
      <c r="T99" s="523"/>
      <c r="U99" s="523">
        <v>0</v>
      </c>
      <c r="V99" s="523">
        <v>-11.423390752493196</v>
      </c>
      <c r="W99" s="523">
        <v>0</v>
      </c>
      <c r="X99" s="523">
        <v>-7</v>
      </c>
      <c r="Y99" s="523">
        <v>5.9829984648574079</v>
      </c>
      <c r="Z99" s="523">
        <v>-1.7000000000000002</v>
      </c>
      <c r="AA99" s="523">
        <v>-20.537929520254686</v>
      </c>
    </row>
    <row r="100" spans="1:27" s="546" customFormat="1">
      <c r="A100" s="520"/>
      <c r="B100" s="521" t="s">
        <v>141</v>
      </c>
      <c r="C100" s="522">
        <v>11</v>
      </c>
      <c r="D100" s="523">
        <v>-0.93853250546679512</v>
      </c>
      <c r="E100" s="523">
        <v>-2.9162132752992336</v>
      </c>
      <c r="F100" s="523">
        <v>-0.28749401054144436</v>
      </c>
      <c r="G100" s="523">
        <v>-1.9642008553777919</v>
      </c>
      <c r="H100" s="523">
        <v>-15.961034095166729</v>
      </c>
      <c r="I100" s="523">
        <v>-3</v>
      </c>
      <c r="J100" s="523">
        <v>2.7000000000000028</v>
      </c>
      <c r="K100" s="523"/>
      <c r="L100" s="523">
        <v>-1.0000000000000009E-2</v>
      </c>
      <c r="M100" s="523">
        <v>0.39297925141657497</v>
      </c>
      <c r="N100" s="523">
        <v>1.8691588785046829</v>
      </c>
      <c r="O100" s="523">
        <v>-1.4032743067156663</v>
      </c>
      <c r="P100" s="523">
        <v>2.0700636942675228</v>
      </c>
      <c r="Q100" s="523">
        <v>4.6466602129719234</v>
      </c>
      <c r="R100" s="523">
        <v>-2</v>
      </c>
      <c r="S100" s="523">
        <v>-21.166701266348355</v>
      </c>
      <c r="T100" s="523"/>
      <c r="U100" s="523">
        <v>0.30472320975113987</v>
      </c>
      <c r="V100" s="523">
        <v>-0.38535645472062208</v>
      </c>
      <c r="W100" s="523">
        <v>0.19999999999999973</v>
      </c>
      <c r="X100" s="523">
        <v>0.30000000000000004</v>
      </c>
      <c r="Y100" s="523">
        <v>-4.0213476052602051</v>
      </c>
      <c r="Z100" s="523">
        <v>0.10000000000000009</v>
      </c>
      <c r="AA100" s="523">
        <v>15.822799071632977</v>
      </c>
    </row>
    <row r="101" spans="1:27" s="546" customFormat="1">
      <c r="A101" s="524"/>
      <c r="B101" s="525" t="s">
        <v>141</v>
      </c>
      <c r="C101" s="526">
        <v>12</v>
      </c>
      <c r="D101" s="527">
        <v>0.27705045361006642</v>
      </c>
      <c r="E101" s="527">
        <v>2.6155187445510024</v>
      </c>
      <c r="F101" s="527">
        <v>-8.1918081918081942</v>
      </c>
      <c r="G101" s="527">
        <v>-2.0035546938116013</v>
      </c>
      <c r="H101" s="527">
        <v>8.0500195388823759</v>
      </c>
      <c r="I101" s="527">
        <v>0</v>
      </c>
      <c r="J101" s="527">
        <v>1.7000000000000028</v>
      </c>
      <c r="K101" s="527"/>
      <c r="L101" s="527">
        <v>-2.0000000000000018E-2</v>
      </c>
      <c r="M101" s="527">
        <v>2.8657224599815536</v>
      </c>
      <c r="N101" s="527">
        <v>0.92165898617511177</v>
      </c>
      <c r="O101" s="527">
        <v>3.5041322314049661</v>
      </c>
      <c r="P101" s="527">
        <v>2.3364485981308412</v>
      </c>
      <c r="Q101" s="527">
        <v>5.6985294117647074</v>
      </c>
      <c r="R101" s="527">
        <v>-1.5</v>
      </c>
      <c r="S101" s="527">
        <v>51.324623323725859</v>
      </c>
      <c r="T101" s="527"/>
      <c r="U101" s="527">
        <v>0.20263424518743958</v>
      </c>
      <c r="V101" s="527">
        <v>4.9882352941176578</v>
      </c>
      <c r="W101" s="527">
        <v>0</v>
      </c>
      <c r="X101" s="527">
        <v>-9.9999999999999867E-2</v>
      </c>
      <c r="Y101" s="527">
        <v>-8.6500730080567383</v>
      </c>
      <c r="Z101" s="527">
        <v>0.19999999999999996</v>
      </c>
      <c r="AA101" s="527">
        <v>4.3229549726240162</v>
      </c>
    </row>
    <row r="102" spans="1:27" s="546" customFormat="1">
      <c r="A102" s="528" t="s">
        <v>345</v>
      </c>
      <c r="B102" s="529">
        <v>1996</v>
      </c>
      <c r="C102" s="530">
        <v>1</v>
      </c>
      <c r="D102" s="531">
        <v>-2.8564708554002931</v>
      </c>
      <c r="E102" s="531">
        <v>1.8755328218243841</v>
      </c>
      <c r="F102" s="531">
        <v>-0.94191522762951929</v>
      </c>
      <c r="G102" s="531">
        <v>-0.47443762781186094</v>
      </c>
      <c r="H102" s="531">
        <v>-14.850686037126716</v>
      </c>
      <c r="I102" s="531">
        <v>-5</v>
      </c>
      <c r="J102" s="531">
        <v>1.5999999999999943</v>
      </c>
      <c r="K102" s="531"/>
      <c r="L102" s="531">
        <v>1.0000000000000009E-2</v>
      </c>
      <c r="M102" s="531">
        <v>-0.5071219079001138</v>
      </c>
      <c r="N102" s="531">
        <v>11.255411255411245</v>
      </c>
      <c r="O102" s="531">
        <v>2.0578778135048159</v>
      </c>
      <c r="P102" s="531">
        <v>-1.1614401858304297</v>
      </c>
      <c r="Q102" s="531">
        <v>-4.4769301050708137</v>
      </c>
      <c r="R102" s="531">
        <v>0.79999999999999716</v>
      </c>
      <c r="S102" s="531">
        <v>-56.328111248019717</v>
      </c>
      <c r="T102" s="531"/>
      <c r="U102" s="531">
        <v>0</v>
      </c>
      <c r="V102" s="531">
        <v>1.4585232452142154</v>
      </c>
      <c r="W102" s="531">
        <v>0.10000000000000009</v>
      </c>
      <c r="X102" s="531">
        <v>5.0999999999999996</v>
      </c>
      <c r="Y102" s="531">
        <v>20.337337457983473</v>
      </c>
      <c r="Z102" s="531">
        <v>0.60000000000000009</v>
      </c>
      <c r="AA102" s="531">
        <v>-10.831207707064108</v>
      </c>
    </row>
    <row r="103" spans="1:27" s="546" customFormat="1">
      <c r="A103" s="520"/>
      <c r="B103" s="521" t="s">
        <v>141</v>
      </c>
      <c r="C103" s="522">
        <v>2</v>
      </c>
      <c r="D103" s="523">
        <v>-0.30654624563253102</v>
      </c>
      <c r="E103" s="523">
        <v>5.343197698314837</v>
      </c>
      <c r="F103" s="523">
        <v>0.62893081761007175</v>
      </c>
      <c r="G103" s="523">
        <v>11.528357286354504</v>
      </c>
      <c r="H103" s="523">
        <v>-19.626615605552896</v>
      </c>
      <c r="I103" s="523">
        <v>6</v>
      </c>
      <c r="J103" s="523">
        <v>1.7000000000000028</v>
      </c>
      <c r="K103" s="523"/>
      <c r="L103" s="523">
        <v>-1.0000000000000009E-2</v>
      </c>
      <c r="M103" s="523">
        <v>0.70855341874107136</v>
      </c>
      <c r="N103" s="523">
        <v>-6.7796610169491425</v>
      </c>
      <c r="O103" s="523">
        <v>2.0787401574803219</v>
      </c>
      <c r="P103" s="523">
        <v>2.2333461686561455</v>
      </c>
      <c r="Q103" s="523">
        <v>1.2999071494893275</v>
      </c>
      <c r="R103" s="523">
        <v>-1.9000000000000057</v>
      </c>
      <c r="S103" s="523">
        <v>61.494340647219538</v>
      </c>
      <c r="T103" s="523"/>
      <c r="U103" s="523">
        <v>0</v>
      </c>
      <c r="V103" s="523">
        <v>0</v>
      </c>
      <c r="W103" s="523">
        <v>-0.10000000000000009</v>
      </c>
      <c r="X103" s="523">
        <v>1</v>
      </c>
      <c r="Y103" s="523">
        <v>-2.3822885899539195</v>
      </c>
      <c r="Z103" s="523">
        <v>0.30000000000000004</v>
      </c>
      <c r="AA103" s="523">
        <v>18.274605103280674</v>
      </c>
    </row>
    <row r="104" spans="1:27" s="546" customFormat="1">
      <c r="A104" s="520"/>
      <c r="B104" s="521" t="s">
        <v>141</v>
      </c>
      <c r="C104" s="522">
        <v>3</v>
      </c>
      <c r="D104" s="523">
        <v>4.8888101640875261</v>
      </c>
      <c r="E104" s="523">
        <v>-6.1056105610561104</v>
      </c>
      <c r="F104" s="523">
        <v>-8.7241003271537618</v>
      </c>
      <c r="G104" s="523">
        <v>-6.5333836288193137</v>
      </c>
      <c r="H104" s="523">
        <v>44.297520661157023</v>
      </c>
      <c r="I104" s="523">
        <v>-5</v>
      </c>
      <c r="J104" s="523">
        <v>4</v>
      </c>
      <c r="K104" s="523"/>
      <c r="L104" s="523">
        <v>3.0000000000000027E-2</v>
      </c>
      <c r="M104" s="523">
        <v>-1.1864644762707059</v>
      </c>
      <c r="N104" s="523">
        <v>0</v>
      </c>
      <c r="O104" s="523">
        <v>-2.84539993676889</v>
      </c>
      <c r="P104" s="523">
        <v>-5.3166536356528624</v>
      </c>
      <c r="Q104" s="523">
        <v>-4.0470588235294223</v>
      </c>
      <c r="R104" s="523">
        <v>5.6000000000000085</v>
      </c>
      <c r="S104" s="523">
        <v>-46.340761581993164</v>
      </c>
      <c r="T104" s="523"/>
      <c r="U104" s="523">
        <v>0.50479555779909135</v>
      </c>
      <c r="V104" s="523">
        <v>-2.0109689213893991</v>
      </c>
      <c r="W104" s="523">
        <v>-0.19999999999999973</v>
      </c>
      <c r="X104" s="523">
        <v>1.2999999999999998</v>
      </c>
      <c r="Y104" s="523">
        <v>-3.3590656006683322</v>
      </c>
      <c r="Z104" s="523">
        <v>0.1</v>
      </c>
      <c r="AA104" s="523">
        <v>-12.675611681136536</v>
      </c>
    </row>
    <row r="105" spans="1:27" s="546" customFormat="1">
      <c r="A105" s="520"/>
      <c r="B105" s="521" t="s">
        <v>141</v>
      </c>
      <c r="C105" s="522">
        <v>4</v>
      </c>
      <c r="D105" s="523">
        <v>-7.2482653027983197</v>
      </c>
      <c r="E105" s="523">
        <v>1.1844331641286003</v>
      </c>
      <c r="F105" s="523">
        <v>-19.937304075235115</v>
      </c>
      <c r="G105" s="523">
        <v>-1.9371604063312071</v>
      </c>
      <c r="H105" s="523">
        <v>8.6731391585760527</v>
      </c>
      <c r="I105" s="523">
        <v>1</v>
      </c>
      <c r="J105" s="523">
        <v>4</v>
      </c>
      <c r="K105" s="523"/>
      <c r="L105" s="523">
        <v>-3.9999999999999925E-2</v>
      </c>
      <c r="M105" s="523">
        <v>-1.1185483727784387</v>
      </c>
      <c r="N105" s="523">
        <v>-0.8810572687224637</v>
      </c>
      <c r="O105" s="523">
        <v>0</v>
      </c>
      <c r="P105" s="523">
        <v>0.72028811524610292</v>
      </c>
      <c r="Q105" s="523">
        <v>0</v>
      </c>
      <c r="R105" s="523">
        <v>-0.90000000000000568</v>
      </c>
      <c r="S105" s="523">
        <v>2.9924164787866365</v>
      </c>
      <c r="T105" s="523"/>
      <c r="U105" s="523">
        <v>0.70245860511791547</v>
      </c>
      <c r="V105" s="523">
        <v>3.1803725579282145</v>
      </c>
      <c r="W105" s="523">
        <v>0.19999999999999973</v>
      </c>
      <c r="X105" s="523">
        <v>-4.9000000000000004</v>
      </c>
      <c r="Y105" s="523">
        <v>17.353324143282496</v>
      </c>
      <c r="Z105" s="523">
        <v>0</v>
      </c>
      <c r="AA105" s="523">
        <v>9.1777049707543448</v>
      </c>
    </row>
    <row r="106" spans="1:27" s="546" customFormat="1">
      <c r="A106" s="520"/>
      <c r="B106" s="521" t="s">
        <v>141</v>
      </c>
      <c r="C106" s="522">
        <v>5</v>
      </c>
      <c r="D106" s="523">
        <v>15.655668754089168</v>
      </c>
      <c r="E106" s="523">
        <v>5.4805725971370052</v>
      </c>
      <c r="F106" s="523">
        <v>14.110032362459553</v>
      </c>
      <c r="G106" s="523">
        <v>2.9920889794000156</v>
      </c>
      <c r="H106" s="523">
        <v>-51.090342679127723</v>
      </c>
      <c r="I106" s="523">
        <v>0</v>
      </c>
      <c r="J106" s="523">
        <v>4</v>
      </c>
      <c r="K106" s="523"/>
      <c r="L106" s="523">
        <v>3.9999999999999925E-2</v>
      </c>
      <c r="M106" s="523">
        <v>-0.73952390908278076</v>
      </c>
      <c r="N106" s="523">
        <v>0.8810572687224637</v>
      </c>
      <c r="O106" s="523">
        <v>6.395529338714673</v>
      </c>
      <c r="P106" s="523">
        <v>2.1301775147928903</v>
      </c>
      <c r="Q106" s="523">
        <v>-4.1176470588235183</v>
      </c>
      <c r="R106" s="523">
        <v>-1.2999999999999972</v>
      </c>
      <c r="S106" s="523">
        <v>15.996284254528565</v>
      </c>
      <c r="T106" s="523"/>
      <c r="U106" s="523">
        <v>9.9950024987500566E-2</v>
      </c>
      <c r="V106" s="523">
        <v>6.9084628670120898</v>
      </c>
      <c r="W106" s="523">
        <v>0</v>
      </c>
      <c r="X106" s="523">
        <v>0.39999999999999991</v>
      </c>
      <c r="Y106" s="523">
        <v>-6.1888496981694994</v>
      </c>
      <c r="Z106" s="523">
        <v>-0.30000000000000004</v>
      </c>
      <c r="AA106" s="523">
        <v>12.188915558282661</v>
      </c>
    </row>
    <row r="107" spans="1:27" s="546" customFormat="1">
      <c r="A107" s="520"/>
      <c r="B107" s="521" t="s">
        <v>141</v>
      </c>
      <c r="C107" s="522">
        <v>6</v>
      </c>
      <c r="D107" s="523">
        <v>-3.2579889736380334</v>
      </c>
      <c r="E107" s="523">
        <v>-7.0898598516075797</v>
      </c>
      <c r="F107" s="523">
        <v>3.3293697978596879</v>
      </c>
      <c r="G107" s="523">
        <v>-1.9166342033502142</v>
      </c>
      <c r="H107" s="523">
        <v>10.78673923800099</v>
      </c>
      <c r="I107" s="523">
        <v>-1</v>
      </c>
      <c r="J107" s="523">
        <v>-1.2999999999999972</v>
      </c>
      <c r="K107" s="523"/>
      <c r="L107" s="523">
        <v>2.0000000000000018E-2</v>
      </c>
      <c r="M107" s="523">
        <v>2.0743588830740514</v>
      </c>
      <c r="N107" s="523">
        <v>2.5974025974025881</v>
      </c>
      <c r="O107" s="523">
        <v>-6.5879428216283387</v>
      </c>
      <c r="P107" s="523">
        <v>-4.6325878594249188</v>
      </c>
      <c r="Q107" s="523">
        <v>-1.6145307769929451</v>
      </c>
      <c r="R107" s="523">
        <v>4</v>
      </c>
      <c r="S107" s="523">
        <v>-26.963923161018268</v>
      </c>
      <c r="T107" s="523"/>
      <c r="U107" s="523">
        <v>0</v>
      </c>
      <c r="V107" s="523">
        <v>-6.4627315812149941</v>
      </c>
      <c r="W107" s="523">
        <v>0</v>
      </c>
      <c r="X107" s="523">
        <v>1.6</v>
      </c>
      <c r="Y107" s="523">
        <v>-3.6269999252980387</v>
      </c>
      <c r="Z107" s="523">
        <v>-0.1</v>
      </c>
      <c r="AA107" s="523">
        <v>-12.87273912335017</v>
      </c>
    </row>
    <row r="108" spans="1:27" s="546" customFormat="1">
      <c r="A108" s="520"/>
      <c r="B108" s="521" t="s">
        <v>141</v>
      </c>
      <c r="C108" s="522">
        <v>7</v>
      </c>
      <c r="D108" s="523">
        <v>-6.6354657393771657</v>
      </c>
      <c r="E108" s="523">
        <v>0.89342693044032939</v>
      </c>
      <c r="F108" s="523">
        <v>19.238900634249475</v>
      </c>
      <c r="G108" s="523">
        <v>-0.77390823659480379</v>
      </c>
      <c r="H108" s="523">
        <v>22.426010837849105</v>
      </c>
      <c r="I108" s="523">
        <v>-3</v>
      </c>
      <c r="J108" s="523">
        <v>-1.4000000000000057</v>
      </c>
      <c r="K108" s="523"/>
      <c r="L108" s="523">
        <v>0</v>
      </c>
      <c r="M108" s="523">
        <v>1.1781121016282192</v>
      </c>
      <c r="N108" s="523">
        <v>-3.4782608695652049</v>
      </c>
      <c r="O108" s="523">
        <v>6.9478908188585722</v>
      </c>
      <c r="P108" s="523">
        <v>4.6325878594249188</v>
      </c>
      <c r="Q108" s="523">
        <v>4.3781094527363242</v>
      </c>
      <c r="R108" s="523">
        <v>-3.7999999999999972</v>
      </c>
      <c r="S108" s="523">
        <v>24.410150755759819</v>
      </c>
      <c r="T108" s="523"/>
      <c r="U108" s="523">
        <v>0.49825610363726958</v>
      </c>
      <c r="V108" s="523">
        <v>10.703750526759377</v>
      </c>
      <c r="W108" s="523">
        <v>0</v>
      </c>
      <c r="X108" s="523">
        <v>-9.4</v>
      </c>
      <c r="Y108" s="523">
        <v>-10.669361060870576</v>
      </c>
      <c r="Z108" s="523">
        <v>0.4</v>
      </c>
      <c r="AA108" s="523">
        <v>10.254998072368773</v>
      </c>
    </row>
    <row r="109" spans="1:27" s="546" customFormat="1">
      <c r="A109" s="520"/>
      <c r="B109" s="521" t="s">
        <v>141</v>
      </c>
      <c r="C109" s="522">
        <v>8</v>
      </c>
      <c r="D109" s="523">
        <v>11.942380227509618</v>
      </c>
      <c r="E109" s="523">
        <v>6.8316629167518998</v>
      </c>
      <c r="F109" s="523">
        <v>-7.1928071928071953</v>
      </c>
      <c r="G109" s="523">
        <v>1.7445972495088409</v>
      </c>
      <c r="H109" s="523">
        <v>4.0396621373485129</v>
      </c>
      <c r="I109" s="523">
        <v>1</v>
      </c>
      <c r="J109" s="523">
        <v>-1.2999999999999972</v>
      </c>
      <c r="K109" s="523"/>
      <c r="L109" s="523">
        <v>1.0000000000000009E-2</v>
      </c>
      <c r="M109" s="523">
        <v>-0.38262265149356156</v>
      </c>
      <c r="N109" s="523">
        <v>0.8810572687224637</v>
      </c>
      <c r="O109" s="523">
        <v>3.7647058823529278</v>
      </c>
      <c r="P109" s="523">
        <v>2.6194144838212678</v>
      </c>
      <c r="Q109" s="523">
        <v>-1.1753183153770841</v>
      </c>
      <c r="R109" s="523">
        <v>-3.1000000000000085</v>
      </c>
      <c r="S109" s="523">
        <v>-3.5213798059647861</v>
      </c>
      <c r="T109" s="523"/>
      <c r="U109" s="523">
        <v>9.9354197714861925E-2</v>
      </c>
      <c r="V109" s="523">
        <v>1.4297061159650493</v>
      </c>
      <c r="W109" s="523">
        <v>-0.10000000000000009</v>
      </c>
      <c r="X109" s="523">
        <v>3.8</v>
      </c>
      <c r="Y109" s="523">
        <v>8.3352289809793625</v>
      </c>
      <c r="Z109" s="523">
        <v>-0.4</v>
      </c>
      <c r="AA109" s="523">
        <v>-12.139959619908492</v>
      </c>
    </row>
    <row r="110" spans="1:27" s="546" customFormat="1">
      <c r="A110" s="520"/>
      <c r="B110" s="521" t="s">
        <v>141</v>
      </c>
      <c r="C110" s="522">
        <v>9</v>
      </c>
      <c r="D110" s="523">
        <v>-6.6383974265243459</v>
      </c>
      <c r="E110" s="523">
        <v>-1.4743972902968787</v>
      </c>
      <c r="F110" s="523">
        <v>-0.72802912116484952</v>
      </c>
      <c r="G110" s="523">
        <v>0.99224806201550386</v>
      </c>
      <c r="H110" s="523">
        <v>5.6663168940188875</v>
      </c>
      <c r="I110" s="523">
        <v>2</v>
      </c>
      <c r="J110" s="523">
        <v>0.29999999999999716</v>
      </c>
      <c r="K110" s="523"/>
      <c r="L110" s="523">
        <v>1.0000000000000009E-2</v>
      </c>
      <c r="M110" s="523">
        <v>0.86664462349684612</v>
      </c>
      <c r="N110" s="523">
        <v>1.7391304347826024</v>
      </c>
      <c r="O110" s="523">
        <v>0.5182839044054165</v>
      </c>
      <c r="P110" s="523">
        <v>-1.8419033000767502</v>
      </c>
      <c r="Q110" s="523">
        <v>-2.695956065901151</v>
      </c>
      <c r="R110" s="523">
        <v>0.60000000000000853</v>
      </c>
      <c r="S110" s="523">
        <v>-5.1628395617589646</v>
      </c>
      <c r="T110" s="523"/>
      <c r="U110" s="523">
        <v>-0.3980099502487619</v>
      </c>
      <c r="V110" s="523">
        <v>3.6391792489353487</v>
      </c>
      <c r="W110" s="523">
        <v>0</v>
      </c>
      <c r="X110" s="523">
        <v>1.9</v>
      </c>
      <c r="Y110" s="523">
        <v>13.042156248349423</v>
      </c>
      <c r="Z110" s="523">
        <v>0.1</v>
      </c>
      <c r="AA110" s="523">
        <v>18.188336948532712</v>
      </c>
    </row>
    <row r="111" spans="1:27" s="546" customFormat="1">
      <c r="A111" s="520"/>
      <c r="B111" s="521" t="s">
        <v>141</v>
      </c>
      <c r="C111" s="522">
        <v>10</v>
      </c>
      <c r="D111" s="523">
        <v>2.0907383434228515</v>
      </c>
      <c r="E111" s="523">
        <v>-1.2929292929292884</v>
      </c>
      <c r="F111" s="523">
        <v>-3.938265034592872</v>
      </c>
      <c r="G111" s="523">
        <v>5.0233117762069481</v>
      </c>
      <c r="H111" s="523">
        <v>10.077519379844961</v>
      </c>
      <c r="I111" s="523">
        <v>0</v>
      </c>
      <c r="J111" s="523">
        <v>0.40000000000000568</v>
      </c>
      <c r="K111" s="523"/>
      <c r="L111" s="523">
        <v>2.0000000000000018E-2</v>
      </c>
      <c r="M111" s="523">
        <v>-2.4437870514364559</v>
      </c>
      <c r="N111" s="523">
        <v>1.7094017094017186</v>
      </c>
      <c r="O111" s="523">
        <v>1.5954415954416019</v>
      </c>
      <c r="P111" s="523">
        <v>2.9007633587786348</v>
      </c>
      <c r="Q111" s="523">
        <v>5.1282051282051304</v>
      </c>
      <c r="R111" s="523">
        <v>-0.80000000000001137</v>
      </c>
      <c r="S111" s="523">
        <v>-5.3707731856832188</v>
      </c>
      <c r="T111" s="523"/>
      <c r="U111" s="523">
        <v>0.4972650422675286</v>
      </c>
      <c r="V111" s="523">
        <v>3.3644859813084111</v>
      </c>
      <c r="W111" s="523">
        <v>0.10000000000000009</v>
      </c>
      <c r="X111" s="523">
        <v>-0.20000000000000007</v>
      </c>
      <c r="Y111" s="523">
        <v>-12.556062753252672</v>
      </c>
      <c r="Z111" s="523">
        <v>0.5</v>
      </c>
      <c r="AA111" s="523">
        <v>-4.5476698653849441</v>
      </c>
    </row>
    <row r="112" spans="1:27" s="546" customFormat="1">
      <c r="A112" s="520"/>
      <c r="B112" s="521" t="s">
        <v>141</v>
      </c>
      <c r="C112" s="522">
        <v>11</v>
      </c>
      <c r="D112" s="523">
        <v>4.3481725649291896</v>
      </c>
      <c r="E112" s="523">
        <v>1.7734784361144722</v>
      </c>
      <c r="F112" s="523">
        <v>-8.0180688876340991</v>
      </c>
      <c r="G112" s="523">
        <v>1.7740293732732295</v>
      </c>
      <c r="H112" s="523">
        <v>-7.0678127984718246</v>
      </c>
      <c r="I112" s="523">
        <v>-1</v>
      </c>
      <c r="J112" s="523">
        <v>0.29999999999999716</v>
      </c>
      <c r="K112" s="523"/>
      <c r="L112" s="523">
        <v>0</v>
      </c>
      <c r="M112" s="523">
        <v>2.0340730672790803</v>
      </c>
      <c r="N112" s="523">
        <v>-0.85106382978724615</v>
      </c>
      <c r="O112" s="523">
        <v>4.9614112458654906</v>
      </c>
      <c r="P112" s="523">
        <v>0</v>
      </c>
      <c r="Q112" s="523">
        <v>-3.5225048923679005</v>
      </c>
      <c r="R112" s="523">
        <v>1.3000000000000114</v>
      </c>
      <c r="S112" s="523">
        <v>10.362035413575848</v>
      </c>
      <c r="T112" s="523"/>
      <c r="U112" s="523">
        <v>0.59347181008902927</v>
      </c>
      <c r="V112" s="523">
        <v>5.7142857142857144</v>
      </c>
      <c r="W112" s="523">
        <v>-0.10000000000000009</v>
      </c>
      <c r="X112" s="523">
        <v>-0.59999999999999987</v>
      </c>
      <c r="Y112" s="523">
        <v>-0.3226906310123962</v>
      </c>
      <c r="Z112" s="523">
        <v>0.29999999999999993</v>
      </c>
      <c r="AA112" s="523">
        <v>-6.6049634932760144</v>
      </c>
    </row>
    <row r="113" spans="1:27" s="546" customFormat="1">
      <c r="A113" s="532"/>
      <c r="B113" s="533" t="s">
        <v>141</v>
      </c>
      <c r="C113" s="534">
        <v>12</v>
      </c>
      <c r="D113" s="535">
        <v>-1.4037542930176461</v>
      </c>
      <c r="E113" s="535">
        <v>-0.56089743589743812</v>
      </c>
      <c r="F113" s="535">
        <v>-16.147488874761603</v>
      </c>
      <c r="G113" s="535">
        <v>-0.69424356378362739</v>
      </c>
      <c r="H113" s="535">
        <v>-14.665249734325187</v>
      </c>
      <c r="I113" s="535">
        <v>1</v>
      </c>
      <c r="J113" s="535">
        <v>-1</v>
      </c>
      <c r="K113" s="535"/>
      <c r="L113" s="535">
        <v>1.0000000000000009E-2</v>
      </c>
      <c r="M113" s="535">
        <v>2.0742101185181019</v>
      </c>
      <c r="N113" s="535">
        <v>-2.5974025974025881</v>
      </c>
      <c r="O113" s="535">
        <v>-3.0030030030030028</v>
      </c>
      <c r="P113" s="535">
        <v>-4.0690978886756328</v>
      </c>
      <c r="Q113" s="535">
        <v>-2.0120724346076457</v>
      </c>
      <c r="R113" s="535">
        <v>2</v>
      </c>
      <c r="S113" s="535">
        <v>0.93352295518360162</v>
      </c>
      <c r="T113" s="535"/>
      <c r="U113" s="535">
        <v>-0.39525691699605303</v>
      </c>
      <c r="V113" s="535">
        <v>-3.6055143160127217</v>
      </c>
      <c r="W113" s="535">
        <v>0.10000000000000009</v>
      </c>
      <c r="X113" s="535">
        <v>-2.6999999999999997</v>
      </c>
      <c r="Y113" s="535">
        <v>22.186197062443409</v>
      </c>
      <c r="Z113" s="535">
        <v>-0.29999999999999993</v>
      </c>
      <c r="AA113" s="535">
        <v>-4.8934728600466766</v>
      </c>
    </row>
    <row r="114" spans="1:27" s="546" customFormat="1">
      <c r="A114" s="536" t="s">
        <v>346</v>
      </c>
      <c r="B114" s="537">
        <v>1997</v>
      </c>
      <c r="C114" s="538">
        <v>1</v>
      </c>
      <c r="D114" s="539">
        <v>2.4419521411473855</v>
      </c>
      <c r="E114" s="539">
        <v>8.0321285140557683E-2</v>
      </c>
      <c r="F114" s="539">
        <v>82.007343941248479</v>
      </c>
      <c r="G114" s="539">
        <v>1.2261089073205915</v>
      </c>
      <c r="H114" s="539">
        <v>18.080667593880388</v>
      </c>
      <c r="I114" s="539">
        <v>3</v>
      </c>
      <c r="J114" s="539">
        <v>-1</v>
      </c>
      <c r="K114" s="539"/>
      <c r="L114" s="539">
        <v>1.0000000000000009E-2</v>
      </c>
      <c r="M114" s="539">
        <v>-2.4937598490861324</v>
      </c>
      <c r="N114" s="539">
        <v>-0.8810572687224637</v>
      </c>
      <c r="O114" s="539">
        <v>-4.5931386447405691</v>
      </c>
      <c r="P114" s="539">
        <v>6.666666666666675</v>
      </c>
      <c r="Q114" s="539">
        <v>7.3421439060205573</v>
      </c>
      <c r="R114" s="539">
        <v>-3.3000000000000114</v>
      </c>
      <c r="S114" s="539">
        <v>1.5843865903280401</v>
      </c>
      <c r="T114" s="539"/>
      <c r="U114" s="539">
        <v>-0.297471492315317</v>
      </c>
      <c r="V114" s="539">
        <v>-9.1080165600301157</v>
      </c>
      <c r="W114" s="539">
        <v>-0.10000000000000009</v>
      </c>
      <c r="X114" s="539">
        <v>6.3999999999999995</v>
      </c>
      <c r="Y114" s="539">
        <v>-12.62499497360983</v>
      </c>
      <c r="Z114" s="539">
        <v>0</v>
      </c>
      <c r="AA114" s="539">
        <v>3.3724701731757776</v>
      </c>
    </row>
    <row r="115" spans="1:27" s="546" customFormat="1">
      <c r="A115" s="520"/>
      <c r="B115" s="521" t="s">
        <v>141</v>
      </c>
      <c r="C115" s="522">
        <v>2</v>
      </c>
      <c r="D115" s="523">
        <v>-3.340301212125528</v>
      </c>
      <c r="E115" s="523">
        <v>-2.3558082859463783</v>
      </c>
      <c r="F115" s="523">
        <v>-13.07028360049323</v>
      </c>
      <c r="G115" s="523">
        <v>3.8388525627504744</v>
      </c>
      <c r="H115" s="523">
        <v>-17.099342332987192</v>
      </c>
      <c r="I115" s="523">
        <v>-7</v>
      </c>
      <c r="J115" s="523">
        <v>-1</v>
      </c>
      <c r="K115" s="523"/>
      <c r="L115" s="523">
        <v>-3.0000000000000027E-2</v>
      </c>
      <c r="M115" s="523">
        <v>-0.3255029837773471</v>
      </c>
      <c r="N115" s="523">
        <v>2.6200873362445325</v>
      </c>
      <c r="O115" s="523">
        <v>4.7592067988668427</v>
      </c>
      <c r="P115" s="523">
        <v>-1.4771048744460855</v>
      </c>
      <c r="Q115" s="523">
        <v>-3.7518037518037572</v>
      </c>
      <c r="R115" s="523">
        <v>1.4000000000000057</v>
      </c>
      <c r="S115" s="523">
        <v>5.2529047519654908</v>
      </c>
      <c r="T115" s="523"/>
      <c r="U115" s="523">
        <v>9.9255583126545227E-2</v>
      </c>
      <c r="V115" s="523">
        <v>10.321615557217651</v>
      </c>
      <c r="W115" s="523">
        <v>0.10000000000000009</v>
      </c>
      <c r="X115" s="523">
        <v>-1.6999999999999997</v>
      </c>
      <c r="Y115" s="523">
        <v>8.2382068114085456</v>
      </c>
      <c r="Z115" s="523">
        <v>0.29999999999999993</v>
      </c>
      <c r="AA115" s="523">
        <v>12.928552734886155</v>
      </c>
    </row>
    <row r="116" spans="1:27" s="546" customFormat="1">
      <c r="A116" s="520"/>
      <c r="B116" s="521" t="s">
        <v>141</v>
      </c>
      <c r="C116" s="522">
        <v>3</v>
      </c>
      <c r="D116" s="523">
        <v>-0.82324913850256076</v>
      </c>
      <c r="E116" s="523">
        <v>6.9813566045220021</v>
      </c>
      <c r="F116" s="523">
        <v>20.059347181008906</v>
      </c>
      <c r="G116" s="523">
        <v>-2.2180372462858338</v>
      </c>
      <c r="H116" s="523">
        <v>-18.527708850289496</v>
      </c>
      <c r="I116" s="523">
        <v>1</v>
      </c>
      <c r="J116" s="523">
        <v>-1</v>
      </c>
      <c r="K116" s="523"/>
      <c r="L116" s="523">
        <v>-1.0000000000000009E-2</v>
      </c>
      <c r="M116" s="523">
        <v>-0.22813287862745901</v>
      </c>
      <c r="N116" s="523">
        <v>-0.86580086580086268</v>
      </c>
      <c r="O116" s="523">
        <v>16.873574866987589</v>
      </c>
      <c r="P116" s="523">
        <v>8.4105488239486679</v>
      </c>
      <c r="Q116" s="523">
        <v>0.39138943248532843</v>
      </c>
      <c r="R116" s="523">
        <v>-7</v>
      </c>
      <c r="S116" s="523">
        <v>-11.582873126299935</v>
      </c>
      <c r="T116" s="523"/>
      <c r="U116" s="523">
        <v>0.297176820208021</v>
      </c>
      <c r="V116" s="523">
        <v>19.859064702114029</v>
      </c>
      <c r="W116" s="523">
        <v>-0.10000000000000009</v>
      </c>
      <c r="X116" s="523">
        <v>12</v>
      </c>
      <c r="Y116" s="523">
        <v>-2.6407338558305549</v>
      </c>
      <c r="Z116" s="523">
        <v>0.10000000000000009</v>
      </c>
      <c r="AA116" s="523">
        <v>-12.472579128799744</v>
      </c>
    </row>
    <row r="117" spans="1:27" s="546" customFormat="1">
      <c r="A117" s="520"/>
      <c r="B117" s="521" t="s">
        <v>141</v>
      </c>
      <c r="C117" s="522">
        <v>4</v>
      </c>
      <c r="D117" s="523">
        <v>4.0973093045752522</v>
      </c>
      <c r="E117" s="523">
        <v>-7.3514802304788294</v>
      </c>
      <c r="F117" s="523">
        <v>-23.239012642986147</v>
      </c>
      <c r="G117" s="523">
        <v>-22.156063929802571</v>
      </c>
      <c r="H117" s="523">
        <v>5.7547587428065512</v>
      </c>
      <c r="I117" s="523">
        <v>0</v>
      </c>
      <c r="J117" s="523">
        <v>-1</v>
      </c>
      <c r="K117" s="523"/>
      <c r="L117" s="523">
        <v>-1.0000000000000009E-2</v>
      </c>
      <c r="M117" s="523">
        <v>1.9577142989689653</v>
      </c>
      <c r="N117" s="523">
        <v>1.7241379310344767</v>
      </c>
      <c r="O117" s="523">
        <v>-11.828755258599358</v>
      </c>
      <c r="P117" s="523">
        <v>-4.6186144156752942</v>
      </c>
      <c r="Q117" s="523">
        <v>2.4119633381572601</v>
      </c>
      <c r="R117" s="523">
        <v>2.5</v>
      </c>
      <c r="S117" s="523">
        <v>-7.4463044851547657</v>
      </c>
      <c r="T117" s="523"/>
      <c r="U117" s="523">
        <v>0.39486673247779436</v>
      </c>
      <c r="V117" s="523">
        <v>-9.3321134492223141</v>
      </c>
      <c r="W117" s="523">
        <v>-9.9999999999999645E-2</v>
      </c>
      <c r="X117" s="523">
        <v>-15.5</v>
      </c>
      <c r="Y117" s="523">
        <v>-16.661395838267349</v>
      </c>
      <c r="Z117" s="523">
        <v>1.4999999999999998</v>
      </c>
      <c r="AA117" s="523">
        <v>-10.7001036755932</v>
      </c>
    </row>
    <row r="118" spans="1:27" s="546" customFormat="1">
      <c r="A118" s="520"/>
      <c r="B118" s="521" t="s">
        <v>141</v>
      </c>
      <c r="C118" s="522">
        <v>5</v>
      </c>
      <c r="D118" s="523">
        <v>-3.5939957112222967</v>
      </c>
      <c r="E118" s="523">
        <v>1.8798528810788699</v>
      </c>
      <c r="F118" s="523">
        <v>4.6573519627411839</v>
      </c>
      <c r="G118" s="523">
        <v>-3.4961900493052442</v>
      </c>
      <c r="H118" s="523">
        <v>12.95774647887324</v>
      </c>
      <c r="I118" s="523">
        <v>0</v>
      </c>
      <c r="J118" s="523">
        <v>-1</v>
      </c>
      <c r="K118" s="523"/>
      <c r="L118" s="523">
        <v>5.0000000000000044E-2</v>
      </c>
      <c r="M118" s="523">
        <v>0.32107514305044316</v>
      </c>
      <c r="N118" s="523">
        <v>-0.85836909871244338</v>
      </c>
      <c r="O118" s="523">
        <v>-1.2172532415982975</v>
      </c>
      <c r="P118" s="523">
        <v>2.1962451292950727</v>
      </c>
      <c r="Q118" s="523">
        <v>6.3682510383017918</v>
      </c>
      <c r="R118" s="523">
        <v>-1.4000000000000057</v>
      </c>
      <c r="S118" s="523">
        <v>0.83309511169192196</v>
      </c>
      <c r="T118" s="523"/>
      <c r="U118" s="523">
        <v>0.19685039370079022</v>
      </c>
      <c r="V118" s="523">
        <v>-2.2646392753154316</v>
      </c>
      <c r="W118" s="523">
        <v>0.19999999999999973</v>
      </c>
      <c r="X118" s="523">
        <v>3.5</v>
      </c>
      <c r="Y118" s="523">
        <v>10.139282965887128</v>
      </c>
      <c r="Z118" s="523">
        <v>-0.19999999999999973</v>
      </c>
      <c r="AA118" s="523">
        <v>-31.961456410748116</v>
      </c>
    </row>
    <row r="119" spans="1:27" s="546" customFormat="1">
      <c r="A119" s="520"/>
      <c r="B119" s="521" t="s">
        <v>141</v>
      </c>
      <c r="C119" s="522">
        <v>6</v>
      </c>
      <c r="D119" s="523">
        <v>-1.2229862835131196</v>
      </c>
      <c r="E119" s="523">
        <v>-9.1005291005291014</v>
      </c>
      <c r="F119" s="523">
        <v>-10.396716826265402</v>
      </c>
      <c r="G119" s="523">
        <v>4.704205274411974</v>
      </c>
      <c r="H119" s="523">
        <v>-24.904377390565237</v>
      </c>
      <c r="I119" s="523">
        <v>1</v>
      </c>
      <c r="J119" s="523">
        <v>-1</v>
      </c>
      <c r="K119" s="523"/>
      <c r="L119" s="523">
        <v>0</v>
      </c>
      <c r="M119" s="523">
        <v>1.2819856558658969</v>
      </c>
      <c r="N119" s="523">
        <v>0</v>
      </c>
      <c r="O119" s="523">
        <v>1.9509622989717841</v>
      </c>
      <c r="P119" s="523">
        <v>-0.84447572132300397</v>
      </c>
      <c r="Q119" s="523">
        <v>-0.71813285457809439</v>
      </c>
      <c r="R119" s="523">
        <v>1</v>
      </c>
      <c r="S119" s="523">
        <v>-3.2946817965730459</v>
      </c>
      <c r="T119" s="523"/>
      <c r="U119" s="523">
        <v>0.19646365422397133</v>
      </c>
      <c r="V119" s="523">
        <v>7.49606299212597</v>
      </c>
      <c r="W119" s="523">
        <v>0</v>
      </c>
      <c r="X119" s="523">
        <v>1.9</v>
      </c>
      <c r="Y119" s="523">
        <v>2.7436389127458858</v>
      </c>
      <c r="Z119" s="523">
        <v>0.39999999999999991</v>
      </c>
      <c r="AA119" s="523">
        <v>73.052894627238658</v>
      </c>
    </row>
    <row r="120" spans="1:27" s="546" customFormat="1">
      <c r="A120" s="520"/>
      <c r="B120" s="521" t="s">
        <v>141</v>
      </c>
      <c r="C120" s="522">
        <v>7</v>
      </c>
      <c r="D120" s="523">
        <v>-3.2361199505821627</v>
      </c>
      <c r="E120" s="523">
        <v>5.0993949870354411</v>
      </c>
      <c r="F120" s="523">
        <v>7.2992700729927007</v>
      </c>
      <c r="G120" s="523">
        <v>2.9840507631624078</v>
      </c>
      <c r="H120" s="523">
        <v>-6.2062062062062058</v>
      </c>
      <c r="I120" s="523">
        <v>-2</v>
      </c>
      <c r="J120" s="523">
        <v>0</v>
      </c>
      <c r="K120" s="523"/>
      <c r="L120" s="523">
        <v>-2.0000000000000018E-2</v>
      </c>
      <c r="M120" s="523">
        <v>8.2476090407365144E-2</v>
      </c>
      <c r="N120" s="523">
        <v>2.553191489361708</v>
      </c>
      <c r="O120" s="523">
        <v>3.5897435897435899</v>
      </c>
      <c r="P120" s="523">
        <v>2.5122121423586838</v>
      </c>
      <c r="Q120" s="523">
        <v>2.8419182948490258</v>
      </c>
      <c r="R120" s="523">
        <v>-1.3999999999999915</v>
      </c>
      <c r="S120" s="523">
        <v>-9.1650365942108625</v>
      </c>
      <c r="T120" s="523"/>
      <c r="U120" s="523">
        <v>0.2939735423811829</v>
      </c>
      <c r="V120" s="523">
        <v>1.7454107733975359</v>
      </c>
      <c r="W120" s="523">
        <v>0</v>
      </c>
      <c r="X120" s="523">
        <v>1.7999999999999998</v>
      </c>
      <c r="Y120" s="523">
        <v>8.2938039577605966</v>
      </c>
      <c r="Z120" s="523">
        <v>-0.60000000000000009</v>
      </c>
      <c r="AA120" s="523">
        <v>-35.727797145403095</v>
      </c>
    </row>
    <row r="121" spans="1:27" s="546" customFormat="1">
      <c r="A121" s="520"/>
      <c r="B121" s="521" t="s">
        <v>141</v>
      </c>
      <c r="C121" s="522">
        <v>8</v>
      </c>
      <c r="D121" s="523">
        <v>2.8064593588666109</v>
      </c>
      <c r="E121" s="523">
        <v>-5.232432432432442</v>
      </c>
      <c r="F121" s="523">
        <v>-27.807486631016033</v>
      </c>
      <c r="G121" s="523">
        <v>-3.5775713794289645</v>
      </c>
      <c r="H121" s="523">
        <v>19.823173569101908</v>
      </c>
      <c r="I121" s="523">
        <v>2</v>
      </c>
      <c r="J121" s="523">
        <v>0</v>
      </c>
      <c r="K121" s="523"/>
      <c r="L121" s="523">
        <v>-2.0000000000000018E-2</v>
      </c>
      <c r="M121" s="523">
        <v>1.8772514711475987</v>
      </c>
      <c r="N121" s="523">
        <v>-6.9565217391304408</v>
      </c>
      <c r="O121" s="523">
        <v>-10.164107993647427</v>
      </c>
      <c r="P121" s="523">
        <v>-4.871161313095663</v>
      </c>
      <c r="Q121" s="523">
        <v>-1.2334801762114587</v>
      </c>
      <c r="R121" s="523">
        <v>4.5</v>
      </c>
      <c r="S121" s="523">
        <v>21.238573663839254</v>
      </c>
      <c r="T121" s="523"/>
      <c r="U121" s="523">
        <v>0.19550342130987569</v>
      </c>
      <c r="V121" s="523">
        <v>-13.50318471337579</v>
      </c>
      <c r="W121" s="523">
        <v>0</v>
      </c>
      <c r="X121" s="523">
        <v>-2.0999999999999996</v>
      </c>
      <c r="Y121" s="523">
        <v>8.0031912797320093</v>
      </c>
      <c r="Z121" s="523">
        <v>0.30000000000000027</v>
      </c>
      <c r="AA121" s="523">
        <v>11.078549468725837</v>
      </c>
    </row>
    <row r="122" spans="1:27" s="546" customFormat="1">
      <c r="A122" s="520"/>
      <c r="B122" s="521" t="s">
        <v>141</v>
      </c>
      <c r="C122" s="522">
        <v>9</v>
      </c>
      <c r="D122" s="523">
        <v>5.2641818037712484</v>
      </c>
      <c r="E122" s="523">
        <v>-0.17777777777776768</v>
      </c>
      <c r="F122" s="523">
        <v>14.332784184513995</v>
      </c>
      <c r="G122" s="523">
        <v>2.9675638371290547</v>
      </c>
      <c r="H122" s="523">
        <v>4.8740190004130524</v>
      </c>
      <c r="I122" s="523">
        <v>1</v>
      </c>
      <c r="J122" s="523">
        <v>0</v>
      </c>
      <c r="K122" s="523"/>
      <c r="L122" s="523">
        <v>-3.0000000000000027E-2</v>
      </c>
      <c r="M122" s="523">
        <v>-0.74758869272103068</v>
      </c>
      <c r="N122" s="523">
        <v>3.5398230088495604</v>
      </c>
      <c r="O122" s="523">
        <v>-4.6219686162624951</v>
      </c>
      <c r="P122" s="523">
        <v>0.72098053352559488</v>
      </c>
      <c r="Q122" s="523">
        <v>1.4958205015398176</v>
      </c>
      <c r="R122" s="523">
        <v>-0.10000000000000853</v>
      </c>
      <c r="S122" s="523">
        <v>-4.4753967347870729</v>
      </c>
      <c r="T122" s="523"/>
      <c r="U122" s="523">
        <v>0.1951219512195011</v>
      </c>
      <c r="V122" s="523">
        <v>-6.7796610169491478</v>
      </c>
      <c r="W122" s="523">
        <v>0.10000000000000009</v>
      </c>
      <c r="X122" s="523">
        <v>3.5</v>
      </c>
      <c r="Y122" s="523">
        <v>-7.8019479662070834</v>
      </c>
      <c r="Z122" s="523">
        <v>0.19999999999999973</v>
      </c>
      <c r="AA122" s="523">
        <v>-19.348329721246532</v>
      </c>
    </row>
    <row r="123" spans="1:27" s="546" customFormat="1">
      <c r="A123" s="520"/>
      <c r="B123" s="521" t="s">
        <v>141</v>
      </c>
      <c r="C123" s="522">
        <v>10</v>
      </c>
      <c r="D123" s="523">
        <v>-10.302520263985473</v>
      </c>
      <c r="E123" s="523">
        <v>-9.1649220749011491</v>
      </c>
      <c r="F123" s="523">
        <v>10.280714546117387</v>
      </c>
      <c r="G123" s="523">
        <v>-2.5830893748923711</v>
      </c>
      <c r="H123" s="523">
        <v>-3.1954117165096272</v>
      </c>
      <c r="I123" s="523">
        <v>10</v>
      </c>
      <c r="J123" s="523">
        <v>-7.2999999999999972</v>
      </c>
      <c r="K123" s="523"/>
      <c r="L123" s="523">
        <v>-2.0000000000000018E-2</v>
      </c>
      <c r="M123" s="523">
        <v>2.7738472126634708</v>
      </c>
      <c r="N123" s="523">
        <v>-0.87336244541484409</v>
      </c>
      <c r="O123" s="523">
        <v>-7.4522871857012909</v>
      </c>
      <c r="P123" s="523">
        <v>-2.1786492374727673</v>
      </c>
      <c r="Q123" s="523">
        <v>-1.407211961301666</v>
      </c>
      <c r="R123" s="523">
        <v>1.5</v>
      </c>
      <c r="S123" s="523">
        <v>-21.700576064208509</v>
      </c>
      <c r="T123" s="523"/>
      <c r="U123" s="523">
        <v>0.29197080291971911</v>
      </c>
      <c r="V123" s="523">
        <v>-5.1743532058492718</v>
      </c>
      <c r="W123" s="523">
        <v>0</v>
      </c>
      <c r="X123" s="523">
        <v>0.79999999999999982</v>
      </c>
      <c r="Y123" s="523">
        <v>-3.0280129235794462</v>
      </c>
      <c r="Z123" s="523">
        <v>0</v>
      </c>
      <c r="AA123" s="523">
        <v>11.004476065753209</v>
      </c>
    </row>
    <row r="124" spans="1:27" s="546" customFormat="1">
      <c r="A124" s="520"/>
      <c r="B124" s="521" t="s">
        <v>141</v>
      </c>
      <c r="C124" s="522">
        <v>11</v>
      </c>
      <c r="D124" s="523">
        <v>-2.6481605614920491</v>
      </c>
      <c r="E124" s="523">
        <v>10.662358642972535</v>
      </c>
      <c r="F124" s="523">
        <v>-5.4131054131054102</v>
      </c>
      <c r="G124" s="523">
        <v>-1.2817136335703625</v>
      </c>
      <c r="H124" s="523">
        <v>-15.813117699910153</v>
      </c>
      <c r="I124" s="523">
        <v>-10</v>
      </c>
      <c r="J124" s="523">
        <v>-7.4000000000000057</v>
      </c>
      <c r="K124" s="523"/>
      <c r="L124" s="523">
        <v>-1.0000000000000009E-2</v>
      </c>
      <c r="M124" s="523">
        <v>-0.18372061421390357</v>
      </c>
      <c r="N124" s="523">
        <v>0</v>
      </c>
      <c r="O124" s="523">
        <v>5.8643860720830761</v>
      </c>
      <c r="P124" s="523">
        <v>-0.14695077149154198</v>
      </c>
      <c r="Q124" s="523">
        <v>-2.784014369106429</v>
      </c>
      <c r="R124" s="523">
        <v>-0.19999999999998863</v>
      </c>
      <c r="S124" s="523">
        <v>10.436976717513476</v>
      </c>
      <c r="T124" s="523"/>
      <c r="U124" s="523">
        <v>0</v>
      </c>
      <c r="V124" s="523">
        <v>0.23068050749710337</v>
      </c>
      <c r="W124" s="523">
        <v>0</v>
      </c>
      <c r="X124" s="523">
        <v>-2.2000000000000002</v>
      </c>
      <c r="Y124" s="523">
        <v>31.563881142083872</v>
      </c>
      <c r="Z124" s="523">
        <v>-0.59999999999999987</v>
      </c>
      <c r="AA124" s="523">
        <v>1.2592510769910459</v>
      </c>
    </row>
    <row r="125" spans="1:27" s="546" customFormat="1">
      <c r="A125" s="524"/>
      <c r="B125" s="525" t="s">
        <v>141</v>
      </c>
      <c r="C125" s="526">
        <v>12</v>
      </c>
      <c r="D125" s="527">
        <v>-0.94106311225309724</v>
      </c>
      <c r="E125" s="527">
        <v>-12.377850162866448</v>
      </c>
      <c r="F125" s="527">
        <v>-5.1051051051050926</v>
      </c>
      <c r="G125" s="527">
        <v>9.7974960087387615</v>
      </c>
      <c r="H125" s="527">
        <v>11.40754369825207</v>
      </c>
      <c r="I125" s="527">
        <v>0</v>
      </c>
      <c r="J125" s="527">
        <v>-7.2999999999999972</v>
      </c>
      <c r="K125" s="527"/>
      <c r="L125" s="527">
        <v>-1.9999999999999907E-2</v>
      </c>
      <c r="M125" s="527">
        <v>2.2070731799178982</v>
      </c>
      <c r="N125" s="527">
        <v>-3.5714285714285747</v>
      </c>
      <c r="O125" s="527">
        <v>3.6130536130536064</v>
      </c>
      <c r="P125" s="527">
        <v>0.44020542920028927</v>
      </c>
      <c r="Q125" s="527">
        <v>1.2669683257918603</v>
      </c>
      <c r="R125" s="527">
        <v>-0.80000000000001137</v>
      </c>
      <c r="S125" s="527">
        <v>-11.294854668570631</v>
      </c>
      <c r="T125" s="527"/>
      <c r="U125" s="527">
        <v>0.58139534883720378</v>
      </c>
      <c r="V125" s="527">
        <v>16.101694915254246</v>
      </c>
      <c r="W125" s="527">
        <v>0</v>
      </c>
      <c r="X125" s="527">
        <v>0</v>
      </c>
      <c r="Y125" s="527">
        <v>-30.17892999839404</v>
      </c>
      <c r="Z125" s="527">
        <v>0.19999999999999996</v>
      </c>
      <c r="AA125" s="527">
        <v>6.6193769790026682</v>
      </c>
    </row>
    <row r="126" spans="1:27" s="500" customFormat="1">
      <c r="A126" s="478" t="s">
        <v>347</v>
      </c>
      <c r="B126" s="479">
        <v>1998</v>
      </c>
      <c r="C126" s="480">
        <v>1</v>
      </c>
      <c r="D126" s="481">
        <v>-2.3127708365636472</v>
      </c>
      <c r="E126" s="481">
        <v>-5.7667772390915957</v>
      </c>
      <c r="F126" s="481">
        <v>-12.438625204582666</v>
      </c>
      <c r="G126" s="481">
        <v>-20.799434029006015</v>
      </c>
      <c r="H126" s="481">
        <v>-4.9041462327240302</v>
      </c>
      <c r="I126" s="481">
        <v>7</v>
      </c>
      <c r="J126" s="481">
        <v>-3.7000000000000028</v>
      </c>
      <c r="K126" s="481"/>
      <c r="L126" s="481">
        <v>-6.0000000000000053E-2</v>
      </c>
      <c r="M126" s="481">
        <v>0.42271621722091801</v>
      </c>
      <c r="N126" s="481">
        <v>-1.8348623853210944</v>
      </c>
      <c r="O126" s="481">
        <v>-19.679346117573079</v>
      </c>
      <c r="P126" s="481">
        <v>-10.315627405696683</v>
      </c>
      <c r="Q126" s="481">
        <v>-5.0714615029967725</v>
      </c>
      <c r="R126" s="481">
        <v>9.1000000000000085</v>
      </c>
      <c r="S126" s="481">
        <v>-24.059944758935654</v>
      </c>
      <c r="T126" s="481"/>
      <c r="U126" s="481">
        <v>0.28943560057886847</v>
      </c>
      <c r="V126" s="481">
        <v>-29.557389347336834</v>
      </c>
      <c r="W126" s="481">
        <v>0.10000000000000009</v>
      </c>
      <c r="X126" s="481">
        <v>-5.9</v>
      </c>
      <c r="Y126" s="481">
        <v>-8.6089584963516987</v>
      </c>
      <c r="Z126" s="481">
        <v>0.5</v>
      </c>
      <c r="AA126" s="481">
        <v>-16.600526647628229</v>
      </c>
    </row>
    <row r="127" spans="1:27" s="500" customFormat="1">
      <c r="A127" s="482"/>
      <c r="B127" s="483" t="s">
        <v>141</v>
      </c>
      <c r="C127" s="484">
        <v>2</v>
      </c>
      <c r="D127" s="485">
        <v>0.16993474835633804</v>
      </c>
      <c r="E127" s="485">
        <v>3.1549004396172711</v>
      </c>
      <c r="F127" s="485">
        <v>-12.615955473098326</v>
      </c>
      <c r="G127" s="485">
        <v>4.6278441959120711</v>
      </c>
      <c r="H127" s="485">
        <v>-6.4150943396226419</v>
      </c>
      <c r="I127" s="485">
        <v>-3</v>
      </c>
      <c r="J127" s="485">
        <v>-3.5999999999999943</v>
      </c>
      <c r="K127" s="485"/>
      <c r="L127" s="485">
        <v>-5.0000000000000044E-2</v>
      </c>
      <c r="M127" s="485">
        <v>3.9642634531477099</v>
      </c>
      <c r="N127" s="485">
        <v>-7.6923076923076987</v>
      </c>
      <c r="O127" s="485">
        <v>16.271620755925689</v>
      </c>
      <c r="P127" s="485">
        <v>5.9842519685039441</v>
      </c>
      <c r="Q127" s="485">
        <v>-1.0461245839277304</v>
      </c>
      <c r="R127" s="485">
        <v>-7</v>
      </c>
      <c r="S127" s="485">
        <v>19.143732606190088</v>
      </c>
      <c r="T127" s="485"/>
      <c r="U127" s="485">
        <v>0</v>
      </c>
      <c r="V127" s="485">
        <v>22.500000000000007</v>
      </c>
      <c r="W127" s="485">
        <v>0</v>
      </c>
      <c r="X127" s="485">
        <v>0.5</v>
      </c>
      <c r="Y127" s="485">
        <v>-0.76860577357101689</v>
      </c>
      <c r="Z127" s="485">
        <v>-0.39999999999999991</v>
      </c>
      <c r="AA127" s="485">
        <v>-4.5670789724072343</v>
      </c>
    </row>
    <row r="128" spans="1:27" s="500" customFormat="1">
      <c r="A128" s="482"/>
      <c r="B128" s="483" t="s">
        <v>141</v>
      </c>
      <c r="C128" s="484">
        <v>3</v>
      </c>
      <c r="D128" s="485">
        <v>-2.6067715943723186</v>
      </c>
      <c r="E128" s="485">
        <v>10.149830836152731</v>
      </c>
      <c r="F128" s="485">
        <v>28.231292517006796</v>
      </c>
      <c r="G128" s="485">
        <v>1.7189835575485799</v>
      </c>
      <c r="H128" s="485">
        <v>0.96993210475266733</v>
      </c>
      <c r="I128" s="485">
        <v>2</v>
      </c>
      <c r="J128" s="485">
        <v>-3.7000000000000028</v>
      </c>
      <c r="K128" s="485"/>
      <c r="L128" s="485">
        <v>-2.9999999999999916E-2</v>
      </c>
      <c r="M128" s="485">
        <v>1.6166841807452916</v>
      </c>
      <c r="N128" s="485">
        <v>-2.0202020202020128</v>
      </c>
      <c r="O128" s="485">
        <v>-10.802372775522954</v>
      </c>
      <c r="P128" s="485">
        <v>5.5741360089186172</v>
      </c>
      <c r="Q128" s="485">
        <v>13.879003558718869</v>
      </c>
      <c r="R128" s="485">
        <v>-3.7000000000000028</v>
      </c>
      <c r="S128" s="485">
        <v>-2.983986460096351</v>
      </c>
      <c r="T128" s="485"/>
      <c r="U128" s="485">
        <v>9.629272989890085E-2</v>
      </c>
      <c r="V128" s="485">
        <v>-21.203883495145639</v>
      </c>
      <c r="W128" s="485">
        <v>0.29999999999999982</v>
      </c>
      <c r="X128" s="485">
        <v>-7.4</v>
      </c>
      <c r="Y128" s="485">
        <v>2.6673709956763552</v>
      </c>
      <c r="Z128" s="485">
        <v>0.39999999999999991</v>
      </c>
      <c r="AA128" s="485">
        <v>31.24542320813018</v>
      </c>
    </row>
    <row r="129" spans="1:27" s="500" customFormat="1">
      <c r="A129" s="482"/>
      <c r="B129" s="483" t="s">
        <v>141</v>
      </c>
      <c r="C129" s="484">
        <v>4</v>
      </c>
      <c r="D129" s="485">
        <v>-4.0110459095616093</v>
      </c>
      <c r="E129" s="485">
        <v>-7.3438245112064884</v>
      </c>
      <c r="F129" s="485">
        <v>-1.8804061677322303</v>
      </c>
      <c r="G129" s="485">
        <v>-2.0020581906632988</v>
      </c>
      <c r="H129" s="485">
        <v>12.827461607949413</v>
      </c>
      <c r="I129" s="485">
        <v>0</v>
      </c>
      <c r="J129" s="485">
        <v>-4</v>
      </c>
      <c r="K129" s="485"/>
      <c r="L129" s="485">
        <v>-3.0000000000000027E-2</v>
      </c>
      <c r="M129" s="485">
        <v>4.0816326530612317</v>
      </c>
      <c r="N129" s="485">
        <v>6.8965517241379235</v>
      </c>
      <c r="O129" s="485">
        <v>-9.3987560469937783</v>
      </c>
      <c r="P129" s="485">
        <v>-9.2284417549168065</v>
      </c>
      <c r="Q129" s="485">
        <v>-15.123042505592846</v>
      </c>
      <c r="R129" s="485">
        <v>9.0999999999999943</v>
      </c>
      <c r="S129" s="485">
        <v>-15.303189824431598</v>
      </c>
      <c r="T129" s="485"/>
      <c r="U129" s="485">
        <v>0.38424591738711961</v>
      </c>
      <c r="V129" s="485">
        <v>-10.516689529035208</v>
      </c>
      <c r="W129" s="485">
        <v>0.10000000000000009</v>
      </c>
      <c r="X129" s="485">
        <v>13</v>
      </c>
      <c r="Y129" s="485">
        <v>-23.840236533555768</v>
      </c>
      <c r="Z129" s="485">
        <v>-2</v>
      </c>
      <c r="AA129" s="485">
        <v>-37.755251946525632</v>
      </c>
    </row>
    <row r="130" spans="1:27" s="500" customFormat="1">
      <c r="A130" s="482"/>
      <c r="B130" s="483" t="s">
        <v>141</v>
      </c>
      <c r="C130" s="484">
        <v>5</v>
      </c>
      <c r="D130" s="485">
        <v>-5.784494944003475</v>
      </c>
      <c r="E130" s="485">
        <v>-1.6974538192710962</v>
      </c>
      <c r="F130" s="485">
        <v>-8.7163232963549824</v>
      </c>
      <c r="G130" s="485">
        <v>-1.7925247902364607</v>
      </c>
      <c r="H130" s="485">
        <v>-14.669703872437358</v>
      </c>
      <c r="I130" s="485">
        <v>-5</v>
      </c>
      <c r="J130" s="485">
        <v>-4</v>
      </c>
      <c r="K130" s="485"/>
      <c r="L130" s="485">
        <v>-3.0000000000000027E-2</v>
      </c>
      <c r="M130" s="485">
        <v>2.3412834265282125</v>
      </c>
      <c r="N130" s="485">
        <v>6.4516129032257998</v>
      </c>
      <c r="O130" s="485">
        <v>-18.888888888888896</v>
      </c>
      <c r="P130" s="485">
        <v>-9.9042863087806836</v>
      </c>
      <c r="Q130" s="485">
        <v>-4.0493827160493767</v>
      </c>
      <c r="R130" s="485">
        <v>10.200000000000003</v>
      </c>
      <c r="S130" s="485">
        <v>-11.688735242319487</v>
      </c>
      <c r="T130" s="485"/>
      <c r="U130" s="485">
        <v>0</v>
      </c>
      <c r="V130" s="485">
        <v>-30.86350974930361</v>
      </c>
      <c r="W130" s="485">
        <v>9.9999999999999645E-2</v>
      </c>
      <c r="X130" s="485">
        <v>-1.2999999999999998</v>
      </c>
      <c r="Y130" s="485">
        <v>21.063645904068153</v>
      </c>
      <c r="Z130" s="485">
        <v>0.30000000000000004</v>
      </c>
      <c r="AA130" s="485">
        <v>-22.661290322580651</v>
      </c>
    </row>
    <row r="131" spans="1:27" s="500" customFormat="1">
      <c r="A131" s="482"/>
      <c r="B131" s="483" t="s">
        <v>141</v>
      </c>
      <c r="C131" s="484">
        <v>6</v>
      </c>
      <c r="D131" s="485">
        <v>-5.1001368329394197</v>
      </c>
      <c r="E131" s="485">
        <v>11.216730038022813</v>
      </c>
      <c r="F131" s="485">
        <v>12.066952121448026</v>
      </c>
      <c r="G131" s="485">
        <v>-5.2933043650009877</v>
      </c>
      <c r="H131" s="485">
        <v>3.6679536679536682</v>
      </c>
      <c r="I131" s="485">
        <v>9</v>
      </c>
      <c r="J131" s="485">
        <v>-4</v>
      </c>
      <c r="K131" s="485"/>
      <c r="L131" s="485">
        <v>-3.0000000000000027E-2</v>
      </c>
      <c r="M131" s="485">
        <v>1.7802827398281067</v>
      </c>
      <c r="N131" s="485">
        <v>-3.6363636363636234</v>
      </c>
      <c r="O131" s="485">
        <v>-2.2153300841825434</v>
      </c>
      <c r="P131" s="485">
        <v>3.4423407917383821</v>
      </c>
      <c r="Q131" s="485">
        <v>12.653446647780916</v>
      </c>
      <c r="R131" s="485">
        <v>-3</v>
      </c>
      <c r="S131" s="485">
        <v>24.727559724372394</v>
      </c>
      <c r="T131" s="485"/>
      <c r="U131" s="485">
        <v>0</v>
      </c>
      <c r="V131" s="485">
        <v>-14.255469301340876</v>
      </c>
      <c r="W131" s="485">
        <v>0</v>
      </c>
      <c r="X131" s="485">
        <v>-5.4</v>
      </c>
      <c r="Y131" s="485">
        <v>5.580914299209649</v>
      </c>
      <c r="Z131" s="485">
        <v>-0.8</v>
      </c>
      <c r="AA131" s="485">
        <v>61.51575384252061</v>
      </c>
    </row>
    <row r="132" spans="1:27" s="500" customFormat="1">
      <c r="A132" s="482"/>
      <c r="B132" s="483" t="s">
        <v>141</v>
      </c>
      <c r="C132" s="484">
        <v>7</v>
      </c>
      <c r="D132" s="485">
        <v>3.698884937500595</v>
      </c>
      <c r="E132" s="485">
        <v>3.1886625332152421</v>
      </c>
      <c r="F132" s="485">
        <v>0.6586169045005531</v>
      </c>
      <c r="G132" s="485">
        <v>4.6373365041617118</v>
      </c>
      <c r="H132" s="485">
        <v>-4.655674102812803</v>
      </c>
      <c r="I132" s="485">
        <v>-2</v>
      </c>
      <c r="J132" s="485">
        <v>-0.29999999999999716</v>
      </c>
      <c r="K132" s="485"/>
      <c r="L132" s="485">
        <v>-3.9999999999999925E-2</v>
      </c>
      <c r="M132" s="485">
        <v>0.99504315988222181</v>
      </c>
      <c r="N132" s="485">
        <v>-6.6985645933014464</v>
      </c>
      <c r="O132" s="485">
        <v>2.4778761061947003</v>
      </c>
      <c r="P132" s="485">
        <v>4.6280991735537143</v>
      </c>
      <c r="Q132" s="485">
        <v>1.2356575463371631</v>
      </c>
      <c r="R132" s="485">
        <v>-6.2000000000000028</v>
      </c>
      <c r="S132" s="485">
        <v>0.38288349017176565</v>
      </c>
      <c r="T132" s="485"/>
      <c r="U132" s="485">
        <v>0.28721876495930798</v>
      </c>
      <c r="V132" s="485">
        <v>1.6578749058025752</v>
      </c>
      <c r="W132" s="485">
        <v>0</v>
      </c>
      <c r="X132" s="485">
        <v>3.7</v>
      </c>
      <c r="Y132" s="485">
        <v>-0.8918268656874786</v>
      </c>
      <c r="Z132" s="485">
        <v>0.1</v>
      </c>
      <c r="AA132" s="485">
        <v>-49.998118674041471</v>
      </c>
    </row>
    <row r="133" spans="1:27" s="500" customFormat="1">
      <c r="A133" s="482"/>
      <c r="B133" s="483" t="s">
        <v>141</v>
      </c>
      <c r="C133" s="484">
        <v>8</v>
      </c>
      <c r="D133" s="485">
        <v>-3.7106645462869259</v>
      </c>
      <c r="E133" s="485">
        <v>-24.736713201077638</v>
      </c>
      <c r="F133" s="485">
        <v>-18.312101910828027</v>
      </c>
      <c r="G133" s="485">
        <v>-2.7289682929223522</v>
      </c>
      <c r="H133" s="485">
        <v>-7.2016460905349797</v>
      </c>
      <c r="I133" s="485">
        <v>-4</v>
      </c>
      <c r="J133" s="485">
        <v>-0.40000000000000568</v>
      </c>
      <c r="K133" s="485"/>
      <c r="L133" s="485">
        <v>-1.0000000000000009E-2</v>
      </c>
      <c r="M133" s="485">
        <v>1.8172923612117728</v>
      </c>
      <c r="N133" s="485">
        <v>1.9607843137255008</v>
      </c>
      <c r="O133" s="485">
        <v>-22.676399026763999</v>
      </c>
      <c r="P133" s="485">
        <v>-17.383669885864791</v>
      </c>
      <c r="Q133" s="485">
        <v>-16.21621621621621</v>
      </c>
      <c r="R133" s="485">
        <v>16.5</v>
      </c>
      <c r="S133" s="485">
        <v>-24.628219078708746</v>
      </c>
      <c r="T133" s="485"/>
      <c r="U133" s="485">
        <v>0</v>
      </c>
      <c r="V133" s="485">
        <v>-20.428336079077436</v>
      </c>
      <c r="W133" s="485">
        <v>0.30000000000000071</v>
      </c>
      <c r="X133" s="485">
        <v>-2</v>
      </c>
      <c r="Y133" s="485">
        <v>-5.0181365265274014</v>
      </c>
      <c r="Z133" s="485">
        <v>-0.1</v>
      </c>
      <c r="AA133" s="485">
        <v>12.245090189798907</v>
      </c>
    </row>
    <row r="134" spans="1:27" s="500" customFormat="1">
      <c r="A134" s="482"/>
      <c r="B134" s="483" t="s">
        <v>141</v>
      </c>
      <c r="C134" s="484">
        <v>9</v>
      </c>
      <c r="D134" s="485">
        <v>-4.1949908760953667</v>
      </c>
      <c r="E134" s="485">
        <v>12.129167760567077</v>
      </c>
      <c r="F134" s="485">
        <v>5.3731343283582182</v>
      </c>
      <c r="G134" s="485">
        <v>1.4621616281367318</v>
      </c>
      <c r="H134" s="485">
        <v>-18.287711124053583</v>
      </c>
      <c r="I134" s="485">
        <v>1</v>
      </c>
      <c r="J134" s="485">
        <v>-0.29999999999999716</v>
      </c>
      <c r="K134" s="485"/>
      <c r="L134" s="485">
        <v>-2.0000000000000018E-2</v>
      </c>
      <c r="M134" s="485">
        <v>1.1683170967900254</v>
      </c>
      <c r="N134" s="485">
        <v>-0.97560975609757483</v>
      </c>
      <c r="O134" s="485">
        <v>17.982017982017982</v>
      </c>
      <c r="P134" s="485">
        <v>8.0295339178587941</v>
      </c>
      <c r="Q134" s="485">
        <v>7.4515648286140088</v>
      </c>
      <c r="R134" s="485">
        <v>-8.0999999999999943</v>
      </c>
      <c r="S134" s="485">
        <v>13.805718686820059</v>
      </c>
      <c r="T134" s="485"/>
      <c r="U134" s="485">
        <v>9.5556617295755875E-2</v>
      </c>
      <c r="V134" s="485">
        <v>23.481781376518217</v>
      </c>
      <c r="W134" s="485">
        <v>-0.10000000000000053</v>
      </c>
      <c r="X134" s="485">
        <v>-3.7</v>
      </c>
      <c r="Y134" s="485">
        <v>6.05853139025636</v>
      </c>
      <c r="Z134" s="485">
        <v>0.3</v>
      </c>
      <c r="AA134" s="485">
        <v>18.69166398455101</v>
      </c>
    </row>
    <row r="135" spans="1:27" s="500" customFormat="1">
      <c r="A135" s="482"/>
      <c r="B135" s="483" t="s">
        <v>141</v>
      </c>
      <c r="C135" s="484">
        <v>10</v>
      </c>
      <c r="D135" s="485">
        <v>5.8032695596833888</v>
      </c>
      <c r="E135" s="485">
        <v>10.150375939849621</v>
      </c>
      <c r="F135" s="485">
        <v>14.054054054054046</v>
      </c>
      <c r="G135" s="485">
        <v>5.4384123652323249</v>
      </c>
      <c r="H135" s="485">
        <v>7.288449660284126</v>
      </c>
      <c r="I135" s="485">
        <v>-3</v>
      </c>
      <c r="J135" s="485">
        <v>-1</v>
      </c>
      <c r="K135" s="485"/>
      <c r="L135" s="485">
        <v>-1.0000000000000009E-2</v>
      </c>
      <c r="M135" s="485">
        <v>1.6727307924133197</v>
      </c>
      <c r="N135" s="485">
        <v>0.97560975609757483</v>
      </c>
      <c r="O135" s="485">
        <v>-3.734827264239029</v>
      </c>
      <c r="P135" s="485">
        <v>2.5405168637757263</v>
      </c>
      <c r="Q135" s="485">
        <v>0.19138755980860156</v>
      </c>
      <c r="R135" s="485">
        <v>-1.4000000000000057</v>
      </c>
      <c r="S135" s="485">
        <v>42.466660361297649</v>
      </c>
      <c r="T135" s="485"/>
      <c r="U135" s="485">
        <v>-0.5747126436781691</v>
      </c>
      <c r="V135" s="485">
        <v>-18.354430379746837</v>
      </c>
      <c r="W135" s="485">
        <v>0</v>
      </c>
      <c r="X135" s="485">
        <v>3</v>
      </c>
      <c r="Y135" s="485">
        <v>-4.6880165595933505</v>
      </c>
      <c r="Z135" s="485">
        <v>0.60000000000000009</v>
      </c>
      <c r="AA135" s="485">
        <v>-33.206057745935048</v>
      </c>
    </row>
    <row r="136" spans="1:27" s="500" customFormat="1">
      <c r="A136" s="482"/>
      <c r="B136" s="483" t="s">
        <v>141</v>
      </c>
      <c r="C136" s="484">
        <v>11</v>
      </c>
      <c r="D136" s="485">
        <v>-9.4332176359275941</v>
      </c>
      <c r="E136" s="485">
        <v>-1.9873532068654047</v>
      </c>
      <c r="F136" s="485">
        <v>-6.0200668896321021</v>
      </c>
      <c r="G136" s="485">
        <v>-9.2928166527274411E-2</v>
      </c>
      <c r="H136" s="485">
        <v>20.15005359056806</v>
      </c>
      <c r="I136" s="485">
        <v>2</v>
      </c>
      <c r="J136" s="485">
        <v>-1</v>
      </c>
      <c r="K136" s="485"/>
      <c r="L136" s="485">
        <v>-1.0000000000000009E-2</v>
      </c>
      <c r="M136" s="485">
        <v>0.28929184493259075</v>
      </c>
      <c r="N136" s="485">
        <v>-6.0000000000000142</v>
      </c>
      <c r="O136" s="485">
        <v>18.714963346269951</v>
      </c>
      <c r="P136" s="485">
        <v>2.5619128949615715</v>
      </c>
      <c r="Q136" s="485">
        <v>-0.38314176245209908</v>
      </c>
      <c r="R136" s="485">
        <v>-3.0999999999999943</v>
      </c>
      <c r="S136" s="485">
        <v>-65.947403910991227</v>
      </c>
      <c r="T136" s="485"/>
      <c r="U136" s="485">
        <v>9.6015362458001463E-2</v>
      </c>
      <c r="V136" s="485">
        <v>38.764044943820224</v>
      </c>
      <c r="W136" s="485">
        <v>0.20000000000000018</v>
      </c>
      <c r="X136" s="485">
        <v>4.9000000000000004</v>
      </c>
      <c r="Y136" s="485">
        <v>1.1878566110923392</v>
      </c>
      <c r="Z136" s="485">
        <v>0.29999999999999993</v>
      </c>
      <c r="AA136" s="485">
        <v>18.127382873716464</v>
      </c>
    </row>
    <row r="137" spans="1:27" s="500" customFormat="1">
      <c r="A137" s="486"/>
      <c r="B137" s="487" t="s">
        <v>141</v>
      </c>
      <c r="C137" s="488">
        <v>12</v>
      </c>
      <c r="D137" s="489">
        <v>1.5741726110824241</v>
      </c>
      <c r="E137" s="489">
        <v>-6.3058823529411656</v>
      </c>
      <c r="F137" s="489">
        <v>-1.001155179052762</v>
      </c>
      <c r="G137" s="489">
        <v>3.5074899525027403</v>
      </c>
      <c r="H137" s="489">
        <v>-14.405010438413361</v>
      </c>
      <c r="I137" s="489">
        <v>-2</v>
      </c>
      <c r="J137" s="489">
        <v>-1</v>
      </c>
      <c r="K137" s="489"/>
      <c r="L137" s="489">
        <v>-1.0000000000000009E-2</v>
      </c>
      <c r="M137" s="489">
        <v>2.4120620293642365</v>
      </c>
      <c r="N137" s="489">
        <v>5.025125628140704</v>
      </c>
      <c r="O137" s="489">
        <v>7.2215887495249049</v>
      </c>
      <c r="P137" s="489">
        <v>3.6423841059602697</v>
      </c>
      <c r="Q137" s="489">
        <v>2.6515151515151492</v>
      </c>
      <c r="R137" s="489">
        <v>-2.9000000000000057</v>
      </c>
      <c r="S137" s="489">
        <v>32.897969740074998</v>
      </c>
      <c r="T137" s="489"/>
      <c r="U137" s="489">
        <v>0.28749401054144436</v>
      </c>
      <c r="V137" s="489">
        <v>16.711590296495956</v>
      </c>
      <c r="W137" s="489">
        <v>-9.9999999999999645E-2</v>
      </c>
      <c r="X137" s="489">
        <v>-4.4000000000000004</v>
      </c>
      <c r="Y137" s="489">
        <v>-8.3554650215010469</v>
      </c>
      <c r="Z137" s="489">
        <v>-9.9999999999999867E-2</v>
      </c>
      <c r="AA137" s="489">
        <v>-4.7602318636922583</v>
      </c>
    </row>
    <row r="138" spans="1:27" s="500" customFormat="1">
      <c r="A138" s="490" t="s">
        <v>348</v>
      </c>
      <c r="B138" s="491">
        <v>1999</v>
      </c>
      <c r="C138" s="492">
        <v>1</v>
      </c>
      <c r="D138" s="493">
        <v>0.67100108360423072</v>
      </c>
      <c r="E138" s="493">
        <v>-13.430127041742287</v>
      </c>
      <c r="F138" s="493">
        <v>-21.138211382113813</v>
      </c>
      <c r="G138" s="493">
        <v>-0.90171325518485124</v>
      </c>
      <c r="H138" s="493">
        <v>13.91941391941392</v>
      </c>
      <c r="I138" s="493">
        <v>4</v>
      </c>
      <c r="J138" s="493">
        <v>4.2999999999999972</v>
      </c>
      <c r="K138" s="493"/>
      <c r="L138" s="493">
        <v>0</v>
      </c>
      <c r="M138" s="493">
        <v>-0.84613481861838402</v>
      </c>
      <c r="N138" s="493">
        <v>-2.9850746268656607</v>
      </c>
      <c r="O138" s="493">
        <v>-16.521048451151714</v>
      </c>
      <c r="P138" s="493">
        <v>-15.317286652078774</v>
      </c>
      <c r="Q138" s="493">
        <v>-15.291750503018109</v>
      </c>
      <c r="R138" s="493">
        <v>19.100000000000009</v>
      </c>
      <c r="S138" s="493">
        <v>14.43989387734076</v>
      </c>
      <c r="T138" s="493"/>
      <c r="U138" s="493">
        <v>4.1237113402061905</v>
      </c>
      <c r="V138" s="493">
        <v>-18.715995647442874</v>
      </c>
      <c r="W138" s="493">
        <v>9.9999999999999645E-2</v>
      </c>
      <c r="X138" s="493">
        <v>-5.8</v>
      </c>
      <c r="Y138" s="493">
        <v>2.4673256758460722</v>
      </c>
      <c r="Z138" s="493">
        <v>-1</v>
      </c>
      <c r="AA138" s="493">
        <v>3.0477540533357037</v>
      </c>
    </row>
    <row r="139" spans="1:27" s="500" customFormat="1">
      <c r="A139" s="482"/>
      <c r="B139" s="483" t="s">
        <v>141</v>
      </c>
      <c r="C139" s="484">
        <v>2</v>
      </c>
      <c r="D139" s="485">
        <v>0.28412920620108317</v>
      </c>
      <c r="E139" s="485">
        <v>11.376146788990821</v>
      </c>
      <c r="F139" s="485">
        <v>11.626858945470937</v>
      </c>
      <c r="G139" s="485">
        <v>-3.1839514125333577</v>
      </c>
      <c r="H139" s="485">
        <v>12.648945921173235</v>
      </c>
      <c r="I139" s="485">
        <v>-7</v>
      </c>
      <c r="J139" s="485">
        <v>4.4000000000000057</v>
      </c>
      <c r="K139" s="485"/>
      <c r="L139" s="485">
        <v>2.0000000000000018E-2</v>
      </c>
      <c r="M139" s="485">
        <v>2.3223228308124835</v>
      </c>
      <c r="N139" s="485">
        <v>1.9999999999999929</v>
      </c>
      <c r="O139" s="485">
        <v>8.9330024813895754</v>
      </c>
      <c r="P139" s="485">
        <v>6.5107748739110454</v>
      </c>
      <c r="Q139" s="485">
        <v>2.0485175202156394</v>
      </c>
      <c r="R139" s="485">
        <v>-5.2999999999999972</v>
      </c>
      <c r="S139" s="485">
        <v>-23.088054022187691</v>
      </c>
      <c r="T139" s="485"/>
      <c r="U139" s="485">
        <v>0.45808520384791568</v>
      </c>
      <c r="V139" s="485">
        <v>7.5101097631426921</v>
      </c>
      <c r="W139" s="485">
        <v>9.9999999999999645E-2</v>
      </c>
      <c r="X139" s="485">
        <v>4.7</v>
      </c>
      <c r="Y139" s="485">
        <v>-3.8514739379660261</v>
      </c>
      <c r="Z139" s="485">
        <v>-0.30000000000000004</v>
      </c>
      <c r="AA139" s="485">
        <v>-21.590524534686978</v>
      </c>
    </row>
    <row r="140" spans="1:27" s="500" customFormat="1">
      <c r="A140" s="482"/>
      <c r="B140" s="483" t="s">
        <v>141</v>
      </c>
      <c r="C140" s="484">
        <v>3</v>
      </c>
      <c r="D140" s="485">
        <v>2.1166948414527793</v>
      </c>
      <c r="E140" s="485">
        <v>4.3668122270742362</v>
      </c>
      <c r="F140" s="485">
        <v>-14.233576642335775</v>
      </c>
      <c r="G140" s="485">
        <v>-2.8452200303490138</v>
      </c>
      <c r="H140" s="485">
        <v>2.9723991507430996</v>
      </c>
      <c r="I140" s="485">
        <v>3</v>
      </c>
      <c r="J140" s="485">
        <v>4.2999999999999972</v>
      </c>
      <c r="K140" s="485"/>
      <c r="L140" s="485">
        <v>-1.0000000000000009E-2</v>
      </c>
      <c r="M140" s="485">
        <v>-8.2889234028120679E-2</v>
      </c>
      <c r="N140" s="485">
        <v>3.8834951456310711</v>
      </c>
      <c r="O140" s="485">
        <v>18.273381294964022</v>
      </c>
      <c r="P140" s="485">
        <v>15.711947626841258</v>
      </c>
      <c r="Q140" s="485">
        <v>15.187376725838254</v>
      </c>
      <c r="R140" s="485">
        <v>-16.5</v>
      </c>
      <c r="S140" s="485">
        <v>31.903246339910886</v>
      </c>
      <c r="T140" s="485"/>
      <c r="U140" s="485">
        <v>-0.64190738193489483</v>
      </c>
      <c r="V140" s="485">
        <v>26.724553786782444</v>
      </c>
      <c r="W140" s="485">
        <v>0.10000000000000053</v>
      </c>
      <c r="X140" s="485">
        <v>-3.3</v>
      </c>
      <c r="Y140" s="485">
        <v>6.8990573962278408</v>
      </c>
      <c r="Z140" s="485">
        <v>-0.49999999999999994</v>
      </c>
      <c r="AA140" s="485">
        <v>10.627325208466974</v>
      </c>
    </row>
    <row r="141" spans="1:27" s="500" customFormat="1">
      <c r="A141" s="482"/>
      <c r="B141" s="483" t="s">
        <v>141</v>
      </c>
      <c r="C141" s="484">
        <v>4</v>
      </c>
      <c r="D141" s="485">
        <v>7.7812746636006702</v>
      </c>
      <c r="E141" s="485">
        <v>-4.565322972316662</v>
      </c>
      <c r="F141" s="485">
        <v>-37.019790454016288</v>
      </c>
      <c r="G141" s="485">
        <v>1.7547205798207133</v>
      </c>
      <c r="H141" s="485">
        <v>-14.25369789332138</v>
      </c>
      <c r="I141" s="485">
        <v>1</v>
      </c>
      <c r="J141" s="485">
        <v>1.2999999999999972</v>
      </c>
      <c r="K141" s="485"/>
      <c r="L141" s="485">
        <v>0</v>
      </c>
      <c r="M141" s="485">
        <v>-0.57709996765888705</v>
      </c>
      <c r="N141" s="485">
        <v>-0.95693779904305887</v>
      </c>
      <c r="O141" s="485">
        <v>-16.327985739750428</v>
      </c>
      <c r="P141" s="485">
        <v>-12.580645161290329</v>
      </c>
      <c r="Q141" s="485">
        <v>-9.9086099086099075</v>
      </c>
      <c r="R141" s="485">
        <v>11.899999999999991</v>
      </c>
      <c r="S141" s="485">
        <v>-24.977768995158577</v>
      </c>
      <c r="T141" s="485"/>
      <c r="U141" s="485">
        <v>-0.55350553505535838</v>
      </c>
      <c r="V141" s="485">
        <v>-23.384030418250944</v>
      </c>
      <c r="W141" s="485">
        <v>0</v>
      </c>
      <c r="X141" s="485">
        <v>0.59999999999999964</v>
      </c>
      <c r="Y141" s="485">
        <v>18.161614252177088</v>
      </c>
      <c r="Z141" s="485">
        <v>0.79999999999999993</v>
      </c>
      <c r="AA141" s="485">
        <v>17.451634422948615</v>
      </c>
    </row>
    <row r="142" spans="1:27" s="500" customFormat="1">
      <c r="A142" s="482"/>
      <c r="B142" s="483" t="s">
        <v>141</v>
      </c>
      <c r="C142" s="484">
        <v>5</v>
      </c>
      <c r="D142" s="485">
        <v>-7.9433647648487131</v>
      </c>
      <c r="E142" s="485">
        <v>2.454590083456063</v>
      </c>
      <c r="F142" s="485">
        <v>-1.2940330697340126</v>
      </c>
      <c r="G142" s="485">
        <v>-3.403518892414191</v>
      </c>
      <c r="H142" s="485">
        <v>-6.2717770034843205</v>
      </c>
      <c r="I142" s="485">
        <v>-3</v>
      </c>
      <c r="J142" s="485">
        <v>1.4000000000000057</v>
      </c>
      <c r="K142" s="485"/>
      <c r="L142" s="485">
        <v>-1.0000000000000009E-2</v>
      </c>
      <c r="M142" s="485">
        <v>-3.6125358080175718</v>
      </c>
      <c r="N142" s="485">
        <v>0</v>
      </c>
      <c r="O142" s="485">
        <v>-2.0392156862745163</v>
      </c>
      <c r="P142" s="485">
        <v>-4.3975373790677219</v>
      </c>
      <c r="Q142" s="485">
        <v>-2.1483375959079227</v>
      </c>
      <c r="R142" s="485">
        <v>4.7000000000000028</v>
      </c>
      <c r="S142" s="485">
        <v>-2.3705480821409188</v>
      </c>
      <c r="T142" s="485"/>
      <c r="U142" s="485">
        <v>-9.2549745488194654E-2</v>
      </c>
      <c r="V142" s="485">
        <v>-5.3038674033149293</v>
      </c>
      <c r="W142" s="485">
        <v>0</v>
      </c>
      <c r="X142" s="485">
        <v>0.40000000000000036</v>
      </c>
      <c r="Y142" s="485">
        <v>-22.44500879077945</v>
      </c>
      <c r="Z142" s="485">
        <v>-0.1</v>
      </c>
      <c r="AA142" s="485">
        <v>-8.6856313621716215</v>
      </c>
    </row>
    <row r="143" spans="1:27" s="500" customFormat="1">
      <c r="A143" s="482"/>
      <c r="B143" s="483" t="s">
        <v>141</v>
      </c>
      <c r="C143" s="484">
        <v>6</v>
      </c>
      <c r="D143" s="485">
        <v>4.0901585533252502</v>
      </c>
      <c r="E143" s="485">
        <v>4.457088667614987</v>
      </c>
      <c r="F143" s="485">
        <v>9.116022099447525</v>
      </c>
      <c r="G143" s="485">
        <v>2.6445323810443009</v>
      </c>
      <c r="H143" s="485">
        <v>32.313657906074965</v>
      </c>
      <c r="I143" s="485">
        <v>11</v>
      </c>
      <c r="J143" s="485">
        <v>1.2999999999999972</v>
      </c>
      <c r="K143" s="485"/>
      <c r="L143" s="485">
        <v>1.0000000000000009E-2</v>
      </c>
      <c r="M143" s="485">
        <v>4.7570932190744299</v>
      </c>
      <c r="N143" s="485">
        <v>0</v>
      </c>
      <c r="O143" s="485">
        <v>7.6219512195121855</v>
      </c>
      <c r="P143" s="485">
        <v>7.8617710583153295</v>
      </c>
      <c r="Q143" s="485">
        <v>11.317073170731703</v>
      </c>
      <c r="R143" s="485">
        <v>-8</v>
      </c>
      <c r="S143" s="485">
        <v>-6.939223963453682E-2</v>
      </c>
      <c r="T143" s="485"/>
      <c r="U143" s="485">
        <v>0.18501387604070568</v>
      </c>
      <c r="V143" s="485">
        <v>9.9244875943905111</v>
      </c>
      <c r="W143" s="485">
        <v>9.9999999999999645E-2</v>
      </c>
      <c r="X143" s="485">
        <v>1.2999999999999998</v>
      </c>
      <c r="Y143" s="485">
        <v>5.1312983471216134</v>
      </c>
      <c r="Z143" s="485">
        <v>0.1</v>
      </c>
      <c r="AA143" s="485">
        <v>-11.339258351210534</v>
      </c>
    </row>
    <row r="144" spans="1:27" s="500" customFormat="1">
      <c r="A144" s="482"/>
      <c r="B144" s="483" t="s">
        <v>141</v>
      </c>
      <c r="C144" s="484">
        <v>7</v>
      </c>
      <c r="D144" s="485">
        <v>5.6731543306340866</v>
      </c>
      <c r="E144" s="485">
        <v>0.73937153419593094</v>
      </c>
      <c r="F144" s="485">
        <v>8.7176247631080113</v>
      </c>
      <c r="G144" s="485">
        <v>-2.0789220404234841</v>
      </c>
      <c r="H144" s="485">
        <v>-24.386183936745734</v>
      </c>
      <c r="I144" s="485">
        <v>-13</v>
      </c>
      <c r="J144" s="485">
        <v>2.2999999999999972</v>
      </c>
      <c r="K144" s="485"/>
      <c r="L144" s="485">
        <v>1.0000000000000009E-2</v>
      </c>
      <c r="M144" s="485">
        <v>-2.5925816561982029</v>
      </c>
      <c r="N144" s="485">
        <v>7.4074074074073968</v>
      </c>
      <c r="O144" s="485">
        <v>-3.663551401869142</v>
      </c>
      <c r="P144" s="485">
        <v>0.41476565740356697</v>
      </c>
      <c r="Q144" s="485">
        <v>9.2293493308729616E-2</v>
      </c>
      <c r="R144" s="485">
        <v>0.5</v>
      </c>
      <c r="S144" s="485">
        <v>-22.648678236790424</v>
      </c>
      <c r="T144" s="485"/>
      <c r="U144" s="485">
        <v>-0.18501387604070568</v>
      </c>
      <c r="V144" s="485">
        <v>-6.9112174375332271</v>
      </c>
      <c r="W144" s="485">
        <v>0</v>
      </c>
      <c r="X144" s="485">
        <v>0.69999999999999973</v>
      </c>
      <c r="Y144" s="485">
        <v>2.4675793003019786</v>
      </c>
      <c r="Z144" s="485">
        <v>0.4</v>
      </c>
      <c r="AA144" s="485">
        <v>20.008096801763301</v>
      </c>
    </row>
    <row r="145" spans="1:27" s="500" customFormat="1">
      <c r="A145" s="482"/>
      <c r="B145" s="483" t="s">
        <v>141</v>
      </c>
      <c r="C145" s="484">
        <v>8</v>
      </c>
      <c r="D145" s="485">
        <v>-6.2964299963900903</v>
      </c>
      <c r="E145" s="485">
        <v>-11.747501827930781</v>
      </c>
      <c r="F145" s="485">
        <v>-0.9732360097323568</v>
      </c>
      <c r="G145" s="485">
        <v>3.2529659395331039</v>
      </c>
      <c r="H145" s="485">
        <v>-11.105552776388194</v>
      </c>
      <c r="I145" s="485">
        <v>-1</v>
      </c>
      <c r="J145" s="485">
        <v>2.4000000000000057</v>
      </c>
      <c r="K145" s="485"/>
      <c r="L145" s="485">
        <v>0</v>
      </c>
      <c r="M145" s="485">
        <v>0.96460560900298276</v>
      </c>
      <c r="N145" s="485">
        <v>1.7699115044247882</v>
      </c>
      <c r="O145" s="485">
        <v>-18.469217970049932</v>
      </c>
      <c r="P145" s="485">
        <v>-12.489006156552334</v>
      </c>
      <c r="Q145" s="485">
        <v>-8.2612872238232562</v>
      </c>
      <c r="R145" s="485">
        <v>12.400000000000006</v>
      </c>
      <c r="S145" s="485">
        <v>14.351680204927707</v>
      </c>
      <c r="T145" s="485"/>
      <c r="U145" s="485">
        <v>-0.27816411682892644</v>
      </c>
      <c r="V145" s="485">
        <v>-23.507692307692302</v>
      </c>
      <c r="W145" s="485">
        <v>-9.9999999999999645E-2</v>
      </c>
      <c r="X145" s="485">
        <v>-2.4999999999999996</v>
      </c>
      <c r="Y145" s="485">
        <v>-6.2554770828338233</v>
      </c>
      <c r="Z145" s="485">
        <v>0.4</v>
      </c>
      <c r="AA145" s="485">
        <v>-18.714365567356065</v>
      </c>
    </row>
    <row r="146" spans="1:27" s="500" customFormat="1">
      <c r="A146" s="482"/>
      <c r="B146" s="483" t="s">
        <v>141</v>
      </c>
      <c r="C146" s="484">
        <v>9</v>
      </c>
      <c r="D146" s="485">
        <v>1.5861122733951558</v>
      </c>
      <c r="E146" s="485">
        <v>5.8808745916059406</v>
      </c>
      <c r="F146" s="485">
        <v>8.8785046728972077</v>
      </c>
      <c r="G146" s="485">
        <v>3.6780334534701042</v>
      </c>
      <c r="H146" s="485">
        <v>-2.9016657710908116</v>
      </c>
      <c r="I146" s="485">
        <v>14</v>
      </c>
      <c r="J146" s="485">
        <v>2.2999999999999972</v>
      </c>
      <c r="K146" s="485"/>
      <c r="L146" s="485">
        <v>1.0000000000000009E-2</v>
      </c>
      <c r="M146" s="485">
        <v>-2.7713526758701752</v>
      </c>
      <c r="N146" s="485">
        <v>-6.3348416289592855</v>
      </c>
      <c r="O146" s="485">
        <v>12.784212784212789</v>
      </c>
      <c r="P146" s="485">
        <v>12.158590308370053</v>
      </c>
      <c r="Q146" s="485">
        <v>14.670380687093779</v>
      </c>
      <c r="R146" s="485">
        <v>-10.5</v>
      </c>
      <c r="S146" s="485">
        <v>-4.6730175077240048</v>
      </c>
      <c r="T146" s="485"/>
      <c r="U146" s="485">
        <v>-9.2893636785888078E-2</v>
      </c>
      <c r="V146" s="485">
        <v>18.250950570342191</v>
      </c>
      <c r="W146" s="485">
        <v>-0.10000000000000053</v>
      </c>
      <c r="X146" s="485">
        <v>5.8999999999999995</v>
      </c>
      <c r="Y146" s="485">
        <v>14.885926719807086</v>
      </c>
      <c r="Z146" s="485">
        <v>-1</v>
      </c>
      <c r="AA146" s="485">
        <v>3.8228889426566659</v>
      </c>
    </row>
    <row r="147" spans="1:27" s="500" customFormat="1">
      <c r="A147" s="482"/>
      <c r="B147" s="483" t="s">
        <v>141</v>
      </c>
      <c r="C147" s="484">
        <v>10</v>
      </c>
      <c r="D147" s="485">
        <v>-0.46253737553584756</v>
      </c>
      <c r="E147" s="485">
        <v>9.7538318625174174</v>
      </c>
      <c r="F147" s="485">
        <v>0.44642857142856196</v>
      </c>
      <c r="G147" s="485">
        <v>-5.2906110283159462</v>
      </c>
      <c r="H147" s="485">
        <v>-13.255813953488373</v>
      </c>
      <c r="I147" s="485">
        <v>-6</v>
      </c>
      <c r="J147" s="485">
        <v>0.70000000000000284</v>
      </c>
      <c r="K147" s="485"/>
      <c r="L147" s="485">
        <v>0</v>
      </c>
      <c r="M147" s="485">
        <v>1.2385936080958415</v>
      </c>
      <c r="N147" s="485">
        <v>3.6697247706422056</v>
      </c>
      <c r="O147" s="485">
        <v>-1.3804303694681306</v>
      </c>
      <c r="P147" s="485">
        <v>-1.7595307917888636</v>
      </c>
      <c r="Q147" s="485">
        <v>-2.8070175438596392</v>
      </c>
      <c r="R147" s="485">
        <v>0</v>
      </c>
      <c r="S147" s="485">
        <v>-20.249673392364642</v>
      </c>
      <c r="T147" s="485"/>
      <c r="U147" s="485">
        <v>-0.1860465116278964</v>
      </c>
      <c r="V147" s="485">
        <v>-10.513447432762829</v>
      </c>
      <c r="W147" s="485">
        <v>0</v>
      </c>
      <c r="X147" s="485">
        <v>-0.70000000000000007</v>
      </c>
      <c r="Y147" s="485">
        <v>-1.57842880984457</v>
      </c>
      <c r="Z147" s="485">
        <v>-0.5</v>
      </c>
      <c r="AA147" s="485">
        <v>18.369987063389392</v>
      </c>
    </row>
    <row r="148" spans="1:27" s="500" customFormat="1">
      <c r="A148" s="482"/>
      <c r="B148" s="483" t="s">
        <v>141</v>
      </c>
      <c r="C148" s="484">
        <v>11</v>
      </c>
      <c r="D148" s="485">
        <v>-1.7098699012031622</v>
      </c>
      <c r="E148" s="485">
        <v>-3.4234234234234338</v>
      </c>
      <c r="F148" s="485">
        <v>3.3935413245758168</v>
      </c>
      <c r="G148" s="485">
        <v>1.6698292220113853</v>
      </c>
      <c r="H148" s="485">
        <v>14.763552479815456</v>
      </c>
      <c r="I148" s="485">
        <v>-1</v>
      </c>
      <c r="J148" s="485">
        <v>0.59999999999999432</v>
      </c>
      <c r="K148" s="485"/>
      <c r="L148" s="485">
        <v>1.0000000000000009E-2</v>
      </c>
      <c r="M148" s="485">
        <v>-1.0056242386543264</v>
      </c>
      <c r="N148" s="485">
        <v>7.7922077922077939</v>
      </c>
      <c r="O148" s="485">
        <v>-3.1561461794019907</v>
      </c>
      <c r="P148" s="485">
        <v>1.3434089000839702</v>
      </c>
      <c r="Q148" s="485">
        <v>2.0255394099515605</v>
      </c>
      <c r="R148" s="485">
        <v>-0.90000000000000568</v>
      </c>
      <c r="S148" s="485">
        <v>-12.273935030427706</v>
      </c>
      <c r="T148" s="485"/>
      <c r="U148" s="485">
        <v>-0.18639328984156833</v>
      </c>
      <c r="V148" s="485">
        <v>-3.0124426981008479</v>
      </c>
      <c r="W148" s="485">
        <v>0</v>
      </c>
      <c r="X148" s="485">
        <v>-9.1999999999999993</v>
      </c>
      <c r="Y148" s="485">
        <v>-10.450158414495492</v>
      </c>
      <c r="Z148" s="485">
        <v>0.19999999999999996</v>
      </c>
      <c r="AA148" s="485">
        <v>-23.108271836105299</v>
      </c>
    </row>
    <row r="149" spans="1:27" s="500" customFormat="1">
      <c r="A149" s="494"/>
      <c r="B149" s="495" t="s">
        <v>141</v>
      </c>
      <c r="C149" s="496">
        <v>12</v>
      </c>
      <c r="D149" s="497">
        <v>-0.74072606999268276</v>
      </c>
      <c r="E149" s="497">
        <v>-5.0751879699248033</v>
      </c>
      <c r="F149" s="497">
        <v>-1.1911207363291918</v>
      </c>
      <c r="G149" s="497">
        <v>-0.6797583081570997</v>
      </c>
      <c r="H149" s="497">
        <v>32.403240324032403</v>
      </c>
      <c r="I149" s="497">
        <v>5</v>
      </c>
      <c r="J149" s="497">
        <v>0.70000000000000284</v>
      </c>
      <c r="K149" s="497"/>
      <c r="L149" s="497">
        <v>-1.0000000000000009E-2</v>
      </c>
      <c r="M149" s="497">
        <v>0.14923689621961173</v>
      </c>
      <c r="N149" s="497">
        <v>0</v>
      </c>
      <c r="O149" s="497">
        <v>-6.2663185378590098</v>
      </c>
      <c r="P149" s="497">
        <v>-4.2589437819420786</v>
      </c>
      <c r="Q149" s="497">
        <v>-4.8214285714285765</v>
      </c>
      <c r="R149" s="497">
        <v>4.2999999999999972</v>
      </c>
      <c r="S149" s="497">
        <v>63.713014529728397</v>
      </c>
      <c r="T149" s="497"/>
      <c r="U149" s="497">
        <v>-0.5612722170252652</v>
      </c>
      <c r="V149" s="497">
        <v>-7.162534435261712</v>
      </c>
      <c r="W149" s="497">
        <v>0.10000000000000053</v>
      </c>
      <c r="X149" s="497">
        <v>5.6999999999999993</v>
      </c>
      <c r="Y149" s="497">
        <v>-7.2932776894271232</v>
      </c>
      <c r="Z149" s="497">
        <v>-0.4</v>
      </c>
      <c r="AA149" s="497">
        <v>-11.549607460877814</v>
      </c>
    </row>
    <row r="150" spans="1:27" s="500" customFormat="1">
      <c r="A150" s="478" t="s">
        <v>349</v>
      </c>
      <c r="B150" s="479">
        <v>2000</v>
      </c>
      <c r="C150" s="480">
        <v>1</v>
      </c>
      <c r="D150" s="481">
        <v>14.892090301926377</v>
      </c>
      <c r="E150" s="481">
        <v>-10.291508238276306</v>
      </c>
      <c r="F150" s="481">
        <v>-18.181818181818176</v>
      </c>
      <c r="G150" s="481">
        <v>5.3296449976947899</v>
      </c>
      <c r="H150" s="481">
        <v>-16.519916142557651</v>
      </c>
      <c r="I150" s="481">
        <v>0</v>
      </c>
      <c r="J150" s="481">
        <v>4.2999999999999972</v>
      </c>
      <c r="K150" s="481"/>
      <c r="L150" s="481">
        <v>2.0000000000000018E-2</v>
      </c>
      <c r="M150" s="481">
        <v>-0.4579602087325183</v>
      </c>
      <c r="N150" s="481">
        <v>2.4691358024691414</v>
      </c>
      <c r="O150" s="481">
        <v>-2.8246013667425918</v>
      </c>
      <c r="P150" s="481">
        <v>-7.7757685352622143</v>
      </c>
      <c r="Q150" s="481">
        <v>-5.4511278195488702</v>
      </c>
      <c r="R150" s="481">
        <v>9</v>
      </c>
      <c r="S150" s="481">
        <v>-58.00560087665896</v>
      </c>
      <c r="T150" s="481"/>
      <c r="U150" s="481">
        <v>0.5612722170252652</v>
      </c>
      <c r="V150" s="481">
        <v>3.2326071679550203</v>
      </c>
      <c r="W150" s="481">
        <v>0</v>
      </c>
      <c r="X150" s="481">
        <v>0.60000000000000009</v>
      </c>
      <c r="Y150" s="481">
        <v>3.4892656845272159</v>
      </c>
      <c r="Z150" s="481">
        <v>0.30000000000000004</v>
      </c>
      <c r="AA150" s="481">
        <v>23.67817791910079</v>
      </c>
    </row>
    <row r="151" spans="1:27" s="500" customFormat="1">
      <c r="A151" s="482"/>
      <c r="B151" s="483" t="s">
        <v>141</v>
      </c>
      <c r="C151" s="484">
        <v>2</v>
      </c>
      <c r="D151" s="485">
        <v>-6.4117064894669902</v>
      </c>
      <c r="E151" s="485">
        <v>10.195282779609434</v>
      </c>
      <c r="F151" s="485">
        <v>16.105769230769237</v>
      </c>
      <c r="G151" s="485">
        <v>-4.1999082989454379</v>
      </c>
      <c r="H151" s="485">
        <v>-6.9030732860520096</v>
      </c>
      <c r="I151" s="485">
        <v>-7</v>
      </c>
      <c r="J151" s="485">
        <v>4.4000000000000057</v>
      </c>
      <c r="K151" s="485"/>
      <c r="L151" s="485">
        <v>2.0000000000000018E-2</v>
      </c>
      <c r="M151" s="485">
        <v>1.0690554366753555</v>
      </c>
      <c r="N151" s="485">
        <v>-3.3057851239669449</v>
      </c>
      <c r="O151" s="485">
        <v>14.805305947796318</v>
      </c>
      <c r="P151" s="485">
        <v>12.43934715483018</v>
      </c>
      <c r="Q151" s="485">
        <v>12.159709618874777</v>
      </c>
      <c r="R151" s="485">
        <v>-10.799999999999997</v>
      </c>
      <c r="S151" s="485">
        <v>8.2302158273381227</v>
      </c>
      <c r="T151" s="485"/>
      <c r="U151" s="485">
        <v>0.37243947858472204</v>
      </c>
      <c r="V151" s="485">
        <v>18.569636135508155</v>
      </c>
      <c r="W151" s="485">
        <v>0.20000000000000018</v>
      </c>
      <c r="X151" s="485">
        <v>9.9999999999999645E-2</v>
      </c>
      <c r="Y151" s="485">
        <v>-19.406580408787342</v>
      </c>
      <c r="Z151" s="485">
        <v>0.3</v>
      </c>
      <c r="AA151" s="485">
        <v>-2.0754464882198329</v>
      </c>
    </row>
    <row r="152" spans="1:27" s="500" customFormat="1">
      <c r="A152" s="482"/>
      <c r="B152" s="483" t="s">
        <v>141</v>
      </c>
      <c r="C152" s="484">
        <v>3</v>
      </c>
      <c r="D152" s="485">
        <v>4.2792692187430204</v>
      </c>
      <c r="E152" s="485">
        <v>-1.4584346135148274</v>
      </c>
      <c r="F152" s="485">
        <v>11.332633788037771</v>
      </c>
      <c r="G152" s="485">
        <v>-2.0247894786640175</v>
      </c>
      <c r="H152" s="485">
        <v>9.6924510717614165</v>
      </c>
      <c r="I152" s="485">
        <v>3</v>
      </c>
      <c r="J152" s="485">
        <v>4.2999999999999972</v>
      </c>
      <c r="K152" s="485"/>
      <c r="L152" s="485">
        <v>1.0000000000000009E-2</v>
      </c>
      <c r="M152" s="485">
        <v>-1.7822832352353049</v>
      </c>
      <c r="N152" s="485">
        <v>2.4896265560165887</v>
      </c>
      <c r="O152" s="485">
        <v>15.305371596762331</v>
      </c>
      <c r="P152" s="485">
        <v>11.580594679186214</v>
      </c>
      <c r="Q152" s="485">
        <v>5.6525353283457997</v>
      </c>
      <c r="R152" s="485">
        <v>-11</v>
      </c>
      <c r="S152" s="485">
        <v>20.846744243624659</v>
      </c>
      <c r="T152" s="485"/>
      <c r="U152" s="485">
        <v>9.2893636785888078E-2</v>
      </c>
      <c r="V152" s="485">
        <v>25.800000000000008</v>
      </c>
      <c r="W152" s="485">
        <v>0</v>
      </c>
      <c r="X152" s="485">
        <v>-5.3999999999999995</v>
      </c>
      <c r="Y152" s="485">
        <v>19.136419742187538</v>
      </c>
      <c r="Z152" s="485">
        <v>0</v>
      </c>
      <c r="AA152" s="485">
        <v>-47.259778556723987</v>
      </c>
    </row>
    <row r="153" spans="1:27" s="500" customFormat="1">
      <c r="A153" s="482"/>
      <c r="B153" s="483" t="s">
        <v>141</v>
      </c>
      <c r="C153" s="484">
        <v>4</v>
      </c>
      <c r="D153" s="485">
        <v>-2.0000353363133594</v>
      </c>
      <c r="E153" s="485">
        <v>-6.8371739680931887</v>
      </c>
      <c r="F153" s="485">
        <v>-56.887755102040813</v>
      </c>
      <c r="G153" s="485">
        <v>1.2349197302175359</v>
      </c>
      <c r="H153" s="485">
        <v>-29.357798165137616</v>
      </c>
      <c r="I153" s="485">
        <v>-4</v>
      </c>
      <c r="J153" s="485">
        <v>-0.70000000000000284</v>
      </c>
      <c r="K153" s="485"/>
      <c r="L153" s="485">
        <v>9.9999999999998979E-3</v>
      </c>
      <c r="M153" s="485">
        <v>7.5480935619201865</v>
      </c>
      <c r="N153" s="485">
        <v>-0.82304526748970908</v>
      </c>
      <c r="O153" s="485">
        <v>-32.130107100357009</v>
      </c>
      <c r="P153" s="485">
        <v>-17.014446227929369</v>
      </c>
      <c r="Q153" s="485">
        <v>-9.7498940228910556</v>
      </c>
      <c r="R153" s="485">
        <v>16.900000000000006</v>
      </c>
      <c r="S153" s="485">
        <v>-6.0250107235952068</v>
      </c>
      <c r="T153" s="485"/>
      <c r="U153" s="485">
        <v>-9.2893636785888078E-2</v>
      </c>
      <c r="V153" s="485">
        <v>-48.81542699724519</v>
      </c>
      <c r="W153" s="485">
        <v>-0.10000000000000053</v>
      </c>
      <c r="X153" s="485">
        <v>2.1999999999999993</v>
      </c>
      <c r="Y153" s="485">
        <v>5.3258462534418367</v>
      </c>
      <c r="Z153" s="485">
        <v>-0.60000000000000009</v>
      </c>
      <c r="AA153" s="485">
        <v>58.180503177145233</v>
      </c>
    </row>
    <row r="154" spans="1:27" s="500" customFormat="1">
      <c r="A154" s="482"/>
      <c r="B154" s="483" t="s">
        <v>141</v>
      </c>
      <c r="C154" s="484">
        <v>5</v>
      </c>
      <c r="D154" s="485">
        <v>9.7141450244933552</v>
      </c>
      <c r="E154" s="485">
        <v>0.52301255230125521</v>
      </c>
      <c r="F154" s="485">
        <v>-16.393442622950818</v>
      </c>
      <c r="G154" s="485">
        <v>2.9212019722764908</v>
      </c>
      <c r="H154" s="485">
        <v>17.149098853085746</v>
      </c>
      <c r="I154" s="485">
        <v>-1</v>
      </c>
      <c r="J154" s="485">
        <v>-0.59999999999999432</v>
      </c>
      <c r="K154" s="485"/>
      <c r="L154" s="485">
        <v>3.0000000000000027E-2</v>
      </c>
      <c r="M154" s="485">
        <v>-12.283238865697662</v>
      </c>
      <c r="N154" s="485">
        <v>-0.82987551867219622</v>
      </c>
      <c r="O154" s="485">
        <v>19.530916844349672</v>
      </c>
      <c r="P154" s="485">
        <v>4.1237113402061834</v>
      </c>
      <c r="Q154" s="485">
        <v>0.44464206313917293</v>
      </c>
      <c r="R154" s="485">
        <v>-4.2000000000000028</v>
      </c>
      <c r="S154" s="485">
        <v>8.0266466381477866</v>
      </c>
      <c r="T154" s="485"/>
      <c r="U154" s="485">
        <v>0</v>
      </c>
      <c r="V154" s="485">
        <v>32.784887263863503</v>
      </c>
      <c r="W154" s="485">
        <v>-0.20000000000000018</v>
      </c>
      <c r="X154" s="485">
        <v>0.20000000000000018</v>
      </c>
      <c r="Y154" s="485">
        <v>1.3177012115952187</v>
      </c>
      <c r="Z154" s="485">
        <v>0</v>
      </c>
      <c r="AA154" s="485">
        <v>-18.445668327651017</v>
      </c>
    </row>
    <row r="155" spans="1:27" s="500" customFormat="1">
      <c r="A155" s="482"/>
      <c r="B155" s="483" t="s">
        <v>141</v>
      </c>
      <c r="C155" s="484">
        <v>6</v>
      </c>
      <c r="D155" s="485">
        <v>-2.84956435334598</v>
      </c>
      <c r="E155" s="485">
        <v>6.4125220903812261</v>
      </c>
      <c r="F155" s="485">
        <v>32.688927943760987</v>
      </c>
      <c r="G155" s="485">
        <v>0.31126979767463153</v>
      </c>
      <c r="H155" s="485">
        <v>-13.190348525469169</v>
      </c>
      <c r="I155" s="485">
        <v>5</v>
      </c>
      <c r="J155" s="485">
        <v>-0.70000000000000284</v>
      </c>
      <c r="K155" s="485"/>
      <c r="L155" s="485">
        <v>1.0000000000000009E-2</v>
      </c>
      <c r="M155" s="485">
        <v>5.3980031595011058</v>
      </c>
      <c r="N155" s="485">
        <v>0.82987551867219622</v>
      </c>
      <c r="O155" s="485">
        <v>-0.62353858144971386</v>
      </c>
      <c r="P155" s="485">
        <v>3.7985136251032277</v>
      </c>
      <c r="Q155" s="485">
        <v>7.4327210593763358</v>
      </c>
      <c r="R155" s="485">
        <v>-4.1000000000000085</v>
      </c>
      <c r="S155" s="485">
        <v>-10.355303130365868</v>
      </c>
      <c r="T155" s="485"/>
      <c r="U155" s="485">
        <v>-0.4657661853749418</v>
      </c>
      <c r="V155" s="485">
        <v>-5.0456253354804108</v>
      </c>
      <c r="W155" s="485">
        <v>0.10000000000000053</v>
      </c>
      <c r="X155" s="485">
        <v>1.4000000000000004</v>
      </c>
      <c r="Y155" s="485">
        <v>1.6463266252207451</v>
      </c>
      <c r="Z155" s="485">
        <v>0.4</v>
      </c>
      <c r="AA155" s="485">
        <v>0.57614749375840213</v>
      </c>
    </row>
    <row r="156" spans="1:27" s="500" customFormat="1">
      <c r="A156" s="482"/>
      <c r="B156" s="483" t="s">
        <v>141</v>
      </c>
      <c r="C156" s="484">
        <v>7</v>
      </c>
      <c r="D156" s="485">
        <v>-4.6526694456520756</v>
      </c>
      <c r="E156" s="485">
        <v>0.97370983446932813</v>
      </c>
      <c r="F156" s="485">
        <v>4.7197640117994135</v>
      </c>
      <c r="G156" s="485">
        <v>-1.733357919970496</v>
      </c>
      <c r="H156" s="485">
        <v>-17.75</v>
      </c>
      <c r="I156" s="485">
        <v>1</v>
      </c>
      <c r="J156" s="485">
        <v>-0.70000000000000284</v>
      </c>
      <c r="K156" s="485"/>
      <c r="L156" s="485">
        <v>0</v>
      </c>
      <c r="M156" s="485">
        <v>-0.38508053073004073</v>
      </c>
      <c r="N156" s="485">
        <v>-0.82987551867219622</v>
      </c>
      <c r="O156" s="485">
        <v>5.030487804878045</v>
      </c>
      <c r="P156" s="485">
        <v>0.32362459546924877</v>
      </c>
      <c r="Q156" s="485">
        <v>-1.5774180157741848</v>
      </c>
      <c r="R156" s="485">
        <v>0.60000000000000853</v>
      </c>
      <c r="S156" s="485">
        <v>30.913266207383856</v>
      </c>
      <c r="T156" s="485"/>
      <c r="U156" s="485">
        <v>-0.46794571829667764</v>
      </c>
      <c r="V156" s="485">
        <v>7.7289571201694001</v>
      </c>
      <c r="W156" s="485">
        <v>0</v>
      </c>
      <c r="X156" s="485">
        <v>-1.7999999999999998</v>
      </c>
      <c r="Y156" s="485">
        <v>4.5695960198847656</v>
      </c>
      <c r="Z156" s="485">
        <v>0.5</v>
      </c>
      <c r="AA156" s="485">
        <v>7.3240475970851282</v>
      </c>
    </row>
    <row r="157" spans="1:27" s="500" customFormat="1">
      <c r="A157" s="482"/>
      <c r="B157" s="483" t="s">
        <v>141</v>
      </c>
      <c r="C157" s="484">
        <v>8</v>
      </c>
      <c r="D157" s="485">
        <v>17.157629336482298</v>
      </c>
      <c r="E157" s="485">
        <v>-11.421254801536497</v>
      </c>
      <c r="F157" s="485">
        <v>9.3406593406593359</v>
      </c>
      <c r="G157" s="485">
        <v>-0.27940765576976812</v>
      </c>
      <c r="H157" s="485">
        <v>35.254237288135592</v>
      </c>
      <c r="I157" s="485">
        <v>-2</v>
      </c>
      <c r="J157" s="485">
        <v>-0.59999999999999432</v>
      </c>
      <c r="K157" s="485"/>
      <c r="L157" s="485">
        <v>2.0000000000000018E-2</v>
      </c>
      <c r="M157" s="485">
        <v>1.4081998757726235</v>
      </c>
      <c r="N157" s="485">
        <v>2.4691358024691414</v>
      </c>
      <c r="O157" s="485">
        <v>-5.2651659671880999</v>
      </c>
      <c r="P157" s="485">
        <v>-4.8820852296234927</v>
      </c>
      <c r="Q157" s="485">
        <v>-4.9742710120068594</v>
      </c>
      <c r="R157" s="485">
        <v>6.7000000000000028</v>
      </c>
      <c r="S157" s="485">
        <v>-26.649328131772862</v>
      </c>
      <c r="T157" s="485"/>
      <c r="U157" s="485">
        <v>0</v>
      </c>
      <c r="V157" s="485">
        <v>-1.4373716632443443</v>
      </c>
      <c r="W157" s="485">
        <v>-0.10000000000000053</v>
      </c>
      <c r="X157" s="485">
        <v>-0.80000000000000071</v>
      </c>
      <c r="Y157" s="485">
        <v>-7.1587632607370111</v>
      </c>
      <c r="Z157" s="485">
        <v>-0.2</v>
      </c>
      <c r="AA157" s="485">
        <v>-9.7571218590326829</v>
      </c>
    </row>
    <row r="158" spans="1:27" s="500" customFormat="1">
      <c r="A158" s="482"/>
      <c r="B158" s="483" t="s">
        <v>141</v>
      </c>
      <c r="C158" s="484">
        <v>9</v>
      </c>
      <c r="D158" s="485">
        <v>-17.98377343681171</v>
      </c>
      <c r="E158" s="485">
        <v>7.2755823082962596</v>
      </c>
      <c r="F158" s="485">
        <v>11.386138613861387</v>
      </c>
      <c r="G158" s="485">
        <v>-6.4106266243141787</v>
      </c>
      <c r="H158" s="485">
        <v>-13.101330603889458</v>
      </c>
      <c r="I158" s="485">
        <v>4</v>
      </c>
      <c r="J158" s="485">
        <v>-0.70000000000000284</v>
      </c>
      <c r="K158" s="485"/>
      <c r="L158" s="485">
        <v>-1.0000000000000009E-2</v>
      </c>
      <c r="M158" s="485">
        <v>-1.0928772161121325</v>
      </c>
      <c r="N158" s="485">
        <v>0</v>
      </c>
      <c r="O158" s="485">
        <v>7.3962264150943486</v>
      </c>
      <c r="P158" s="485">
        <v>6.6420664206642019</v>
      </c>
      <c r="Q158" s="485">
        <v>5.3082191780821928</v>
      </c>
      <c r="R158" s="485">
        <v>-6.3000000000000114</v>
      </c>
      <c r="S158" s="485">
        <v>9.9299768701878914</v>
      </c>
      <c r="T158" s="485"/>
      <c r="U158" s="485">
        <v>0.18744142455482929</v>
      </c>
      <c r="V158" s="485">
        <v>7.4664011946241908</v>
      </c>
      <c r="W158" s="485">
        <v>0.10000000000000053</v>
      </c>
      <c r="X158" s="485">
        <v>-2.2999999999999989</v>
      </c>
      <c r="Y158" s="485">
        <v>1.4135673890223193</v>
      </c>
      <c r="Z158" s="485">
        <v>-0.1</v>
      </c>
      <c r="AA158" s="485">
        <v>2.9958927277120075</v>
      </c>
    </row>
    <row r="159" spans="1:27" s="500" customFormat="1">
      <c r="A159" s="482"/>
      <c r="B159" s="483" t="s">
        <v>141</v>
      </c>
      <c r="C159" s="484">
        <v>10</v>
      </c>
      <c r="D159" s="485">
        <v>0.67010490123846289</v>
      </c>
      <c r="E159" s="485">
        <v>7.2992700729927007</v>
      </c>
      <c r="F159" s="485">
        <v>-5.2884615384615454</v>
      </c>
      <c r="G159" s="485">
        <v>9.9393698439518938E-2</v>
      </c>
      <c r="H159" s="485">
        <v>-2.4390243902439024</v>
      </c>
      <c r="I159" s="485">
        <v>-2</v>
      </c>
      <c r="J159" s="485">
        <v>-3.7000000000000028</v>
      </c>
      <c r="K159" s="485"/>
      <c r="L159" s="485">
        <v>0</v>
      </c>
      <c r="M159" s="485">
        <v>1.3057171697042331</v>
      </c>
      <c r="N159" s="485">
        <v>0.80971659919028038</v>
      </c>
      <c r="O159" s="485">
        <v>-3.0291835980790496</v>
      </c>
      <c r="P159" s="485">
        <v>1.6528925619834667</v>
      </c>
      <c r="Q159" s="485">
        <v>4.8026048026047956</v>
      </c>
      <c r="R159" s="485">
        <v>-1.5</v>
      </c>
      <c r="S159" s="485">
        <v>-3.3328218505447404</v>
      </c>
      <c r="T159" s="485"/>
      <c r="U159" s="485">
        <v>0</v>
      </c>
      <c r="V159" s="485">
        <v>-9.6579476861167084</v>
      </c>
      <c r="W159" s="485">
        <v>0</v>
      </c>
      <c r="X159" s="485">
        <v>7.8999999999999995</v>
      </c>
      <c r="Y159" s="485">
        <v>-6.6901289296470505</v>
      </c>
      <c r="Z159" s="485">
        <v>-0.39999999999999997</v>
      </c>
      <c r="AA159" s="485">
        <v>-3.7885954061461553</v>
      </c>
    </row>
    <row r="160" spans="1:27" s="500" customFormat="1">
      <c r="A160" s="482"/>
      <c r="B160" s="483" t="s">
        <v>141</v>
      </c>
      <c r="C160" s="484">
        <v>11</v>
      </c>
      <c r="D160" s="485">
        <v>4.8183726048900439</v>
      </c>
      <c r="E160" s="485">
        <v>-0.94339622641509435</v>
      </c>
      <c r="F160" s="485">
        <v>9.8591549295774712</v>
      </c>
      <c r="G160" s="485">
        <v>0.83102493074792239</v>
      </c>
      <c r="H160" s="485">
        <v>5.9880239520958085</v>
      </c>
      <c r="I160" s="485">
        <v>-10</v>
      </c>
      <c r="J160" s="485">
        <v>-3.5999999999999943</v>
      </c>
      <c r="K160" s="485"/>
      <c r="L160" s="485">
        <v>-1.0000000000000009E-2</v>
      </c>
      <c r="M160" s="485">
        <v>-0.31123775201852227</v>
      </c>
      <c r="N160" s="485">
        <v>0</v>
      </c>
      <c r="O160" s="485">
        <v>8.5457809694793365</v>
      </c>
      <c r="P160" s="485">
        <v>2.6194144838212678</v>
      </c>
      <c r="Q160" s="485">
        <v>-0.23875845602864873</v>
      </c>
      <c r="R160" s="485">
        <v>-0.79999999999999716</v>
      </c>
      <c r="S160" s="485">
        <v>1.4499938034452902</v>
      </c>
      <c r="T160" s="485"/>
      <c r="U160" s="485">
        <v>0.18709073900842174</v>
      </c>
      <c r="V160" s="485">
        <v>14.691478942213516</v>
      </c>
      <c r="W160" s="485">
        <v>0</v>
      </c>
      <c r="X160" s="485">
        <v>-1.2</v>
      </c>
      <c r="Y160" s="485">
        <v>6.3742555436138106</v>
      </c>
      <c r="Z160" s="485">
        <v>0.19999999999999996</v>
      </c>
      <c r="AA160" s="485">
        <v>0.32581329910647722</v>
      </c>
    </row>
    <row r="161" spans="1:27" s="500" customFormat="1">
      <c r="A161" s="486"/>
      <c r="B161" s="487" t="s">
        <v>141</v>
      </c>
      <c r="C161" s="488">
        <v>12</v>
      </c>
      <c r="D161" s="489">
        <v>-0.25523609338638542</v>
      </c>
      <c r="E161" s="489">
        <v>-1.1439466158245974</v>
      </c>
      <c r="F161" s="489">
        <v>-1.124859392575928</v>
      </c>
      <c r="G161" s="489">
        <v>8.128544423440454</v>
      </c>
      <c r="H161" s="489">
        <v>-17.721518987341771</v>
      </c>
      <c r="I161" s="489">
        <v>8</v>
      </c>
      <c r="J161" s="489">
        <v>-3.7000000000000028</v>
      </c>
      <c r="K161" s="489"/>
      <c r="L161" s="489">
        <v>0</v>
      </c>
      <c r="M161" s="489">
        <v>2.290235980520626</v>
      </c>
      <c r="N161" s="489">
        <v>-1.6260162601626102</v>
      </c>
      <c r="O161" s="489">
        <v>-1.1080332409972262</v>
      </c>
      <c r="P161" s="489">
        <v>1.7338861666038532</v>
      </c>
      <c r="Q161" s="489">
        <v>2.7504911591355601</v>
      </c>
      <c r="R161" s="489">
        <v>-1.2000000000000028</v>
      </c>
      <c r="S161" s="489">
        <v>-18.694292152971652</v>
      </c>
      <c r="T161" s="489"/>
      <c r="U161" s="489">
        <v>-0.46838407494145201</v>
      </c>
      <c r="V161" s="489">
        <v>-1.1009174311926502</v>
      </c>
      <c r="W161" s="489">
        <v>9.9999999999999645E-2</v>
      </c>
      <c r="X161" s="489">
        <v>-2.9000000000000004</v>
      </c>
      <c r="Y161" s="489">
        <v>25.141918993691426</v>
      </c>
      <c r="Z161" s="489">
        <v>0.10000000000000003</v>
      </c>
      <c r="AA161" s="489">
        <v>1.5114089363887642</v>
      </c>
    </row>
    <row r="162" spans="1:27" s="500" customFormat="1">
      <c r="A162" s="490" t="s">
        <v>350</v>
      </c>
      <c r="B162" s="491">
        <v>2001</v>
      </c>
      <c r="C162" s="492">
        <v>1</v>
      </c>
      <c r="D162" s="493">
        <v>-8.4667415319526818</v>
      </c>
      <c r="E162" s="493">
        <v>-17.235095027336627</v>
      </c>
      <c r="F162" s="493">
        <v>-27.688345138441722</v>
      </c>
      <c r="G162" s="493">
        <v>-6.8965517241379306</v>
      </c>
      <c r="H162" s="493">
        <v>11.652794292508919</v>
      </c>
      <c r="I162" s="493">
        <v>-4</v>
      </c>
      <c r="J162" s="493">
        <v>-1</v>
      </c>
      <c r="K162" s="493"/>
      <c r="L162" s="493">
        <v>-1.0000000000000009E-2</v>
      </c>
      <c r="M162" s="493">
        <v>-0.58826765755204469</v>
      </c>
      <c r="N162" s="493">
        <v>-3.3333333333333215</v>
      </c>
      <c r="O162" s="493">
        <v>12.838057999348335</v>
      </c>
      <c r="P162" s="493">
        <v>-9.471624266144822</v>
      </c>
      <c r="Q162" s="493">
        <v>-18.736752861381937</v>
      </c>
      <c r="R162" s="493">
        <v>8.3000000000000114</v>
      </c>
      <c r="S162" s="493">
        <v>34.50816652339433</v>
      </c>
      <c r="T162" s="493"/>
      <c r="U162" s="493">
        <v>0</v>
      </c>
      <c r="V162" s="493">
        <v>26.906187624750491</v>
      </c>
      <c r="W162" s="493">
        <v>0</v>
      </c>
      <c r="X162" s="493">
        <v>1.5000000000000004</v>
      </c>
      <c r="Y162" s="493">
        <v>-19.817251624254759</v>
      </c>
      <c r="Z162" s="493">
        <v>-0.3</v>
      </c>
      <c r="AA162" s="493">
        <v>-9.4405327775094694</v>
      </c>
    </row>
    <row r="163" spans="1:27" s="500" customFormat="1">
      <c r="A163" s="482"/>
      <c r="B163" s="483" t="s">
        <v>141</v>
      </c>
      <c r="C163" s="484">
        <v>2</v>
      </c>
      <c r="D163" s="485">
        <v>-3.9620665041298535</v>
      </c>
      <c r="E163" s="485">
        <v>6.6115702479338845</v>
      </c>
      <c r="F163" s="485">
        <v>-21.157024793388437</v>
      </c>
      <c r="G163" s="485">
        <v>1.1609907120743035</v>
      </c>
      <c r="H163" s="485">
        <v>0.89485458612975388</v>
      </c>
      <c r="I163" s="485">
        <v>1</v>
      </c>
      <c r="J163" s="485">
        <v>-1</v>
      </c>
      <c r="K163" s="485"/>
      <c r="L163" s="485">
        <v>-3.0000000000000027E-2</v>
      </c>
      <c r="M163" s="485">
        <v>4.048906262995918</v>
      </c>
      <c r="N163" s="485">
        <v>0.8438818565400813</v>
      </c>
      <c r="O163" s="485">
        <v>12.997423418265097</v>
      </c>
      <c r="P163" s="485">
        <v>6.1330147351652737</v>
      </c>
      <c r="Q163" s="485">
        <v>-1.4130946773433819</v>
      </c>
      <c r="R163" s="485">
        <v>-6.3000000000000114</v>
      </c>
      <c r="S163" s="485">
        <v>-31.557886440112775</v>
      </c>
      <c r="T163" s="485"/>
      <c r="U163" s="485">
        <v>-0.56497175141242406</v>
      </c>
      <c r="V163" s="485">
        <v>15.334632878492528</v>
      </c>
      <c r="W163" s="485">
        <v>-9.9999999999999645E-2</v>
      </c>
      <c r="X163" s="485">
        <v>-2.5000000000000004</v>
      </c>
      <c r="Y163" s="485">
        <v>4.662296950698205</v>
      </c>
      <c r="Z163" s="485">
        <v>-0.20000000000000007</v>
      </c>
      <c r="AA163" s="485">
        <v>4.4857083246401004</v>
      </c>
    </row>
    <row r="164" spans="1:27" s="500" customFormat="1">
      <c r="A164" s="482"/>
      <c r="B164" s="483" t="s">
        <v>141</v>
      </c>
      <c r="C164" s="484">
        <v>3</v>
      </c>
      <c r="D164" s="485">
        <v>-1.5669977314752999</v>
      </c>
      <c r="E164" s="485">
        <v>5.7498057498057475</v>
      </c>
      <c r="F164" s="485">
        <v>-9.4869312681510127</v>
      </c>
      <c r="G164" s="485">
        <v>-0.19256691700365877</v>
      </c>
      <c r="H164" s="485">
        <v>5.2060737527114966</v>
      </c>
      <c r="I164" s="485">
        <v>8</v>
      </c>
      <c r="J164" s="485">
        <v>-1</v>
      </c>
      <c r="K164" s="485"/>
      <c r="L164" s="485">
        <v>-2.9999999999999916E-2</v>
      </c>
      <c r="M164" s="485">
        <v>1.9535980108820254</v>
      </c>
      <c r="N164" s="485">
        <v>2.4896265560165887</v>
      </c>
      <c r="O164" s="485">
        <v>-6.2655946770169182</v>
      </c>
      <c r="P164" s="485">
        <v>1.8376722817764206</v>
      </c>
      <c r="Q164" s="485">
        <v>3.3582089552238754</v>
      </c>
      <c r="R164" s="485">
        <v>-3</v>
      </c>
      <c r="S164" s="485">
        <v>8.3669598206587477</v>
      </c>
      <c r="T164" s="485"/>
      <c r="U164" s="485">
        <v>-0.56818181818182634</v>
      </c>
      <c r="V164" s="485">
        <v>-10.814249363867685</v>
      </c>
      <c r="W164" s="485">
        <v>9.9999999999999645E-2</v>
      </c>
      <c r="X164" s="485">
        <v>6</v>
      </c>
      <c r="Y164" s="485">
        <v>-19.424856091807928</v>
      </c>
      <c r="Z164" s="485">
        <v>0</v>
      </c>
      <c r="AA164" s="485">
        <v>15.206222012726851</v>
      </c>
    </row>
    <row r="165" spans="1:27" s="500" customFormat="1">
      <c r="A165" s="482"/>
      <c r="B165" s="483" t="s">
        <v>141</v>
      </c>
      <c r="C165" s="484">
        <v>4</v>
      </c>
      <c r="D165" s="485">
        <v>3.4126856721970897</v>
      </c>
      <c r="E165" s="485">
        <v>-8.5586768180624748</v>
      </c>
      <c r="F165" s="485">
        <v>36.951118475559227</v>
      </c>
      <c r="G165" s="485">
        <v>3.0558982632627885</v>
      </c>
      <c r="H165" s="485">
        <v>-1.490947816826411</v>
      </c>
      <c r="I165" s="485">
        <v>-3</v>
      </c>
      <c r="J165" s="485">
        <v>-3.2999999999999972</v>
      </c>
      <c r="K165" s="485"/>
      <c r="L165" s="485">
        <v>0</v>
      </c>
      <c r="M165" s="485">
        <v>3.0359336125720433</v>
      </c>
      <c r="N165" s="485">
        <v>-9.4420600858369088</v>
      </c>
      <c r="O165" s="485">
        <v>-27.993474714518747</v>
      </c>
      <c r="P165" s="485">
        <v>-7.1512770137524626</v>
      </c>
      <c r="Q165" s="485">
        <v>6.9942452412571985</v>
      </c>
      <c r="R165" s="485">
        <v>6.9000000000000057</v>
      </c>
      <c r="S165" s="485">
        <v>27.432162239360174</v>
      </c>
      <c r="T165" s="485"/>
      <c r="U165" s="485">
        <v>2.7166276346604268</v>
      </c>
      <c r="V165" s="485">
        <v>-37.066560382622548</v>
      </c>
      <c r="W165" s="485">
        <v>0</v>
      </c>
      <c r="X165" s="485">
        <v>-1.3</v>
      </c>
      <c r="Y165" s="485">
        <v>1.8326967526187237</v>
      </c>
      <c r="Z165" s="485">
        <v>0.10000000000000009</v>
      </c>
      <c r="AA165" s="485">
        <v>-63.73981861244296</v>
      </c>
    </row>
    <row r="166" spans="1:27" s="500" customFormat="1">
      <c r="A166" s="482"/>
      <c r="B166" s="483" t="s">
        <v>141</v>
      </c>
      <c r="C166" s="484">
        <v>5</v>
      </c>
      <c r="D166" s="485">
        <v>-8.0792859626753177</v>
      </c>
      <c r="E166" s="485">
        <v>2.5988088792636619</v>
      </c>
      <c r="F166" s="485">
        <v>4.5112781954887176</v>
      </c>
      <c r="G166" s="485">
        <v>0.29867463132350197</v>
      </c>
      <c r="H166" s="485">
        <v>-5.286343612334802</v>
      </c>
      <c r="I166" s="485">
        <v>1</v>
      </c>
      <c r="J166" s="485">
        <v>-3.4000000000000057</v>
      </c>
      <c r="K166" s="485"/>
      <c r="L166" s="485">
        <v>-2.0000000000000018E-2</v>
      </c>
      <c r="M166" s="485">
        <v>-3.310456833582331</v>
      </c>
      <c r="N166" s="485">
        <v>-2.7397260273972508</v>
      </c>
      <c r="O166" s="485">
        <v>9.7437748105377118</v>
      </c>
      <c r="P166" s="485">
        <v>-5.4416073670992047</v>
      </c>
      <c r="Q166" s="485">
        <v>-21.087470449172585</v>
      </c>
      <c r="R166" s="485">
        <v>5.4000000000000057</v>
      </c>
      <c r="S166" s="485">
        <v>0.28593644184705141</v>
      </c>
      <c r="T166" s="485"/>
      <c r="U166" s="485">
        <v>0.2768804799261626</v>
      </c>
      <c r="V166" s="485">
        <v>13.503649635036496</v>
      </c>
      <c r="W166" s="485">
        <v>0.10000000000000053</v>
      </c>
      <c r="X166" s="485">
        <v>-3.5</v>
      </c>
      <c r="Y166" s="485">
        <v>-4.2568722108860468</v>
      </c>
      <c r="Z166" s="485">
        <v>-0.10000000000000009</v>
      </c>
      <c r="AA166" s="485">
        <v>68.897287683414845</v>
      </c>
    </row>
    <row r="167" spans="1:27" s="500" customFormat="1">
      <c r="A167" s="482"/>
      <c r="B167" s="483" t="s">
        <v>141</v>
      </c>
      <c r="C167" s="484">
        <v>6</v>
      </c>
      <c r="D167" s="485">
        <v>2.4086799996021893</v>
      </c>
      <c r="E167" s="485">
        <v>0.95744680851064434</v>
      </c>
      <c r="F167" s="485">
        <v>6.4683053040103493</v>
      </c>
      <c r="G167" s="485">
        <v>-1.6348773841961852</v>
      </c>
      <c r="H167" s="485">
        <v>4.4247787610619467</v>
      </c>
      <c r="I167" s="485">
        <v>2</v>
      </c>
      <c r="J167" s="485">
        <v>-3.2999999999999972</v>
      </c>
      <c r="K167" s="485"/>
      <c r="L167" s="485">
        <v>-3.0000000000000027E-2</v>
      </c>
      <c r="M167" s="485">
        <v>2.1577855933513903</v>
      </c>
      <c r="N167" s="485">
        <v>-2.8169014084507107</v>
      </c>
      <c r="O167" s="485">
        <v>-9.7437748105377118</v>
      </c>
      <c r="P167" s="485">
        <v>-3.5917652212001827</v>
      </c>
      <c r="Q167" s="485">
        <v>1.6771488469601765</v>
      </c>
      <c r="R167" s="485">
        <v>3.5</v>
      </c>
      <c r="S167" s="485">
        <v>11.104014382702909</v>
      </c>
      <c r="T167" s="485"/>
      <c r="U167" s="485">
        <v>-0.2768804799261626</v>
      </c>
      <c r="V167" s="485">
        <v>-15.469613259668508</v>
      </c>
      <c r="W167" s="485">
        <v>9.9999999999999645E-2</v>
      </c>
      <c r="X167" s="485">
        <v>0.5</v>
      </c>
      <c r="Y167" s="485">
        <v>-4.4026722185650531</v>
      </c>
      <c r="Z167" s="485">
        <v>0.30000000000000004</v>
      </c>
      <c r="AA167" s="485">
        <v>-6.4301410193501507</v>
      </c>
    </row>
    <row r="168" spans="1:27" s="500" customFormat="1">
      <c r="A168" s="482"/>
      <c r="B168" s="483" t="s">
        <v>141</v>
      </c>
      <c r="C168" s="484">
        <v>7</v>
      </c>
      <c r="D168" s="485">
        <v>-6.673571762220992</v>
      </c>
      <c r="E168" s="485">
        <v>-8.7292817679558077</v>
      </c>
      <c r="F168" s="485">
        <v>-32.483612527312445</v>
      </c>
      <c r="G168" s="485">
        <v>-0.13271400132714001</v>
      </c>
      <c r="H168" s="485">
        <v>13.709677419354838</v>
      </c>
      <c r="I168" s="485">
        <v>-9</v>
      </c>
      <c r="J168" s="485">
        <v>-9</v>
      </c>
      <c r="K168" s="485"/>
      <c r="L168" s="485">
        <v>-3.999999999999998E-2</v>
      </c>
      <c r="M168" s="485">
        <v>2.2664691327381377</v>
      </c>
      <c r="N168" s="485">
        <v>1.886792452830182</v>
      </c>
      <c r="O168" s="485">
        <v>-26.850258175559397</v>
      </c>
      <c r="P168" s="485">
        <v>-10.714285714285705</v>
      </c>
      <c r="Q168" s="485">
        <v>-1.8887722980062926</v>
      </c>
      <c r="R168" s="485">
        <v>12.799999999999997</v>
      </c>
      <c r="S168" s="485">
        <v>-44.4194900167073</v>
      </c>
      <c r="T168" s="485"/>
      <c r="U168" s="485">
        <v>-0.27764923646459705</v>
      </c>
      <c r="V168" s="485">
        <v>-38.571428571428577</v>
      </c>
      <c r="W168" s="485">
        <v>0</v>
      </c>
      <c r="X168" s="485">
        <v>0.80000000000000027</v>
      </c>
      <c r="Y168" s="485">
        <v>-6.3997208119718483</v>
      </c>
      <c r="Z168" s="485">
        <v>-0.8</v>
      </c>
      <c r="AA168" s="485">
        <v>-32.419693631845902</v>
      </c>
    </row>
    <row r="169" spans="1:27" s="500" customFormat="1">
      <c r="A169" s="482"/>
      <c r="B169" s="483" t="s">
        <v>141</v>
      </c>
      <c r="C169" s="484">
        <v>8</v>
      </c>
      <c r="D169" s="485">
        <v>-1.6865121403449375</v>
      </c>
      <c r="E169" s="485">
        <v>-4.1273584905660377</v>
      </c>
      <c r="F169" s="485">
        <v>-7.2072072072072073</v>
      </c>
      <c r="G169" s="485">
        <v>-0.39920159680638723</v>
      </c>
      <c r="H169" s="485">
        <v>-18.444100978876868</v>
      </c>
      <c r="I169" s="485">
        <v>4</v>
      </c>
      <c r="J169" s="485">
        <v>-9</v>
      </c>
      <c r="K169" s="485"/>
      <c r="L169" s="485">
        <v>-3.0000000000000027E-2</v>
      </c>
      <c r="M169" s="485">
        <v>4.5217391304347885</v>
      </c>
      <c r="N169" s="485">
        <v>-4.7846889952153111</v>
      </c>
      <c r="O169" s="485">
        <v>5.2274927395934228</v>
      </c>
      <c r="P169" s="485">
        <v>-5.5102040816326587</v>
      </c>
      <c r="Q169" s="485">
        <v>-13.695529145444267</v>
      </c>
      <c r="R169" s="485">
        <v>6.3999999999999915</v>
      </c>
      <c r="S169" s="485">
        <v>16.536399457399394</v>
      </c>
      <c r="T169" s="485"/>
      <c r="U169" s="485">
        <v>-0.27842227378191309</v>
      </c>
      <c r="V169" s="485">
        <v>11.666666666666675</v>
      </c>
      <c r="W169" s="485">
        <v>9.9999999999999645E-2</v>
      </c>
      <c r="X169" s="485">
        <v>-2.1</v>
      </c>
      <c r="Y169" s="485">
        <v>-0.52429828200224793</v>
      </c>
      <c r="Z169" s="485">
        <v>-9.9999999999999867E-2</v>
      </c>
      <c r="AA169" s="485">
        <v>15.681965457977627</v>
      </c>
    </row>
    <row r="170" spans="1:27" s="500" customFormat="1">
      <c r="A170" s="482"/>
      <c r="B170" s="483" t="s">
        <v>141</v>
      </c>
      <c r="C170" s="484">
        <v>9</v>
      </c>
      <c r="D170" s="485">
        <v>-0.44328804085958945</v>
      </c>
      <c r="E170" s="485">
        <v>14.205816554809845</v>
      </c>
      <c r="F170" s="485">
        <v>50.349650349650346</v>
      </c>
      <c r="G170" s="485">
        <v>-2.0396382528381758</v>
      </c>
      <c r="H170" s="485">
        <v>-8.7677725118483405</v>
      </c>
      <c r="I170" s="485">
        <v>-2</v>
      </c>
      <c r="J170" s="485">
        <v>-9</v>
      </c>
      <c r="K170" s="485"/>
      <c r="L170" s="485">
        <v>-1.9999999999999962E-2</v>
      </c>
      <c r="M170" s="485">
        <v>3.1508050173341093</v>
      </c>
      <c r="N170" s="485">
        <v>-1.9801980198019733</v>
      </c>
      <c r="O170" s="485">
        <v>13.626373626373626</v>
      </c>
      <c r="P170" s="485">
        <v>10.253857640617221</v>
      </c>
      <c r="Q170" s="485">
        <v>6.8075117370892002</v>
      </c>
      <c r="R170" s="485">
        <v>-13.699999999999989</v>
      </c>
      <c r="S170" s="485">
        <v>74.526977710403699</v>
      </c>
      <c r="T170" s="485"/>
      <c r="U170" s="485">
        <v>-0.1860465116278964</v>
      </c>
      <c r="V170" s="485">
        <v>13.235294117647056</v>
      </c>
      <c r="W170" s="485">
        <v>0.20000000000000018</v>
      </c>
      <c r="X170" s="485">
        <v>1.2000000000000002</v>
      </c>
      <c r="Y170" s="485">
        <v>-0.40257314795600746</v>
      </c>
      <c r="Z170" s="485">
        <v>0</v>
      </c>
      <c r="AA170" s="485">
        <v>-13.462718197534988</v>
      </c>
    </row>
    <row r="171" spans="1:27" s="500" customFormat="1">
      <c r="A171" s="482"/>
      <c r="B171" s="483" t="s">
        <v>141</v>
      </c>
      <c r="C171" s="484">
        <v>10</v>
      </c>
      <c r="D171" s="485">
        <v>1.691831327608772</v>
      </c>
      <c r="E171" s="485">
        <v>2.9328531000771747</v>
      </c>
      <c r="F171" s="485">
        <v>-37.873754152823921</v>
      </c>
      <c r="G171" s="485">
        <v>-3.7833019708824405</v>
      </c>
      <c r="H171" s="485">
        <v>37.216338880484116</v>
      </c>
      <c r="I171" s="485">
        <v>2</v>
      </c>
      <c r="J171" s="485">
        <v>1.3000000000000007</v>
      </c>
      <c r="K171" s="485"/>
      <c r="L171" s="485">
        <v>-2.0000000000000018E-2</v>
      </c>
      <c r="M171" s="485">
        <v>4.1709121131717275</v>
      </c>
      <c r="N171" s="485">
        <v>-6.185567010309275</v>
      </c>
      <c r="O171" s="485">
        <v>-23.345588235294123</v>
      </c>
      <c r="P171" s="485">
        <v>-4.651162790697672</v>
      </c>
      <c r="Q171" s="485">
        <v>5.4113749309773667</v>
      </c>
      <c r="R171" s="485">
        <v>7</v>
      </c>
      <c r="S171" s="485">
        <v>-75.181030278017474</v>
      </c>
      <c r="T171" s="485"/>
      <c r="U171" s="485">
        <v>0</v>
      </c>
      <c r="V171" s="485">
        <v>-45.416078984485196</v>
      </c>
      <c r="W171" s="485">
        <v>0</v>
      </c>
      <c r="X171" s="485">
        <v>-8.3000000000000007</v>
      </c>
      <c r="Y171" s="485">
        <v>9.9798164714714215</v>
      </c>
      <c r="Z171" s="485">
        <v>0.59999999999999987</v>
      </c>
      <c r="AA171" s="485">
        <v>-10.762444864524271</v>
      </c>
    </row>
    <row r="172" spans="1:27" s="500" customFormat="1">
      <c r="A172" s="482"/>
      <c r="B172" s="483" t="s">
        <v>141</v>
      </c>
      <c r="C172" s="484">
        <v>11</v>
      </c>
      <c r="D172" s="485">
        <v>-4.8347183349722771</v>
      </c>
      <c r="E172" s="485">
        <v>0.50581689428426913</v>
      </c>
      <c r="F172" s="485">
        <v>-18.637992831541215</v>
      </c>
      <c r="G172" s="485">
        <v>-1.9571865443425076</v>
      </c>
      <c r="H172" s="485">
        <v>-41.97530864197531</v>
      </c>
      <c r="I172" s="485">
        <v>3</v>
      </c>
      <c r="J172" s="485">
        <v>1.3999999999999986</v>
      </c>
      <c r="K172" s="485"/>
      <c r="L172" s="485">
        <v>-1.0000000000000009E-2</v>
      </c>
      <c r="M172" s="485">
        <v>6.3345669971830292</v>
      </c>
      <c r="N172" s="485">
        <v>4.1666666666666696</v>
      </c>
      <c r="O172" s="485">
        <v>-5.781584582441103</v>
      </c>
      <c r="P172" s="485">
        <v>-3.8422649140545975</v>
      </c>
      <c r="Q172" s="485">
        <v>-6.208425720620836</v>
      </c>
      <c r="R172" s="485">
        <v>2.5</v>
      </c>
      <c r="S172" s="485">
        <v>14.331956691595041</v>
      </c>
      <c r="T172" s="485"/>
      <c r="U172" s="485">
        <v>-0.46663555762949133</v>
      </c>
      <c r="V172" s="485">
        <v>-13.022351797861992</v>
      </c>
      <c r="W172" s="485">
        <v>0.10000000000000053</v>
      </c>
      <c r="X172" s="485">
        <v>8.1</v>
      </c>
      <c r="Y172" s="485">
        <v>-2.4349868664344156</v>
      </c>
      <c r="Z172" s="485">
        <v>-0.8</v>
      </c>
      <c r="AA172" s="485">
        <v>13.922364385513806</v>
      </c>
    </row>
    <row r="173" spans="1:27" s="500" customFormat="1">
      <c r="A173" s="494"/>
      <c r="B173" s="495" t="s">
        <v>141</v>
      </c>
      <c r="C173" s="496">
        <v>12</v>
      </c>
      <c r="D173" s="497">
        <v>3.2357523396559422</v>
      </c>
      <c r="E173" s="497">
        <v>-4.6991995868835508</v>
      </c>
      <c r="F173" s="497">
        <v>-46.52862362971986</v>
      </c>
      <c r="G173" s="497">
        <v>7.5864118054867786</v>
      </c>
      <c r="H173" s="497">
        <v>27.609427609427609</v>
      </c>
      <c r="I173" s="497">
        <v>-7</v>
      </c>
      <c r="J173" s="497">
        <v>1.3000000000000007</v>
      </c>
      <c r="K173" s="497"/>
      <c r="L173" s="497">
        <v>-1.0000000000000009E-2</v>
      </c>
      <c r="M173" s="497">
        <v>3.4500744688205018</v>
      </c>
      <c r="N173" s="497">
        <v>3.9999999999999858</v>
      </c>
      <c r="O173" s="497">
        <v>-5.3197509903791769</v>
      </c>
      <c r="P173" s="497">
        <v>-7.4866310160427805</v>
      </c>
      <c r="Q173" s="497">
        <v>-8.4675014907573161</v>
      </c>
      <c r="R173" s="497">
        <v>10.599999999999994</v>
      </c>
      <c r="S173" s="497">
        <v>-14.565466379864237</v>
      </c>
      <c r="T173" s="497"/>
      <c r="U173" s="497">
        <v>-9.3589143659343496E-2</v>
      </c>
      <c r="V173" s="497">
        <v>-5.9957173447537571</v>
      </c>
      <c r="W173" s="497">
        <v>0</v>
      </c>
      <c r="X173" s="497">
        <v>-1.2999999999999998</v>
      </c>
      <c r="Y173" s="497">
        <v>8.9077949730352906</v>
      </c>
      <c r="Z173" s="497">
        <v>0.30000000000000004</v>
      </c>
      <c r="AA173" s="497">
        <v>18.936990324356934</v>
      </c>
    </row>
    <row r="174" spans="1:27" s="500" customFormat="1">
      <c r="A174" s="478" t="s">
        <v>351</v>
      </c>
      <c r="B174" s="479">
        <v>2002</v>
      </c>
      <c r="C174" s="480">
        <v>1</v>
      </c>
      <c r="D174" s="481">
        <v>-0.76412281929033432</v>
      </c>
      <c r="E174" s="481">
        <v>-22.143906020557999</v>
      </c>
      <c r="F174" s="481">
        <v>-39.08918406072106</v>
      </c>
      <c r="G174" s="481">
        <v>-9.2860708936595113</v>
      </c>
      <c r="H174" s="481">
        <v>-19.837398373983739</v>
      </c>
      <c r="I174" s="481">
        <v>3</v>
      </c>
      <c r="J174" s="481">
        <v>1.2999999999999972</v>
      </c>
      <c r="K174" s="481"/>
      <c r="L174" s="481">
        <v>0</v>
      </c>
      <c r="M174" s="481">
        <v>1.8011178930226621</v>
      </c>
      <c r="N174" s="481">
        <v>14.545454545454559</v>
      </c>
      <c r="O174" s="481">
        <v>-3.069657615112154</v>
      </c>
      <c r="P174" s="481">
        <v>-5.9496567505720845</v>
      </c>
      <c r="Q174" s="481">
        <v>-2.5220680958385877</v>
      </c>
      <c r="R174" s="481">
        <v>1.0999999999999943</v>
      </c>
      <c r="S174" s="481">
        <v>4.3273198915222313</v>
      </c>
      <c r="T174" s="481"/>
      <c r="U174" s="481">
        <v>-1.0352941176470534</v>
      </c>
      <c r="V174" s="481">
        <v>16.784630940343789</v>
      </c>
      <c r="W174" s="481">
        <v>-0.20000000000000018</v>
      </c>
      <c r="X174" s="481">
        <v>-0.29999999999999982</v>
      </c>
      <c r="Y174" s="481">
        <v>-5.8980616677434341</v>
      </c>
      <c r="Z174" s="481">
        <v>0</v>
      </c>
      <c r="AA174" s="481">
        <v>-1.6373252191552607</v>
      </c>
    </row>
    <row r="175" spans="1:27" s="500" customFormat="1">
      <c r="A175" s="482"/>
      <c r="B175" s="483" t="s">
        <v>141</v>
      </c>
      <c r="C175" s="484">
        <v>2</v>
      </c>
      <c r="D175" s="485">
        <v>3.283496445535401</v>
      </c>
      <c r="E175" s="485">
        <v>10.097209156475381</v>
      </c>
      <c r="F175" s="485">
        <v>21.473684210526322</v>
      </c>
      <c r="G175" s="485">
        <v>2.3388181724102246</v>
      </c>
      <c r="H175" s="485">
        <v>-6.845052893590541</v>
      </c>
      <c r="I175" s="485">
        <v>3</v>
      </c>
      <c r="J175" s="485">
        <v>1.4000000000000057</v>
      </c>
      <c r="K175" s="485"/>
      <c r="L175" s="485">
        <v>0</v>
      </c>
      <c r="M175" s="485">
        <v>0.10976049774262403</v>
      </c>
      <c r="N175" s="485">
        <v>4.1493775933609953</v>
      </c>
      <c r="O175" s="485">
        <v>11.525423728813546</v>
      </c>
      <c r="P175" s="485">
        <v>6.9436539556061581</v>
      </c>
      <c r="Q175" s="485">
        <v>5.8276503409795444</v>
      </c>
      <c r="R175" s="485">
        <v>-9.5999999999999943</v>
      </c>
      <c r="S175" s="485">
        <v>-4.0206033848418059</v>
      </c>
      <c r="T175" s="485"/>
      <c r="U175" s="485">
        <v>-9.4652153336496472E-2</v>
      </c>
      <c r="V175" s="485">
        <v>12.751091703056765</v>
      </c>
      <c r="W175" s="485">
        <v>9.9999999999999645E-2</v>
      </c>
      <c r="X175" s="485">
        <v>0.5</v>
      </c>
      <c r="Y175" s="485">
        <v>-0.26006665573949628</v>
      </c>
      <c r="Z175" s="485">
        <v>0.10000000000000009</v>
      </c>
      <c r="AA175" s="485">
        <v>-26.025700998871802</v>
      </c>
    </row>
    <row r="176" spans="1:27" s="500" customFormat="1">
      <c r="A176" s="482"/>
      <c r="B176" s="483" t="s">
        <v>141</v>
      </c>
      <c r="C176" s="484">
        <v>3</v>
      </c>
      <c r="D176" s="485">
        <v>8.2703601996431964</v>
      </c>
      <c r="E176" s="485">
        <v>0.71386079714455009</v>
      </c>
      <c r="F176" s="485">
        <v>24.373956594323875</v>
      </c>
      <c r="G176" s="485">
        <v>2.4850995050005049</v>
      </c>
      <c r="H176" s="485">
        <v>10.500610500610501</v>
      </c>
      <c r="I176" s="485">
        <v>1</v>
      </c>
      <c r="J176" s="485">
        <v>1.2999999999999972</v>
      </c>
      <c r="K176" s="485"/>
      <c r="L176" s="485">
        <v>2.0000000000000018E-2</v>
      </c>
      <c r="M176" s="485">
        <v>-1.6351271256347137</v>
      </c>
      <c r="N176" s="485">
        <v>-1.6393442622950909</v>
      </c>
      <c r="O176" s="485">
        <v>10.045662100456626</v>
      </c>
      <c r="P176" s="485">
        <v>19.642857142857139</v>
      </c>
      <c r="Q176" s="485">
        <v>30.957230142566196</v>
      </c>
      <c r="R176" s="485">
        <v>-23.299999999999997</v>
      </c>
      <c r="S176" s="485">
        <v>-9.6605579696454331</v>
      </c>
      <c r="T176" s="485"/>
      <c r="U176" s="485">
        <v>-0.28449502133712395</v>
      </c>
      <c r="V176" s="485">
        <v>17.39130434782609</v>
      </c>
      <c r="W176" s="485">
        <v>0</v>
      </c>
      <c r="X176" s="485">
        <v>-0.80000000000000071</v>
      </c>
      <c r="Y176" s="485">
        <v>6.4683773094055104</v>
      </c>
      <c r="Z176" s="485">
        <v>0</v>
      </c>
      <c r="AA176" s="485">
        <v>2.6347006305800118</v>
      </c>
    </row>
    <row r="177" spans="1:27" s="500" customFormat="1">
      <c r="A177" s="482"/>
      <c r="B177" s="483" t="s">
        <v>141</v>
      </c>
      <c r="C177" s="484">
        <v>4</v>
      </c>
      <c r="D177" s="485">
        <v>-2.3112045717846086</v>
      </c>
      <c r="E177" s="485">
        <v>-7.566902491541053</v>
      </c>
      <c r="F177" s="485">
        <v>-2.1052631578947456</v>
      </c>
      <c r="G177" s="485">
        <v>-5.3267772997336609</v>
      </c>
      <c r="H177" s="485">
        <v>1.1534025374855825</v>
      </c>
      <c r="I177" s="485">
        <v>0</v>
      </c>
      <c r="J177" s="485">
        <v>5.7000000000000028</v>
      </c>
      <c r="K177" s="485"/>
      <c r="L177" s="485">
        <v>0</v>
      </c>
      <c r="M177" s="485">
        <v>0.88688804111824171</v>
      </c>
      <c r="N177" s="485">
        <v>6.4000000000000057</v>
      </c>
      <c r="O177" s="485">
        <v>-16.187989556135769</v>
      </c>
      <c r="P177" s="485">
        <v>-12.578012481997128</v>
      </c>
      <c r="Q177" s="485">
        <v>-14.671083767155702</v>
      </c>
      <c r="R177" s="485">
        <v>16.099999999999994</v>
      </c>
      <c r="S177" s="485">
        <v>-8.5420547850686503</v>
      </c>
      <c r="T177" s="485"/>
      <c r="U177" s="485">
        <v>-0.4759638267491671</v>
      </c>
      <c r="V177" s="485">
        <v>-22.734254992319507</v>
      </c>
      <c r="W177" s="485">
        <v>0</v>
      </c>
      <c r="X177" s="485">
        <v>2.5000000000000004</v>
      </c>
      <c r="Y177" s="485">
        <v>-4.5318130398627536</v>
      </c>
      <c r="Z177" s="485">
        <v>0.19999999999999996</v>
      </c>
      <c r="AA177" s="485">
        <v>13.465904192649214</v>
      </c>
    </row>
    <row r="178" spans="1:27" s="500" customFormat="1">
      <c r="A178" s="482"/>
      <c r="B178" s="483" t="s">
        <v>141</v>
      </c>
      <c r="C178" s="484">
        <v>5</v>
      </c>
      <c r="D178" s="485">
        <v>-1.4963880288957616</v>
      </c>
      <c r="E178" s="485">
        <v>7.8033794162826355</v>
      </c>
      <c r="F178" s="485">
        <v>-3.4003091190108123</v>
      </c>
      <c r="G178" s="485">
        <v>2.0004167534903106</v>
      </c>
      <c r="H178" s="485">
        <v>-8.3632019115890088</v>
      </c>
      <c r="I178" s="485">
        <v>-8</v>
      </c>
      <c r="J178" s="485">
        <v>5.5999999999999943</v>
      </c>
      <c r="K178" s="485"/>
      <c r="L178" s="485">
        <v>0</v>
      </c>
      <c r="M178" s="485">
        <v>-2.1796363569023383</v>
      </c>
      <c r="N178" s="485">
        <v>2.2988505747126355</v>
      </c>
      <c r="O178" s="485">
        <v>15.416885159937078</v>
      </c>
      <c r="P178" s="485">
        <v>6.6369489846458674</v>
      </c>
      <c r="Q178" s="485">
        <v>2.3220595658758172</v>
      </c>
      <c r="R178" s="485">
        <v>-10.5</v>
      </c>
      <c r="S178" s="485">
        <v>17.423345176996968</v>
      </c>
      <c r="T178" s="485"/>
      <c r="U178" s="485">
        <v>-0.19102196752626827</v>
      </c>
      <c r="V178" s="485">
        <v>21.223857474825717</v>
      </c>
      <c r="W178" s="485">
        <v>0.10000000000000053</v>
      </c>
      <c r="X178" s="485">
        <v>4.5</v>
      </c>
      <c r="Y178" s="485">
        <v>6.3202776812781893</v>
      </c>
      <c r="Z178" s="485">
        <v>0.19999999999999996</v>
      </c>
      <c r="AA178" s="485">
        <v>-11.973519004679829</v>
      </c>
    </row>
    <row r="179" spans="1:27" s="500" customFormat="1">
      <c r="A179" s="482"/>
      <c r="B179" s="483" t="s">
        <v>141</v>
      </c>
      <c r="C179" s="484">
        <v>6</v>
      </c>
      <c r="D179" s="485">
        <v>-0.39669818881231322</v>
      </c>
      <c r="E179" s="485">
        <v>2.33781414377557</v>
      </c>
      <c r="F179" s="485">
        <v>30.851063829787226</v>
      </c>
      <c r="G179" s="485">
        <v>0.69901315789473684</v>
      </c>
      <c r="H179" s="485">
        <v>1.2391573729863692</v>
      </c>
      <c r="I179" s="485">
        <v>5</v>
      </c>
      <c r="J179" s="485">
        <v>5.7000000000000028</v>
      </c>
      <c r="K179" s="485"/>
      <c r="L179" s="485">
        <v>0</v>
      </c>
      <c r="M179" s="485">
        <v>-1.6124313867350264</v>
      </c>
      <c r="N179" s="485">
        <v>-0.76045627376425595</v>
      </c>
      <c r="O179" s="485">
        <v>-2.6640355204736093</v>
      </c>
      <c r="P179" s="485">
        <v>0.57361376673040976</v>
      </c>
      <c r="Q179" s="485">
        <v>5.8139534883720927</v>
      </c>
      <c r="R179" s="485">
        <v>-9.9999999999994316E-2</v>
      </c>
      <c r="S179" s="485">
        <v>-18.069029235134952</v>
      </c>
      <c r="T179" s="485"/>
      <c r="U179" s="485">
        <v>0.38167938931298251</v>
      </c>
      <c r="V179" s="485">
        <v>-6.5075921908893708</v>
      </c>
      <c r="W179" s="485">
        <v>9.9999999999999645E-2</v>
      </c>
      <c r="X179" s="485">
        <v>-2.4</v>
      </c>
      <c r="Y179" s="485">
        <v>0.14179766652237627</v>
      </c>
      <c r="Z179" s="485">
        <v>0.10000000000000009</v>
      </c>
      <c r="AA179" s="485">
        <v>-9.0946593469361829</v>
      </c>
    </row>
    <row r="180" spans="1:27" s="500" customFormat="1">
      <c r="A180" s="482"/>
      <c r="B180" s="483" t="s">
        <v>141</v>
      </c>
      <c r="C180" s="484">
        <v>7</v>
      </c>
      <c r="D180" s="485">
        <v>4.5686822617821514</v>
      </c>
      <c r="E180" s="485">
        <v>-1.1621150493898897</v>
      </c>
      <c r="F180" s="485">
        <v>-1.8604651162790631</v>
      </c>
      <c r="G180" s="485">
        <v>0.47010730710270821</v>
      </c>
      <c r="H180" s="485">
        <v>-9.5483870967741939</v>
      </c>
      <c r="I180" s="485">
        <v>5</v>
      </c>
      <c r="J180" s="485">
        <v>2</v>
      </c>
      <c r="K180" s="485"/>
      <c r="L180" s="485">
        <v>1.0000000000000009E-2</v>
      </c>
      <c r="M180" s="485">
        <v>-3.1149156538037936</v>
      </c>
      <c r="N180" s="485">
        <v>2.2641509433962317</v>
      </c>
      <c r="O180" s="485">
        <v>-11.193241816261875</v>
      </c>
      <c r="P180" s="485">
        <v>0</v>
      </c>
      <c r="Q180" s="485">
        <v>6.9090909090909038</v>
      </c>
      <c r="R180" s="485">
        <v>-0.79999999999999716</v>
      </c>
      <c r="S180" s="485">
        <v>1.3904398256546919</v>
      </c>
      <c r="T180" s="485"/>
      <c r="U180" s="485">
        <v>0.19029495718363734</v>
      </c>
      <c r="V180" s="485">
        <v>-19.704433497536954</v>
      </c>
      <c r="W180" s="485">
        <v>-9.9999999999999645E-2</v>
      </c>
      <c r="X180" s="485">
        <v>-4.2</v>
      </c>
      <c r="Y180" s="485">
        <v>-1.4157135227994715</v>
      </c>
      <c r="Z180" s="485">
        <v>-0.30000000000000004</v>
      </c>
      <c r="AA180" s="485">
        <v>18.958772193800783</v>
      </c>
    </row>
    <row r="181" spans="1:27" s="500" customFormat="1">
      <c r="A181" s="482"/>
      <c r="B181" s="483" t="s">
        <v>141</v>
      </c>
      <c r="C181" s="484">
        <v>8</v>
      </c>
      <c r="D181" s="485">
        <v>-0.58665692110907008</v>
      </c>
      <c r="E181" s="485">
        <v>-19.148254883125205</v>
      </c>
      <c r="F181" s="485">
        <v>-9.3366093366093477</v>
      </c>
      <c r="G181" s="485">
        <v>3.84</v>
      </c>
      <c r="H181" s="485">
        <v>0.54054054054054057</v>
      </c>
      <c r="I181" s="485">
        <v>-1</v>
      </c>
      <c r="J181" s="485">
        <v>2</v>
      </c>
      <c r="K181" s="485"/>
      <c r="L181" s="485">
        <v>1.9999999999999962E-2</v>
      </c>
      <c r="M181" s="485">
        <v>-2.9317453046266628</v>
      </c>
      <c r="N181" s="485">
        <v>-6.1538461538461595</v>
      </c>
      <c r="O181" s="485">
        <v>-11.597633136094688</v>
      </c>
      <c r="P181" s="485">
        <v>-8.652411735454999</v>
      </c>
      <c r="Q181" s="485">
        <v>-7.3804100227790377</v>
      </c>
      <c r="R181" s="485">
        <v>11.099999999999994</v>
      </c>
      <c r="S181" s="485">
        <v>26.545048399106474</v>
      </c>
      <c r="T181" s="485"/>
      <c r="U181" s="485">
        <v>-9.510223490252831E-2</v>
      </c>
      <c r="V181" s="485">
        <v>-5.0420168067226809</v>
      </c>
      <c r="W181" s="485">
        <v>9.9999999999999645E-2</v>
      </c>
      <c r="X181" s="485">
        <v>5.2</v>
      </c>
      <c r="Y181" s="485">
        <v>6.3295177066719361</v>
      </c>
      <c r="Z181" s="485">
        <v>0.30000000000000004</v>
      </c>
      <c r="AA181" s="485">
        <v>-2.8718806635996095</v>
      </c>
    </row>
    <row r="182" spans="1:27" s="500" customFormat="1">
      <c r="A182" s="482"/>
      <c r="B182" s="483" t="s">
        <v>141</v>
      </c>
      <c r="C182" s="484">
        <v>9</v>
      </c>
      <c r="D182" s="485">
        <v>1.7743446588019383</v>
      </c>
      <c r="E182" s="485">
        <v>18.450658952105442</v>
      </c>
      <c r="F182" s="485">
        <v>63.380281690140848</v>
      </c>
      <c r="G182" s="485">
        <v>1.1898956403004</v>
      </c>
      <c r="H182" s="485">
        <v>13.801756587202007</v>
      </c>
      <c r="I182" s="485">
        <v>-5</v>
      </c>
      <c r="J182" s="485">
        <v>2</v>
      </c>
      <c r="K182" s="485"/>
      <c r="L182" s="485">
        <v>1.0000000000000009E-2</v>
      </c>
      <c r="M182" s="485">
        <v>-3.8470518754549503</v>
      </c>
      <c r="N182" s="485">
        <v>8.3650190114068437</v>
      </c>
      <c r="O182" s="485">
        <v>24.573002754820948</v>
      </c>
      <c r="P182" s="485">
        <v>14.64354527938343</v>
      </c>
      <c r="Q182" s="485">
        <v>8.1669691470054442</v>
      </c>
      <c r="R182" s="485">
        <v>-16.599999999999994</v>
      </c>
      <c r="S182" s="485">
        <v>-22.080291970802918</v>
      </c>
      <c r="T182" s="485"/>
      <c r="U182" s="485">
        <v>9.510223490252831E-2</v>
      </c>
      <c r="V182" s="485">
        <v>29.411764705882351</v>
      </c>
      <c r="W182" s="485">
        <v>-9.9999999999999645E-2</v>
      </c>
      <c r="X182" s="485">
        <v>-1.2</v>
      </c>
      <c r="Y182" s="485">
        <v>-6.7824901193598306</v>
      </c>
      <c r="Z182" s="485">
        <v>-0.10000000000000009</v>
      </c>
      <c r="AA182" s="485">
        <v>-19.007496437643269</v>
      </c>
    </row>
    <row r="183" spans="1:27" s="500" customFormat="1">
      <c r="A183" s="482"/>
      <c r="B183" s="483" t="s">
        <v>141</v>
      </c>
      <c r="C183" s="484">
        <v>10</v>
      </c>
      <c r="D183" s="485">
        <v>-0.69223893653841806</v>
      </c>
      <c r="E183" s="485">
        <v>4.6003450258769405</v>
      </c>
      <c r="F183" s="485">
        <v>-11.598302687411604</v>
      </c>
      <c r="G183" s="485">
        <v>0.40638606676342526</v>
      </c>
      <c r="H183" s="485">
        <v>-27.503337783711615</v>
      </c>
      <c r="I183" s="485">
        <v>1</v>
      </c>
      <c r="J183" s="485">
        <v>1.2999999999999972</v>
      </c>
      <c r="K183" s="485"/>
      <c r="L183" s="485">
        <v>1.0000000000000009E-2</v>
      </c>
      <c r="M183" s="485">
        <v>-3.7935622884091988</v>
      </c>
      <c r="N183" s="485">
        <v>0.72727272727273762</v>
      </c>
      <c r="O183" s="485">
        <v>-9.2402464065708418</v>
      </c>
      <c r="P183" s="485">
        <v>-4.8735632183908146</v>
      </c>
      <c r="Q183" s="485">
        <v>-7.2267389340560069</v>
      </c>
      <c r="R183" s="485">
        <v>5</v>
      </c>
      <c r="S183" s="485">
        <v>22.66278646780647</v>
      </c>
      <c r="T183" s="485"/>
      <c r="U183" s="485">
        <v>-0.47641734159123389</v>
      </c>
      <c r="V183" s="485">
        <v>-20.754716981132077</v>
      </c>
      <c r="W183" s="485">
        <v>0</v>
      </c>
      <c r="X183" s="485">
        <v>-1.7000000000000002</v>
      </c>
      <c r="Y183" s="485">
        <v>-2.6482147175460176</v>
      </c>
      <c r="Z183" s="485">
        <v>0.20000000000000007</v>
      </c>
      <c r="AA183" s="485">
        <v>20.954248766585962</v>
      </c>
    </row>
    <row r="184" spans="1:27" s="500" customFormat="1">
      <c r="A184" s="482"/>
      <c r="B184" s="483" t="s">
        <v>141</v>
      </c>
      <c r="C184" s="484">
        <v>11</v>
      </c>
      <c r="D184" s="485">
        <v>1.5583431952662583</v>
      </c>
      <c r="E184" s="485">
        <v>0.22459292532285549</v>
      </c>
      <c r="F184" s="485">
        <v>1.045556385362215</v>
      </c>
      <c r="G184" s="485">
        <v>2.1965428325852354</v>
      </c>
      <c r="H184" s="485">
        <v>23.376623376623378</v>
      </c>
      <c r="I184" s="485">
        <v>-3</v>
      </c>
      <c r="J184" s="485">
        <v>1.4000000000000057</v>
      </c>
      <c r="K184" s="485"/>
      <c r="L184" s="485">
        <v>2.0000000000000018E-2</v>
      </c>
      <c r="M184" s="485">
        <v>-8.3017724587183768</v>
      </c>
      <c r="N184" s="485">
        <v>1.4388489208633042</v>
      </c>
      <c r="O184" s="485">
        <v>4.4210526315789354</v>
      </c>
      <c r="P184" s="485">
        <v>-0.47236655644780351</v>
      </c>
      <c r="Q184" s="485">
        <v>0</v>
      </c>
      <c r="R184" s="485">
        <v>0.19999999999998863</v>
      </c>
      <c r="S184" s="485">
        <v>3.6462788708297711</v>
      </c>
      <c r="T184" s="485"/>
      <c r="U184" s="485">
        <v>0.38131553860819012</v>
      </c>
      <c r="V184" s="485">
        <v>8.4033613445378155</v>
      </c>
      <c r="W184" s="485">
        <v>-0.20000000000000018</v>
      </c>
      <c r="X184" s="485">
        <v>1.9000000000000001</v>
      </c>
      <c r="Y184" s="485">
        <v>10.635344762544682</v>
      </c>
      <c r="Z184" s="485">
        <v>0.7</v>
      </c>
      <c r="AA184" s="485">
        <v>-5.2724477594943862</v>
      </c>
    </row>
    <row r="185" spans="1:27" s="500" customFormat="1">
      <c r="A185" s="486"/>
      <c r="B185" s="487" t="s">
        <v>141</v>
      </c>
      <c r="C185" s="488">
        <v>12</v>
      </c>
      <c r="D185" s="489">
        <v>-13.228636673210202</v>
      </c>
      <c r="E185" s="489">
        <v>-5.2964881980426126</v>
      </c>
      <c r="F185" s="489">
        <v>-18.329278183292779</v>
      </c>
      <c r="G185" s="489">
        <v>-6.2341710500681859</v>
      </c>
      <c r="H185" s="489">
        <v>23.446785521339816</v>
      </c>
      <c r="I185" s="489">
        <v>2</v>
      </c>
      <c r="J185" s="489">
        <v>1.2999999999999972</v>
      </c>
      <c r="K185" s="489"/>
      <c r="L185" s="489">
        <v>0</v>
      </c>
      <c r="M185" s="489">
        <v>-1.1804686102664996</v>
      </c>
      <c r="N185" s="489">
        <v>-2.8985507246376834</v>
      </c>
      <c r="O185" s="489">
        <v>1.2282497441146396</v>
      </c>
      <c r="P185" s="489">
        <v>-0.18957345971562903</v>
      </c>
      <c r="Q185" s="489">
        <v>-3.0447193149381571</v>
      </c>
      <c r="R185" s="489">
        <v>0.20000000000000284</v>
      </c>
      <c r="S185" s="489">
        <v>0.94068460935458587</v>
      </c>
      <c r="T185" s="489"/>
      <c r="U185" s="489">
        <v>0.66382171645329813</v>
      </c>
      <c r="V185" s="489">
        <v>6.401249024199835</v>
      </c>
      <c r="W185" s="489">
        <v>0.20000000000000018</v>
      </c>
      <c r="X185" s="489">
        <v>-4.8</v>
      </c>
      <c r="Y185" s="489">
        <v>-7.466941111642365</v>
      </c>
      <c r="Z185" s="489">
        <v>0.30000000000000004</v>
      </c>
      <c r="AA185" s="489">
        <v>-23.551328561623684</v>
      </c>
    </row>
    <row r="186" spans="1:27" s="500" customFormat="1">
      <c r="A186" s="478" t="s">
        <v>352</v>
      </c>
      <c r="B186" s="479">
        <v>2003</v>
      </c>
      <c r="C186" s="480">
        <v>1</v>
      </c>
      <c r="D186" s="481">
        <v>12.827461607949413</v>
      </c>
      <c r="E186" s="481">
        <v>-7.5483277078858437</v>
      </c>
      <c r="F186" s="481">
        <v>-29.2732855680655</v>
      </c>
      <c r="G186" s="481">
        <v>-6.477060411044218</v>
      </c>
      <c r="H186" s="481">
        <v>-35.938391329150029</v>
      </c>
      <c r="I186" s="481">
        <v>-3</v>
      </c>
      <c r="J186" s="481">
        <v>-2.7000000000000028</v>
      </c>
      <c r="K186" s="481"/>
      <c r="L186" s="481">
        <v>0</v>
      </c>
      <c r="M186" s="481">
        <v>-4.0115501321413358</v>
      </c>
      <c r="N186" s="481">
        <v>-8.4291187739463567</v>
      </c>
      <c r="O186" s="481">
        <v>-2.471678681771361</v>
      </c>
      <c r="P186" s="481">
        <v>-0.38022813688213469</v>
      </c>
      <c r="Q186" s="481">
        <v>3.0447193149381571</v>
      </c>
      <c r="R186" s="481">
        <v>1.2999999999999972</v>
      </c>
      <c r="S186" s="481">
        <v>-14.46898705934851</v>
      </c>
      <c r="T186" s="481"/>
      <c r="U186" s="481">
        <v>0.47147571900047147</v>
      </c>
      <c r="V186" s="481">
        <v>1.7991004497751171</v>
      </c>
      <c r="W186" s="481">
        <v>0</v>
      </c>
      <c r="X186" s="481">
        <v>0.59999999999999964</v>
      </c>
      <c r="Y186" s="481">
        <v>5.6028246300034823</v>
      </c>
      <c r="Z186" s="481">
        <v>-0.2</v>
      </c>
      <c r="AA186" s="481">
        <v>25.377623960927643</v>
      </c>
    </row>
    <row r="187" spans="1:27" s="500" customFormat="1">
      <c r="A187" s="482"/>
      <c r="B187" s="483" t="s">
        <v>141</v>
      </c>
      <c r="C187" s="484">
        <v>2</v>
      </c>
      <c r="D187" s="485">
        <v>6.9924723059138429</v>
      </c>
      <c r="E187" s="485">
        <v>-1.6720257234726834</v>
      </c>
      <c r="F187" s="485">
        <v>-4.4117647058823639</v>
      </c>
      <c r="G187" s="485">
        <v>7.3966942148760326</v>
      </c>
      <c r="H187" s="485">
        <v>-11.160058737151248</v>
      </c>
      <c r="I187" s="485">
        <v>6</v>
      </c>
      <c r="J187" s="485">
        <v>-2.5999999999999943</v>
      </c>
      <c r="K187" s="485"/>
      <c r="L187" s="485">
        <v>1.9999999999999962E-2</v>
      </c>
      <c r="M187" s="485">
        <v>-0.97865364025695922</v>
      </c>
      <c r="N187" s="485">
        <v>6.2015503875969049</v>
      </c>
      <c r="O187" s="485">
        <v>-5.7939914163090185</v>
      </c>
      <c r="P187" s="485">
        <v>-2.8005794302269491</v>
      </c>
      <c r="Q187" s="485">
        <v>0</v>
      </c>
      <c r="R187" s="485">
        <v>2.4000000000000057</v>
      </c>
      <c r="S187" s="485">
        <v>-6.4552169325305693</v>
      </c>
      <c r="T187" s="485"/>
      <c r="U187" s="485">
        <v>-9.4117647058818185E-2</v>
      </c>
      <c r="V187" s="485">
        <v>-11.137254901960775</v>
      </c>
      <c r="W187" s="485">
        <v>-0.20000000000000018</v>
      </c>
      <c r="X187" s="485">
        <v>1.9000000000000004</v>
      </c>
      <c r="Y187" s="485">
        <v>-17.90579419844946</v>
      </c>
      <c r="Z187" s="485">
        <v>9.9999999999999978E-2</v>
      </c>
      <c r="AA187" s="485">
        <v>34.201822637828059</v>
      </c>
    </row>
    <row r="188" spans="1:27" s="500" customFormat="1">
      <c r="A188" s="482"/>
      <c r="B188" s="483" t="s">
        <v>141</v>
      </c>
      <c r="C188" s="484">
        <v>3</v>
      </c>
      <c r="D188" s="485">
        <v>-11.226186384789012</v>
      </c>
      <c r="E188" s="485">
        <v>2.1174205967276301</v>
      </c>
      <c r="F188" s="485">
        <v>5.1282051282051313</v>
      </c>
      <c r="G188" s="485">
        <v>-2.379032258064516</v>
      </c>
      <c r="H188" s="485">
        <v>-2.2012578616352201</v>
      </c>
      <c r="I188" s="485">
        <v>-3</v>
      </c>
      <c r="J188" s="485">
        <v>-2.7000000000000028</v>
      </c>
      <c r="K188" s="485"/>
      <c r="L188" s="485">
        <v>0</v>
      </c>
      <c r="M188" s="485">
        <v>-2.8751460168313767</v>
      </c>
      <c r="N188" s="485">
        <v>0.7490636704119823</v>
      </c>
      <c r="O188" s="485">
        <v>13.78600823045268</v>
      </c>
      <c r="P188" s="485">
        <v>3.2755298651252462</v>
      </c>
      <c r="Q188" s="485">
        <v>4.309949564419993</v>
      </c>
      <c r="R188" s="485">
        <v>-5.7000000000000028</v>
      </c>
      <c r="S188" s="485">
        <v>16.9748195104772</v>
      </c>
      <c r="T188" s="485"/>
      <c r="U188" s="485">
        <v>-0.28288543140028016</v>
      </c>
      <c r="V188" s="485">
        <v>25</v>
      </c>
      <c r="W188" s="485">
        <v>0.20000000000000018</v>
      </c>
      <c r="X188" s="485">
        <v>-1.5</v>
      </c>
      <c r="Y188" s="485">
        <v>18.151904689838908</v>
      </c>
      <c r="Z188" s="485">
        <v>0.2</v>
      </c>
      <c r="AA188" s="485">
        <v>-51.181544429132842</v>
      </c>
    </row>
    <row r="189" spans="1:27" s="500" customFormat="1">
      <c r="A189" s="482"/>
      <c r="B189" s="483" t="s">
        <v>141</v>
      </c>
      <c r="C189" s="484">
        <v>4</v>
      </c>
      <c r="D189" s="485">
        <v>2.6490580695280568</v>
      </c>
      <c r="E189" s="485">
        <v>-6.3512226103521321E-2</v>
      </c>
      <c r="F189" s="485">
        <v>-7.4074074074074074</v>
      </c>
      <c r="G189" s="485">
        <v>-2.2490457030847004</v>
      </c>
      <c r="H189" s="485">
        <v>19.899785254115962</v>
      </c>
      <c r="I189" s="485">
        <v>-1</v>
      </c>
      <c r="J189" s="485">
        <v>0</v>
      </c>
      <c r="K189" s="485"/>
      <c r="L189" s="485">
        <v>1.0000000000000009E-2</v>
      </c>
      <c r="M189" s="485">
        <v>-1.086365632923225</v>
      </c>
      <c r="N189" s="485">
        <v>-6.1538461538461595</v>
      </c>
      <c r="O189" s="485">
        <v>-24.043126684636128</v>
      </c>
      <c r="P189" s="485">
        <v>-3.3734939759036147</v>
      </c>
      <c r="Q189" s="485">
        <v>-4.4974759063790781</v>
      </c>
      <c r="R189" s="485">
        <v>4.1000000000000085</v>
      </c>
      <c r="S189" s="485">
        <v>-14.39508177705603</v>
      </c>
      <c r="T189" s="485"/>
      <c r="U189" s="485">
        <v>-0.56818181818182634</v>
      </c>
      <c r="V189" s="485">
        <v>-53.147996729354055</v>
      </c>
      <c r="W189" s="485">
        <v>9.9999999999999645E-2</v>
      </c>
      <c r="X189" s="485">
        <v>0.79999999999999982</v>
      </c>
      <c r="Y189" s="485">
        <v>24.761588375695556</v>
      </c>
      <c r="Z189" s="485">
        <v>-9.9999999999999978E-2</v>
      </c>
      <c r="AA189" s="485">
        <v>11.268973105925753</v>
      </c>
    </row>
    <row r="190" spans="1:27" s="500" customFormat="1">
      <c r="A190" s="482"/>
      <c r="B190" s="483" t="s">
        <v>141</v>
      </c>
      <c r="C190" s="484">
        <v>5</v>
      </c>
      <c r="D190" s="485">
        <v>10.022849548015913</v>
      </c>
      <c r="E190" s="485">
        <v>-3.8200064745872488</v>
      </c>
      <c r="F190" s="485">
        <v>9.0575275397796879</v>
      </c>
      <c r="G190" s="485">
        <v>-0.4601547793348672</v>
      </c>
      <c r="H190" s="485">
        <v>4.9523809523809526</v>
      </c>
      <c r="I190" s="485">
        <v>2</v>
      </c>
      <c r="J190" s="485">
        <v>0</v>
      </c>
      <c r="K190" s="485"/>
      <c r="L190" s="485">
        <v>3.0000000000000027E-2</v>
      </c>
      <c r="M190" s="485">
        <v>0.5416177887865089</v>
      </c>
      <c r="N190" s="485">
        <v>1.5748031496063077</v>
      </c>
      <c r="O190" s="485">
        <v>5.4827175208581744</v>
      </c>
      <c r="P190" s="485">
        <v>1.4598540145985401</v>
      </c>
      <c r="Q190" s="485">
        <v>3.777061262091197</v>
      </c>
      <c r="R190" s="485">
        <v>-0.70000000000000284</v>
      </c>
      <c r="S190" s="485">
        <v>52.538936503548079</v>
      </c>
      <c r="T190" s="485"/>
      <c r="U190" s="485">
        <v>-9.5011876484555169E-2</v>
      </c>
      <c r="V190" s="485">
        <v>22.87968441814596</v>
      </c>
      <c r="W190" s="485">
        <v>-9.9999999999999645E-2</v>
      </c>
      <c r="X190" s="485">
        <v>-1.2000000000000002</v>
      </c>
      <c r="Y190" s="485">
        <v>-41.452950562338209</v>
      </c>
      <c r="Z190" s="485">
        <v>-0.30000000000000004</v>
      </c>
      <c r="AA190" s="485">
        <v>-30.264550264550266</v>
      </c>
    </row>
    <row r="191" spans="1:27" s="500" customFormat="1">
      <c r="A191" s="482"/>
      <c r="B191" s="483" t="s">
        <v>141</v>
      </c>
      <c r="C191" s="484">
        <v>6</v>
      </c>
      <c r="D191" s="485">
        <v>-7.805114951998543E-2</v>
      </c>
      <c r="E191" s="485">
        <v>-0.13210039630118139</v>
      </c>
      <c r="F191" s="485">
        <v>-1.4150943396226447</v>
      </c>
      <c r="G191" s="485">
        <v>3.9860283542223134</v>
      </c>
      <c r="H191" s="485">
        <v>-6.7905188981422162</v>
      </c>
      <c r="I191" s="485">
        <v>-2</v>
      </c>
      <c r="J191" s="485">
        <v>0</v>
      </c>
      <c r="K191" s="485"/>
      <c r="L191" s="485">
        <v>1.0000000000000009E-2</v>
      </c>
      <c r="M191" s="485">
        <v>-4.0122087555232264</v>
      </c>
      <c r="N191" s="485">
        <v>15.162454873646206</v>
      </c>
      <c r="O191" s="485">
        <v>8.6570477247502762</v>
      </c>
      <c r="P191" s="485">
        <v>0.1930501930501958</v>
      </c>
      <c r="Q191" s="485">
        <v>-2.4713958810068544</v>
      </c>
      <c r="R191" s="485">
        <v>-0.10000000000000853</v>
      </c>
      <c r="S191" s="485">
        <v>-39.861700730885381</v>
      </c>
      <c r="T191" s="485"/>
      <c r="U191" s="485">
        <v>0</v>
      </c>
      <c r="V191" s="485">
        <v>16.110659072416606</v>
      </c>
      <c r="W191" s="485">
        <v>0</v>
      </c>
      <c r="X191" s="485">
        <v>1</v>
      </c>
      <c r="Y191" s="485">
        <v>19.767317091096167</v>
      </c>
      <c r="Z191" s="485">
        <v>-0.4</v>
      </c>
      <c r="AA191" s="485">
        <v>43.613909652258691</v>
      </c>
    </row>
    <row r="192" spans="1:27" s="500" customFormat="1">
      <c r="A192" s="482"/>
      <c r="B192" s="483" t="s">
        <v>141</v>
      </c>
      <c r="C192" s="484">
        <v>7</v>
      </c>
      <c r="D192" s="485">
        <v>0.99619305772567268</v>
      </c>
      <c r="E192" s="485">
        <v>1.8336607727570289</v>
      </c>
      <c r="F192" s="485">
        <v>10.360360360360362</v>
      </c>
      <c r="G192" s="485">
        <v>-4.9122807017543861</v>
      </c>
      <c r="H192" s="485">
        <v>-13.295615275813295</v>
      </c>
      <c r="I192" s="485">
        <v>1</v>
      </c>
      <c r="J192" s="485">
        <v>4.2999999999999972</v>
      </c>
      <c r="K192" s="485"/>
      <c r="L192" s="485">
        <v>3.0000000000000027E-2</v>
      </c>
      <c r="M192" s="485">
        <v>-2.2468823820249377</v>
      </c>
      <c r="N192" s="485">
        <v>-6.9444444444444446</v>
      </c>
      <c r="O192" s="485">
        <v>1.3734812466983592</v>
      </c>
      <c r="P192" s="485">
        <v>0.86413826212193123</v>
      </c>
      <c r="Q192" s="485">
        <v>3.9963669391462231</v>
      </c>
      <c r="R192" s="485">
        <v>0.10000000000000853</v>
      </c>
      <c r="S192" s="485">
        <v>-13.110457497306266</v>
      </c>
      <c r="T192" s="485"/>
      <c r="U192" s="485">
        <v>-9.510223490252831E-2</v>
      </c>
      <c r="V192" s="485">
        <v>1.6430171769977511</v>
      </c>
      <c r="W192" s="485">
        <v>-0.20000000000000018</v>
      </c>
      <c r="X192" s="485">
        <v>0</v>
      </c>
      <c r="Y192" s="485">
        <v>-6.9467052010320121</v>
      </c>
      <c r="Z192" s="485">
        <v>0.7</v>
      </c>
      <c r="AA192" s="485">
        <v>76.086884649717319</v>
      </c>
    </row>
    <row r="193" spans="1:27" s="500" customFormat="1">
      <c r="A193" s="482"/>
      <c r="B193" s="483" t="s">
        <v>141</v>
      </c>
      <c r="C193" s="484">
        <v>8</v>
      </c>
      <c r="D193" s="485">
        <v>2.8634566375128121</v>
      </c>
      <c r="E193" s="485">
        <v>-1.3063357282821686</v>
      </c>
      <c r="F193" s="485">
        <v>9.3877551020408045</v>
      </c>
      <c r="G193" s="485">
        <v>-1.4278103356419818</v>
      </c>
      <c r="H193" s="485">
        <v>12.233285917496444</v>
      </c>
      <c r="I193" s="485">
        <v>4</v>
      </c>
      <c r="J193" s="485">
        <v>4.4000000000000057</v>
      </c>
      <c r="K193" s="485"/>
      <c r="L193" s="485">
        <v>-1.0000000000000009E-2</v>
      </c>
      <c r="M193" s="485">
        <v>-1.7410960311603845</v>
      </c>
      <c r="N193" s="485">
        <v>-3.6630036630036629</v>
      </c>
      <c r="O193" s="485">
        <v>-3.8502673796791385</v>
      </c>
      <c r="P193" s="485">
        <v>0.5719733079123055</v>
      </c>
      <c r="Q193" s="485">
        <v>4.6956521739130483</v>
      </c>
      <c r="R193" s="485">
        <v>-1.5</v>
      </c>
      <c r="S193" s="485">
        <v>32.705091108156708</v>
      </c>
      <c r="T193" s="485"/>
      <c r="U193" s="485">
        <v>0.37986704653371861</v>
      </c>
      <c r="V193" s="485">
        <v>-4.390613171839524</v>
      </c>
      <c r="W193" s="485">
        <v>-0.10000000000000053</v>
      </c>
      <c r="X193" s="485">
        <v>-3</v>
      </c>
      <c r="Y193" s="485">
        <v>8.8684126862317338</v>
      </c>
      <c r="Z193" s="485">
        <v>-0.4</v>
      </c>
      <c r="AA193" s="485">
        <v>-79.30031104719221</v>
      </c>
    </row>
    <row r="194" spans="1:27" s="500" customFormat="1">
      <c r="A194" s="482"/>
      <c r="B194" s="483" t="s">
        <v>141</v>
      </c>
      <c r="C194" s="484">
        <v>9</v>
      </c>
      <c r="D194" s="485">
        <v>1.568568991362101</v>
      </c>
      <c r="E194" s="485">
        <v>-0.65963060686015829</v>
      </c>
      <c r="F194" s="485">
        <v>-7.9027355623100286</v>
      </c>
      <c r="G194" s="485">
        <v>2.0815632965165674</v>
      </c>
      <c r="H194" s="485">
        <v>2.6455026455026456</v>
      </c>
      <c r="I194" s="485">
        <v>-6</v>
      </c>
      <c r="J194" s="485">
        <v>4.2999999999999972</v>
      </c>
      <c r="K194" s="485"/>
      <c r="L194" s="485">
        <v>1.0000000000000009E-2</v>
      </c>
      <c r="M194" s="485">
        <v>-2.5314764719634075</v>
      </c>
      <c r="N194" s="485">
        <v>0.74349442379181896</v>
      </c>
      <c r="O194" s="485">
        <v>8.3594566353187041</v>
      </c>
      <c r="P194" s="485">
        <v>3.6397573495100244</v>
      </c>
      <c r="Q194" s="485">
        <v>1.5177065767284967</v>
      </c>
      <c r="R194" s="485">
        <v>-4.4000000000000057</v>
      </c>
      <c r="S194" s="485">
        <v>10.507546328726995</v>
      </c>
      <c r="T194" s="485"/>
      <c r="U194" s="485">
        <v>-0.47505938242280282</v>
      </c>
      <c r="V194" s="485">
        <v>13.429602888086659</v>
      </c>
      <c r="W194" s="485">
        <v>0.10000000000000053</v>
      </c>
      <c r="X194" s="485">
        <v>1.2999999999999998</v>
      </c>
      <c r="Y194" s="485">
        <v>-3.8502073023940082</v>
      </c>
      <c r="Z194" s="485">
        <v>0.7</v>
      </c>
      <c r="AA194" s="485">
        <v>-1.3783097569822294</v>
      </c>
    </row>
    <row r="195" spans="1:27" s="500" customFormat="1">
      <c r="A195" s="482"/>
      <c r="B195" s="483" t="s">
        <v>141</v>
      </c>
      <c r="C195" s="484">
        <v>10</v>
      </c>
      <c r="D195" s="485">
        <v>1.7464118729941487</v>
      </c>
      <c r="E195" s="485">
        <v>2.6771139405811262</v>
      </c>
      <c r="F195" s="485">
        <v>8.4848484848484897</v>
      </c>
      <c r="G195" s="485">
        <v>3.7541254125412542</v>
      </c>
      <c r="H195" s="485">
        <v>-3.3178500331785004</v>
      </c>
      <c r="I195" s="485">
        <v>4</v>
      </c>
      <c r="J195" s="485">
        <v>6.2999999999999972</v>
      </c>
      <c r="K195" s="485"/>
      <c r="L195" s="485">
        <v>1.0000000000000009E-2</v>
      </c>
      <c r="M195" s="485">
        <v>-0.16442755031966652</v>
      </c>
      <c r="N195" s="485">
        <v>4.3478260869565188</v>
      </c>
      <c r="O195" s="485">
        <v>-1.2108980827447053</v>
      </c>
      <c r="P195" s="485">
        <v>1.6363636363636467</v>
      </c>
      <c r="Q195" s="485">
        <v>1.9063406547865702</v>
      </c>
      <c r="R195" s="485">
        <v>-2.5999999999999943</v>
      </c>
      <c r="S195" s="485">
        <v>-0.42847326084319942</v>
      </c>
      <c r="T195" s="485"/>
      <c r="U195" s="485">
        <v>0.19029495718363734</v>
      </c>
      <c r="V195" s="485">
        <v>-4.284727021423647</v>
      </c>
      <c r="W195" s="485">
        <v>-0.10000000000000053</v>
      </c>
      <c r="X195" s="485">
        <v>2.5</v>
      </c>
      <c r="Y195" s="485">
        <v>3.1002131967155893</v>
      </c>
      <c r="Z195" s="485">
        <v>-0.6</v>
      </c>
      <c r="AA195" s="485">
        <v>-5.9837962962963012</v>
      </c>
    </row>
    <row r="196" spans="1:27" s="500" customFormat="1">
      <c r="A196" s="482"/>
      <c r="B196" s="483" t="s">
        <v>141</v>
      </c>
      <c r="C196" s="484">
        <v>11</v>
      </c>
      <c r="D196" s="485">
        <v>-1.0683552524760396</v>
      </c>
      <c r="E196" s="485">
        <v>-1.9518542615484711</v>
      </c>
      <c r="F196" s="485">
        <v>-9.5431472081218338</v>
      </c>
      <c r="G196" s="485">
        <v>-5.8345488643467389</v>
      </c>
      <c r="H196" s="485">
        <v>0.80645161290322576</v>
      </c>
      <c r="I196" s="485">
        <v>-2</v>
      </c>
      <c r="J196" s="485">
        <v>6.4000000000000057</v>
      </c>
      <c r="K196" s="485"/>
      <c r="L196" s="485">
        <v>1.9999999999999907E-2</v>
      </c>
      <c r="M196" s="485">
        <v>-4.1258299083148948</v>
      </c>
      <c r="N196" s="485">
        <v>4.1666666666666643</v>
      </c>
      <c r="O196" s="485">
        <v>-1.8442622950819645</v>
      </c>
      <c r="P196" s="485">
        <v>0.18018018018016993</v>
      </c>
      <c r="Q196" s="485">
        <v>-1.990049751243774</v>
      </c>
      <c r="R196" s="485">
        <v>-0.20000000000000284</v>
      </c>
      <c r="S196" s="485">
        <v>-16.886311720260064</v>
      </c>
      <c r="T196" s="485"/>
      <c r="U196" s="485">
        <v>0.37950664136621581</v>
      </c>
      <c r="V196" s="485">
        <v>2.9227557411273608</v>
      </c>
      <c r="W196" s="485">
        <v>0</v>
      </c>
      <c r="X196" s="485">
        <v>-3.9999999999999991</v>
      </c>
      <c r="Y196" s="485">
        <v>-2.7072368068433974</v>
      </c>
      <c r="Z196" s="485">
        <v>-0.2</v>
      </c>
      <c r="AA196" s="485">
        <v>15.365128318096707</v>
      </c>
    </row>
    <row r="197" spans="1:27" s="500" customFormat="1">
      <c r="A197" s="486"/>
      <c r="B197" s="487" t="s">
        <v>141</v>
      </c>
      <c r="C197" s="488">
        <v>12</v>
      </c>
      <c r="D197" s="489">
        <v>-6.8597573844114859</v>
      </c>
      <c r="E197" s="489">
        <v>-2.3936170212765924</v>
      </c>
      <c r="F197" s="489">
        <v>2.9411764705882328</v>
      </c>
      <c r="G197" s="489">
        <v>3.0645672619676634</v>
      </c>
      <c r="H197" s="489">
        <v>14.409937888198758</v>
      </c>
      <c r="I197" s="489">
        <v>-5</v>
      </c>
      <c r="J197" s="489">
        <v>6.2999999999999972</v>
      </c>
      <c r="K197" s="489"/>
      <c r="L197" s="489">
        <v>-1.0000000000000009E-2</v>
      </c>
      <c r="M197" s="489">
        <v>0.667605067363779</v>
      </c>
      <c r="N197" s="489">
        <v>-9.9999999999999893</v>
      </c>
      <c r="O197" s="489">
        <v>4.25101214574899</v>
      </c>
      <c r="P197" s="489">
        <v>1.784121320249777</v>
      </c>
      <c r="Q197" s="489">
        <v>6.7961165048543615</v>
      </c>
      <c r="R197" s="489">
        <v>-1.0999999999999943</v>
      </c>
      <c r="S197" s="489">
        <v>26.439605279593625</v>
      </c>
      <c r="T197" s="489"/>
      <c r="U197" s="489">
        <v>0.18921475875118529</v>
      </c>
      <c r="V197" s="489">
        <v>9.4117647058823373</v>
      </c>
      <c r="W197" s="489">
        <v>-0.19999999999999929</v>
      </c>
      <c r="X197" s="489">
        <v>0.29999999999999893</v>
      </c>
      <c r="Y197" s="489">
        <v>-7.6666925241355965</v>
      </c>
      <c r="Z197" s="489">
        <v>-0.19999999999999998</v>
      </c>
      <c r="AA197" s="489">
        <v>-11.309539891389509</v>
      </c>
    </row>
    <row r="198" spans="1:27" s="500" customFormat="1">
      <c r="A198" s="478" t="s">
        <v>353</v>
      </c>
      <c r="B198" s="479">
        <v>2004</v>
      </c>
      <c r="C198" s="480">
        <v>1</v>
      </c>
      <c r="D198" s="481">
        <v>1.6523767002748211</v>
      </c>
      <c r="E198" s="481">
        <v>5.6245912361020247</v>
      </c>
      <c r="F198" s="481">
        <v>-7.2961373390557922</v>
      </c>
      <c r="G198" s="481">
        <v>0.89109936794114597</v>
      </c>
      <c r="H198" s="481">
        <v>-37.577426015141086</v>
      </c>
      <c r="I198" s="481">
        <v>2</v>
      </c>
      <c r="J198" s="481">
        <v>3.2999999999999972</v>
      </c>
      <c r="K198" s="481"/>
      <c r="L198" s="481">
        <v>-9.9999999999998979E-3</v>
      </c>
      <c r="M198" s="481">
        <v>-2.1277780872277647</v>
      </c>
      <c r="N198" s="481">
        <v>-9.4488188976378051</v>
      </c>
      <c r="O198" s="481">
        <v>10.249177244945924</v>
      </c>
      <c r="P198" s="481">
        <v>-3.0520646319569043</v>
      </c>
      <c r="Q198" s="481">
        <v>-12.292358803986708</v>
      </c>
      <c r="R198" s="481">
        <v>-0.20000000000000284</v>
      </c>
      <c r="S198" s="481">
        <v>-1.8371096142069812</v>
      </c>
      <c r="T198" s="481"/>
      <c r="U198" s="481">
        <v>-0.85429520645466683</v>
      </c>
      <c r="V198" s="481">
        <v>10.861865407319957</v>
      </c>
      <c r="W198" s="481">
        <v>0</v>
      </c>
      <c r="X198" s="481">
        <v>1.8000000000000007</v>
      </c>
      <c r="Y198" s="481">
        <v>3.0917980425735911</v>
      </c>
      <c r="Z198" s="481">
        <v>0.5</v>
      </c>
      <c r="AA198" s="481">
        <v>-0.42472593697985944</v>
      </c>
    </row>
    <row r="199" spans="1:27" s="500" customFormat="1">
      <c r="A199" s="482"/>
      <c r="B199" s="483" t="s">
        <v>141</v>
      </c>
      <c r="C199" s="484">
        <v>2</v>
      </c>
      <c r="D199" s="485">
        <v>4.2663480229221538</v>
      </c>
      <c r="E199" s="485">
        <v>-11.14842175957018</v>
      </c>
      <c r="F199" s="485">
        <v>-10.798122065727704</v>
      </c>
      <c r="G199" s="485">
        <v>-2.1057020744292712</v>
      </c>
      <c r="H199" s="485">
        <v>62.470862470862471</v>
      </c>
      <c r="I199" s="485">
        <v>4</v>
      </c>
      <c r="J199" s="485">
        <v>3.4000000000000057</v>
      </c>
      <c r="K199" s="485"/>
      <c r="L199" s="485">
        <v>0</v>
      </c>
      <c r="M199" s="485">
        <v>1.5136738591572187</v>
      </c>
      <c r="N199" s="485">
        <v>-5.0847457627118615</v>
      </c>
      <c r="O199" s="485">
        <v>-0.35842293906809275</v>
      </c>
      <c r="P199" s="485">
        <v>1.8066847335140017</v>
      </c>
      <c r="Q199" s="485">
        <v>6.1749571183533467</v>
      </c>
      <c r="R199" s="485">
        <v>-3</v>
      </c>
      <c r="S199" s="485">
        <v>-4.5002776767077117</v>
      </c>
      <c r="T199" s="485"/>
      <c r="U199" s="485">
        <v>-0.76555023923446064</v>
      </c>
      <c r="V199" s="485">
        <v>7.5431034482758621</v>
      </c>
      <c r="W199" s="485">
        <v>9.9999999999999645E-2</v>
      </c>
      <c r="X199" s="485">
        <v>1.1999999999999993</v>
      </c>
      <c r="Y199" s="485">
        <v>6.4692964351171511</v>
      </c>
      <c r="Z199" s="485">
        <v>-0.1</v>
      </c>
      <c r="AA199" s="485">
        <v>17.842736654617841</v>
      </c>
    </row>
    <row r="200" spans="1:27" s="500" customFormat="1">
      <c r="A200" s="482"/>
      <c r="B200" s="483" t="s">
        <v>141</v>
      </c>
      <c r="C200" s="484">
        <v>3</v>
      </c>
      <c r="D200" s="485">
        <v>-8.5877551020408287</v>
      </c>
      <c r="E200" s="485">
        <v>5.8011049723756942</v>
      </c>
      <c r="F200" s="485">
        <v>7.407407407407411</v>
      </c>
      <c r="G200" s="485">
        <v>2.1263289555972484</v>
      </c>
      <c r="H200" s="485">
        <v>-60.950173812282735</v>
      </c>
      <c r="I200" s="485">
        <v>3</v>
      </c>
      <c r="J200" s="485">
        <v>3.2999999999999972</v>
      </c>
      <c r="K200" s="485"/>
      <c r="L200" s="485">
        <v>0</v>
      </c>
      <c r="M200" s="485">
        <v>0.40650815531831036</v>
      </c>
      <c r="N200" s="485">
        <v>2.5751072961373449</v>
      </c>
      <c r="O200" s="485">
        <v>6.2608695652173818</v>
      </c>
      <c r="P200" s="485">
        <v>0.35746201966040342</v>
      </c>
      <c r="Q200" s="485">
        <v>8.3160083160078432E-2</v>
      </c>
      <c r="R200" s="485">
        <v>0.5</v>
      </c>
      <c r="S200" s="485">
        <v>1.1608429745627433</v>
      </c>
      <c r="T200" s="485"/>
      <c r="U200" s="485">
        <v>0.86083213773314748</v>
      </c>
      <c r="V200" s="485">
        <v>5.7488653555219384</v>
      </c>
      <c r="W200" s="485">
        <v>-0.20000000000000018</v>
      </c>
      <c r="X200" s="485">
        <v>-5</v>
      </c>
      <c r="Y200" s="485">
        <v>-4.2604629635931746</v>
      </c>
      <c r="Z200" s="485">
        <v>-0.30000000000000004</v>
      </c>
      <c r="AA200" s="485">
        <v>14.245192415071589</v>
      </c>
    </row>
    <row r="201" spans="1:27" s="500" customFormat="1">
      <c r="A201" s="482"/>
      <c r="B201" s="483" t="s">
        <v>141</v>
      </c>
      <c r="C201" s="484">
        <v>4</v>
      </c>
      <c r="D201" s="485">
        <v>1.3147214913258838</v>
      </c>
      <c r="E201" s="485">
        <v>-0.47090480995626544</v>
      </c>
      <c r="F201" s="485">
        <v>15.711252653927813</v>
      </c>
      <c r="G201" s="485">
        <v>-1.0366991499066971</v>
      </c>
      <c r="H201" s="485">
        <v>12.792511700468019</v>
      </c>
      <c r="I201" s="485">
        <v>-3</v>
      </c>
      <c r="J201" s="485">
        <v>-2.7000000000000028</v>
      </c>
      <c r="K201" s="485"/>
      <c r="L201" s="485">
        <v>-2.0000000000000018E-2</v>
      </c>
      <c r="M201" s="485">
        <v>4.890234225761902</v>
      </c>
      <c r="N201" s="485">
        <v>4.95867768595041</v>
      </c>
      <c r="O201" s="485">
        <v>-2.9952931108258452</v>
      </c>
      <c r="P201" s="485">
        <v>4.3630017452006982</v>
      </c>
      <c r="Q201" s="485">
        <v>0.49751243781095239</v>
      </c>
      <c r="R201" s="485">
        <v>-2</v>
      </c>
      <c r="S201" s="485">
        <v>12.589595165943861</v>
      </c>
      <c r="T201" s="485"/>
      <c r="U201" s="485">
        <v>0.6644518272425276</v>
      </c>
      <c r="V201" s="485">
        <v>-3.3898305084745819</v>
      </c>
      <c r="W201" s="485">
        <v>0</v>
      </c>
      <c r="X201" s="485">
        <v>-0.29999999999999893</v>
      </c>
      <c r="Y201" s="485">
        <v>8.9032949128395682</v>
      </c>
      <c r="Z201" s="485">
        <v>-0.2</v>
      </c>
      <c r="AA201" s="485">
        <v>-32.171555813728325</v>
      </c>
    </row>
    <row r="202" spans="1:27" s="500" customFormat="1">
      <c r="A202" s="482"/>
      <c r="B202" s="483" t="s">
        <v>141</v>
      </c>
      <c r="C202" s="484">
        <v>5</v>
      </c>
      <c r="D202" s="485">
        <v>0.53202301308846356</v>
      </c>
      <c r="E202" s="485">
        <v>-2.3192360163710815</v>
      </c>
      <c r="F202" s="485">
        <v>-7.7709611451942688</v>
      </c>
      <c r="G202" s="485">
        <v>-0.5852842809364549</v>
      </c>
      <c r="H202" s="485">
        <v>9.6301465457083051</v>
      </c>
      <c r="I202" s="485">
        <v>0</v>
      </c>
      <c r="J202" s="485">
        <v>-2.5999999999999943</v>
      </c>
      <c r="K202" s="485"/>
      <c r="L202" s="485">
        <v>-1.0000000000000009E-2</v>
      </c>
      <c r="M202" s="485">
        <v>-5.8693544497541836</v>
      </c>
      <c r="N202" s="485">
        <v>-2.4489795918367405</v>
      </c>
      <c r="O202" s="485">
        <v>-0.87260034904013961</v>
      </c>
      <c r="P202" s="485">
        <v>-1.2027491408934634</v>
      </c>
      <c r="Q202" s="485">
        <v>-2.0894274968658588</v>
      </c>
      <c r="R202" s="485">
        <v>-1.4000000000000057</v>
      </c>
      <c r="S202" s="485">
        <v>2.378422144628308</v>
      </c>
      <c r="T202" s="485"/>
      <c r="U202" s="485">
        <v>0.37771482530688522</v>
      </c>
      <c r="V202" s="485">
        <v>-0.10147133434804091</v>
      </c>
      <c r="W202" s="485">
        <v>-9.9999999999999645E-2</v>
      </c>
      <c r="X202" s="485">
        <v>-0.5</v>
      </c>
      <c r="Y202" s="485">
        <v>-2.6902961595197077</v>
      </c>
      <c r="Z202" s="485">
        <v>0.4</v>
      </c>
      <c r="AA202" s="485">
        <v>-5.91554314901704</v>
      </c>
    </row>
    <row r="203" spans="1:27" s="500" customFormat="1">
      <c r="A203" s="482"/>
      <c r="B203" s="483" t="s">
        <v>141</v>
      </c>
      <c r="C203" s="484">
        <v>6</v>
      </c>
      <c r="D203" s="485">
        <v>3.367505221106271</v>
      </c>
      <c r="E203" s="485">
        <v>1.2345679012345561</v>
      </c>
      <c r="F203" s="485">
        <v>6.9815195071868557</v>
      </c>
      <c r="G203" s="485">
        <v>-2.1186440677966103</v>
      </c>
      <c r="H203" s="485">
        <v>-4.3537414965986398</v>
      </c>
      <c r="I203" s="485">
        <v>-4</v>
      </c>
      <c r="J203" s="485">
        <v>-2.7000000000000028</v>
      </c>
      <c r="K203" s="485"/>
      <c r="L203" s="485">
        <v>0</v>
      </c>
      <c r="M203" s="485">
        <v>2.5963107165377153</v>
      </c>
      <c r="N203" s="485">
        <v>1.6393442622950909</v>
      </c>
      <c r="O203" s="485">
        <v>-1.7683465959328029</v>
      </c>
      <c r="P203" s="485">
        <v>0.94623655913978011</v>
      </c>
      <c r="Q203" s="485">
        <v>4.9423393739703458</v>
      </c>
      <c r="R203" s="485">
        <v>1.2999999999999972</v>
      </c>
      <c r="S203" s="485">
        <v>-6.0558179476170091</v>
      </c>
      <c r="T203" s="485"/>
      <c r="U203" s="485">
        <v>-0.28315243039169152</v>
      </c>
      <c r="V203" s="485">
        <v>-4.1450777202072535</v>
      </c>
      <c r="W203" s="485">
        <v>0</v>
      </c>
      <c r="X203" s="485">
        <v>0.19999999999999929</v>
      </c>
      <c r="Y203" s="485">
        <v>-22.467244718156284</v>
      </c>
      <c r="Z203" s="485">
        <v>0.7</v>
      </c>
      <c r="AA203" s="485">
        <v>16.570305921975852</v>
      </c>
    </row>
    <row r="204" spans="1:27" s="500" customFormat="1">
      <c r="A204" s="482"/>
      <c r="B204" s="483" t="s">
        <v>141</v>
      </c>
      <c r="C204" s="484">
        <v>7</v>
      </c>
      <c r="D204" s="485">
        <v>6.5978259973793323</v>
      </c>
      <c r="E204" s="485">
        <v>1.4213197969543301</v>
      </c>
      <c r="F204" s="485">
        <v>3.1250000000000027</v>
      </c>
      <c r="G204" s="485">
        <v>1.1919965942954449</v>
      </c>
      <c r="H204" s="485">
        <v>14.690721649484535</v>
      </c>
      <c r="I204" s="485">
        <v>3</v>
      </c>
      <c r="J204" s="485">
        <v>0</v>
      </c>
      <c r="K204" s="485"/>
      <c r="L204" s="485">
        <v>3.9999999999999925E-2</v>
      </c>
      <c r="M204" s="485">
        <v>-2.5527230880844423</v>
      </c>
      <c r="N204" s="485">
        <v>-2.4691358024691414</v>
      </c>
      <c r="O204" s="485">
        <v>3.4195528277071512</v>
      </c>
      <c r="P204" s="485">
        <v>0.76759061833689179</v>
      </c>
      <c r="Q204" s="485">
        <v>-3.6006546644844564</v>
      </c>
      <c r="R204" s="485">
        <v>-1.8999999999999915</v>
      </c>
      <c r="S204" s="485">
        <v>5.5883618834466793</v>
      </c>
      <c r="T204" s="485"/>
      <c r="U204" s="485">
        <v>0</v>
      </c>
      <c r="V204" s="485">
        <v>4.8528652555498226</v>
      </c>
      <c r="W204" s="485">
        <v>0.20000000000000018</v>
      </c>
      <c r="X204" s="485">
        <v>5.3</v>
      </c>
      <c r="Y204" s="485">
        <v>14.863723678285695</v>
      </c>
      <c r="Z204" s="485">
        <v>-0.29999999999999993</v>
      </c>
      <c r="AA204" s="485">
        <v>0</v>
      </c>
    </row>
    <row r="205" spans="1:27" s="500" customFormat="1">
      <c r="A205" s="482"/>
      <c r="B205" s="483" t="s">
        <v>141</v>
      </c>
      <c r="C205" s="484">
        <v>8</v>
      </c>
      <c r="D205" s="485">
        <v>-4.036918268682955</v>
      </c>
      <c r="E205" s="485">
        <v>-1.0131712259371832</v>
      </c>
      <c r="F205" s="485">
        <v>11.08083560399637</v>
      </c>
      <c r="G205" s="485">
        <v>2.362780972294825</v>
      </c>
      <c r="H205" s="485">
        <v>2.6066350710900474</v>
      </c>
      <c r="I205" s="485">
        <v>-4</v>
      </c>
      <c r="J205" s="485">
        <v>0</v>
      </c>
      <c r="K205" s="485"/>
      <c r="L205" s="485">
        <v>2.0000000000000018E-2</v>
      </c>
      <c r="M205" s="485">
        <v>-0.79069081139938768</v>
      </c>
      <c r="N205" s="485">
        <v>3.2786885245901671</v>
      </c>
      <c r="O205" s="485">
        <v>1.5397775876817767</v>
      </c>
      <c r="P205" s="485">
        <v>-0.76759061833689179</v>
      </c>
      <c r="Q205" s="485">
        <v>-5.3915275994865199</v>
      </c>
      <c r="R205" s="485">
        <v>0.59999999999999432</v>
      </c>
      <c r="S205" s="485">
        <v>-7.0139551009794641</v>
      </c>
      <c r="T205" s="485"/>
      <c r="U205" s="485">
        <v>-0.66382171645329813</v>
      </c>
      <c r="V205" s="485">
        <v>4.4356826022671267</v>
      </c>
      <c r="W205" s="485">
        <v>-0.10000000000000053</v>
      </c>
      <c r="X205" s="485">
        <v>0.10000000000000053</v>
      </c>
      <c r="Y205" s="485">
        <v>4.2336225838363111E-3</v>
      </c>
      <c r="Z205" s="485">
        <v>9.9999999999999978E-2</v>
      </c>
      <c r="AA205" s="485">
        <v>8.73488003172716</v>
      </c>
    </row>
    <row r="206" spans="1:27" s="500" customFormat="1">
      <c r="A206" s="482"/>
      <c r="B206" s="483" t="s">
        <v>141</v>
      </c>
      <c r="C206" s="484">
        <v>9</v>
      </c>
      <c r="D206" s="485">
        <v>11.913038723234722</v>
      </c>
      <c r="E206" s="485">
        <v>0.20345879959307084</v>
      </c>
      <c r="F206" s="485">
        <v>3.0508474576271136</v>
      </c>
      <c r="G206" s="485">
        <v>-3.2766225582860744</v>
      </c>
      <c r="H206" s="485">
        <v>-15.229704216488358</v>
      </c>
      <c r="I206" s="485">
        <v>3</v>
      </c>
      <c r="J206" s="485">
        <v>0</v>
      </c>
      <c r="K206" s="485"/>
      <c r="L206" s="485">
        <v>2.0000000000000018E-2</v>
      </c>
      <c r="M206" s="485">
        <v>-3.5879569445166659</v>
      </c>
      <c r="N206" s="485">
        <v>-3.2786885245901671</v>
      </c>
      <c r="O206" s="485">
        <v>-5.2264808362369335</v>
      </c>
      <c r="P206" s="485">
        <v>-2.4263431542460978</v>
      </c>
      <c r="Q206" s="485">
        <v>1.7436791630340016</v>
      </c>
      <c r="R206" s="485">
        <v>3</v>
      </c>
      <c r="S206" s="485">
        <v>-12.11439894823086</v>
      </c>
      <c r="T206" s="485"/>
      <c r="U206" s="485">
        <v>0.47460844803037494</v>
      </c>
      <c r="V206" s="485">
        <v>-11.957077158916713</v>
      </c>
      <c r="W206" s="485">
        <v>-0.20000000000000018</v>
      </c>
      <c r="X206" s="485">
        <v>-1</v>
      </c>
      <c r="Y206" s="485">
        <v>-4.4618589540137688</v>
      </c>
      <c r="Z206" s="485">
        <v>0</v>
      </c>
      <c r="AA206" s="485">
        <v>2.6065350897754396</v>
      </c>
    </row>
    <row r="207" spans="1:27" s="500" customFormat="1">
      <c r="A207" s="482"/>
      <c r="B207" s="483" t="s">
        <v>141</v>
      </c>
      <c r="C207" s="484">
        <v>10</v>
      </c>
      <c r="D207" s="485">
        <v>-10.76872873059531</v>
      </c>
      <c r="E207" s="485">
        <v>-7.0852332514907008</v>
      </c>
      <c r="F207" s="485">
        <v>-0.33444816053510995</v>
      </c>
      <c r="G207" s="485">
        <v>0.29850746268656714</v>
      </c>
      <c r="H207" s="485">
        <v>0.27210884353741499</v>
      </c>
      <c r="I207" s="485">
        <v>2</v>
      </c>
      <c r="J207" s="485">
        <v>-0.70000000000000284</v>
      </c>
      <c r="K207" s="485"/>
      <c r="L207" s="485">
        <v>0</v>
      </c>
      <c r="M207" s="485">
        <v>-1.9234367398869849</v>
      </c>
      <c r="N207" s="485">
        <v>-2.5316455696202591</v>
      </c>
      <c r="O207" s="485">
        <v>-6.74988441978733</v>
      </c>
      <c r="P207" s="485">
        <v>-6.3348416289592757</v>
      </c>
      <c r="Q207" s="485">
        <v>-2.982456140350882</v>
      </c>
      <c r="R207" s="485">
        <v>6.7000000000000028</v>
      </c>
      <c r="S207" s="485">
        <v>-6.1419462736489869</v>
      </c>
      <c r="T207" s="485"/>
      <c r="U207" s="485">
        <v>-0.47460844803037494</v>
      </c>
      <c r="V207" s="485">
        <v>-3.0905077262693128</v>
      </c>
      <c r="W207" s="485">
        <v>0</v>
      </c>
      <c r="X207" s="485">
        <v>0.69999999999999929</v>
      </c>
      <c r="Y207" s="485">
        <v>-1.1208995686450827</v>
      </c>
      <c r="Z207" s="485">
        <v>0.30000000000000004</v>
      </c>
      <c r="AA207" s="485">
        <v>-1.6329196603527105</v>
      </c>
    </row>
    <row r="208" spans="1:27" s="500" customFormat="1">
      <c r="A208" s="482"/>
      <c r="B208" s="483" t="s">
        <v>141</v>
      </c>
      <c r="C208" s="484">
        <v>11</v>
      </c>
      <c r="D208" s="485">
        <v>-11.976047904191617</v>
      </c>
      <c r="E208" s="485">
        <v>-1.7608217168011779</v>
      </c>
      <c r="F208" s="485">
        <v>9.1127098321342963</v>
      </c>
      <c r="G208" s="485">
        <v>2.5018395879323032</v>
      </c>
      <c r="H208" s="485">
        <v>-2.6152787336545078</v>
      </c>
      <c r="I208" s="485">
        <v>-5</v>
      </c>
      <c r="J208" s="485">
        <v>-0.59999999999999432</v>
      </c>
      <c r="K208" s="485"/>
      <c r="L208" s="485">
        <v>-3.0000000000000027E-2</v>
      </c>
      <c r="M208" s="485">
        <v>-2.3737089612155953</v>
      </c>
      <c r="N208" s="485">
        <v>-1.7241379310344767</v>
      </c>
      <c r="O208" s="485">
        <v>-7.1357779980178417</v>
      </c>
      <c r="P208" s="485">
        <v>3.4894398530762141</v>
      </c>
      <c r="Q208" s="485">
        <v>4.8653344917463155</v>
      </c>
      <c r="R208" s="485">
        <v>-5</v>
      </c>
      <c r="S208" s="485">
        <v>-0.64478438669753935</v>
      </c>
      <c r="T208" s="485"/>
      <c r="U208" s="485">
        <v>-0.38131553860819012</v>
      </c>
      <c r="V208" s="485">
        <v>-5.4116292458261404</v>
      </c>
      <c r="W208" s="485">
        <v>-9.9999999999999645E-2</v>
      </c>
      <c r="X208" s="485">
        <v>-4.4000000000000004</v>
      </c>
      <c r="Y208" s="485">
        <v>-3.2513125051180873</v>
      </c>
      <c r="Z208" s="485">
        <v>0.39999999999999991</v>
      </c>
      <c r="AA208" s="485">
        <v>-22.514130207243042</v>
      </c>
    </row>
    <row r="209" spans="1:27" s="500" customFormat="1">
      <c r="A209" s="486"/>
      <c r="B209" s="487" t="s">
        <v>141</v>
      </c>
      <c r="C209" s="488">
        <v>12</v>
      </c>
      <c r="D209" s="489">
        <v>7.4632585581490671</v>
      </c>
      <c r="E209" s="489">
        <v>3.2763014197306153</v>
      </c>
      <c r="F209" s="489">
        <v>-5.4988216810683523</v>
      </c>
      <c r="G209" s="489">
        <v>1.4225337594062468</v>
      </c>
      <c r="H209" s="489">
        <v>-5.8865757358219666</v>
      </c>
      <c r="I209" s="489">
        <v>6</v>
      </c>
      <c r="J209" s="489">
        <v>-0.70000000000000284</v>
      </c>
      <c r="K209" s="489"/>
      <c r="L209" s="489">
        <v>-1.9999999999999907E-2</v>
      </c>
      <c r="M209" s="489">
        <v>3.3938458696254714</v>
      </c>
      <c r="N209" s="489">
        <v>2.5751072961373449</v>
      </c>
      <c r="O209" s="489">
        <v>16.154936230514888</v>
      </c>
      <c r="P209" s="489">
        <v>0.7194244604316522</v>
      </c>
      <c r="Q209" s="489">
        <v>-0.68085106382979688</v>
      </c>
      <c r="R209" s="489">
        <v>-0.20000000000000284</v>
      </c>
      <c r="S209" s="489">
        <v>22.665332204172749</v>
      </c>
      <c r="T209" s="489"/>
      <c r="U209" s="489">
        <v>-0.4786979415988511</v>
      </c>
      <c r="V209" s="489">
        <v>20.879703232644413</v>
      </c>
      <c r="W209" s="489">
        <v>0</v>
      </c>
      <c r="X209" s="489">
        <v>4.1000000000000005</v>
      </c>
      <c r="Y209" s="489">
        <v>4.7536493604213694</v>
      </c>
      <c r="Z209" s="489">
        <v>-0.5</v>
      </c>
      <c r="AA209" s="489">
        <v>10.191688820484115</v>
      </c>
    </row>
    <row r="210" spans="1:27" s="500" customFormat="1">
      <c r="A210" s="490" t="s">
        <v>354</v>
      </c>
      <c r="B210" s="491">
        <v>2005</v>
      </c>
      <c r="C210" s="492">
        <v>1</v>
      </c>
      <c r="D210" s="493">
        <v>3.0726020675769479</v>
      </c>
      <c r="E210" s="493">
        <v>1.4224751066856332</v>
      </c>
      <c r="F210" s="493">
        <v>-2.122448979591832</v>
      </c>
      <c r="G210" s="493">
        <v>-3.6265110462692789</v>
      </c>
      <c r="H210" s="493">
        <v>-11.25</v>
      </c>
      <c r="I210" s="493">
        <v>-9</v>
      </c>
      <c r="J210" s="493">
        <v>-6.2999999999999972</v>
      </c>
      <c r="K210" s="493"/>
      <c r="L210" s="493">
        <v>9.9999999999998979E-3</v>
      </c>
      <c r="M210" s="493">
        <v>-6.9482674762289073E-2</v>
      </c>
      <c r="N210" s="493">
        <v>1.6806722689075571</v>
      </c>
      <c r="O210" s="493">
        <v>-7.4342701722574809</v>
      </c>
      <c r="P210" s="493">
        <v>2.9139072847682219</v>
      </c>
      <c r="Q210" s="493">
        <v>8.5360648740937711E-2</v>
      </c>
      <c r="R210" s="493">
        <v>2.2000000000000028</v>
      </c>
      <c r="S210" s="493">
        <v>-21.090853495394246</v>
      </c>
      <c r="T210" s="493"/>
      <c r="U210" s="493">
        <v>4.1353383458646533</v>
      </c>
      <c r="V210" s="493">
        <v>-16.74466978679148</v>
      </c>
      <c r="W210" s="493">
        <v>0</v>
      </c>
      <c r="X210" s="493">
        <v>0.10000000000000053</v>
      </c>
      <c r="Y210" s="493">
        <v>-6.7857197136647569</v>
      </c>
      <c r="Z210" s="493">
        <v>-0.49999999999999994</v>
      </c>
      <c r="AA210" s="493">
        <v>102.15842332191379</v>
      </c>
    </row>
    <row r="211" spans="1:27" s="500" customFormat="1">
      <c r="A211" s="482"/>
      <c r="B211" s="483" t="s">
        <v>141</v>
      </c>
      <c r="C211" s="484">
        <v>2</v>
      </c>
      <c r="D211" s="485">
        <v>-1.1530661839878018</v>
      </c>
      <c r="E211" s="485">
        <v>0.98383696416022881</v>
      </c>
      <c r="F211" s="485">
        <v>-2.6755852842809391</v>
      </c>
      <c r="G211" s="485">
        <v>-1.6047929817053601</v>
      </c>
      <c r="H211" s="485">
        <v>12.130637636080872</v>
      </c>
      <c r="I211" s="485">
        <v>5</v>
      </c>
      <c r="J211" s="485">
        <v>-6.4000000000000057</v>
      </c>
      <c r="K211" s="485"/>
      <c r="L211" s="485">
        <v>0</v>
      </c>
      <c r="M211" s="485">
        <v>1.0096765098600353</v>
      </c>
      <c r="N211" s="485">
        <v>-4.2553191489361701</v>
      </c>
      <c r="O211" s="485">
        <v>-9.4206311822900166E-2</v>
      </c>
      <c r="P211" s="485">
        <v>-0.3487358326068053</v>
      </c>
      <c r="Q211" s="485">
        <v>0.51063829787233561</v>
      </c>
      <c r="R211" s="485">
        <v>0</v>
      </c>
      <c r="S211" s="485">
        <v>13.903190537719903</v>
      </c>
      <c r="T211" s="485"/>
      <c r="U211" s="485">
        <v>0</v>
      </c>
      <c r="V211" s="485">
        <v>-0.79772079772078475</v>
      </c>
      <c r="W211" s="485">
        <v>9.9999999999999645E-2</v>
      </c>
      <c r="X211" s="485">
        <v>-2.7000000000000011</v>
      </c>
      <c r="Y211" s="485">
        <v>4.8231837065558825</v>
      </c>
      <c r="Z211" s="485">
        <v>-0.2</v>
      </c>
      <c r="AA211" s="485">
        <v>-92.381768680044374</v>
      </c>
    </row>
    <row r="212" spans="1:27" s="500" customFormat="1">
      <c r="A212" s="482"/>
      <c r="B212" s="483" t="s">
        <v>141</v>
      </c>
      <c r="C212" s="484">
        <v>3</v>
      </c>
      <c r="D212" s="485">
        <v>-0.44601375209069866</v>
      </c>
      <c r="E212" s="485">
        <v>-1.2667135819845261</v>
      </c>
      <c r="F212" s="485">
        <v>-3.098106712564539</v>
      </c>
      <c r="G212" s="485">
        <v>-1.3682267347160386</v>
      </c>
      <c r="H212" s="485">
        <v>19.695968274950431</v>
      </c>
      <c r="I212" s="485">
        <v>-4</v>
      </c>
      <c r="J212" s="485">
        <v>-6.2999999999999972</v>
      </c>
      <c r="K212" s="485"/>
      <c r="L212" s="485">
        <v>0</v>
      </c>
      <c r="M212" s="485">
        <v>-5.9298791787121184E-2</v>
      </c>
      <c r="N212" s="485">
        <v>3.4188034188034222</v>
      </c>
      <c r="O212" s="485">
        <v>-3.0622009569377884</v>
      </c>
      <c r="P212" s="485">
        <v>-6.4923354373309303</v>
      </c>
      <c r="Q212" s="485">
        <v>-3.4542314335060449</v>
      </c>
      <c r="R212" s="485">
        <v>7</v>
      </c>
      <c r="S212" s="485">
        <v>10.43953140139171</v>
      </c>
      <c r="T212" s="485"/>
      <c r="U212" s="485">
        <v>-0.18433179723501256</v>
      </c>
      <c r="V212" s="485">
        <v>-3.848396501457739</v>
      </c>
      <c r="W212" s="485">
        <v>-9.9999999999999645E-2</v>
      </c>
      <c r="X212" s="485">
        <v>1.2000000000000011</v>
      </c>
      <c r="Y212" s="485">
        <v>5.0851394885056216</v>
      </c>
      <c r="Z212" s="485">
        <v>0.1</v>
      </c>
      <c r="AA212" s="485">
        <v>1.9714716455989796</v>
      </c>
    </row>
    <row r="213" spans="1:27" s="500" customFormat="1">
      <c r="A213" s="482"/>
      <c r="B213" s="483" t="s">
        <v>141</v>
      </c>
      <c r="C213" s="484">
        <v>4</v>
      </c>
      <c r="D213" s="485">
        <v>-0.69152415662087352</v>
      </c>
      <c r="E213" s="485">
        <v>2.102312543798178</v>
      </c>
      <c r="F213" s="485">
        <v>1.388888888888884</v>
      </c>
      <c r="G213" s="485">
        <v>1.8201516793066088</v>
      </c>
      <c r="H213" s="485">
        <v>-15.56420233463035</v>
      </c>
      <c r="I213" s="485">
        <v>9</v>
      </c>
      <c r="J213" s="485">
        <v>1.7000000000000028</v>
      </c>
      <c r="K213" s="485"/>
      <c r="L213" s="485">
        <v>0</v>
      </c>
      <c r="M213" s="485">
        <v>7.5602845553313482</v>
      </c>
      <c r="N213" s="485">
        <v>1.6666666666666607</v>
      </c>
      <c r="O213" s="485">
        <v>-1.0747435271128565</v>
      </c>
      <c r="P213" s="485">
        <v>-1.0304449648711891</v>
      </c>
      <c r="Q213" s="485">
        <v>1.6557734204793078</v>
      </c>
      <c r="R213" s="485">
        <v>0.70000000000000284</v>
      </c>
      <c r="S213" s="485">
        <v>-7.5834984186563892</v>
      </c>
      <c r="T213" s="485"/>
      <c r="U213" s="485">
        <v>0.36832412523019475</v>
      </c>
      <c r="V213" s="485">
        <v>-3.7552998182919377</v>
      </c>
      <c r="W213" s="485">
        <v>0</v>
      </c>
      <c r="X213" s="485">
        <v>2.5999999999999996</v>
      </c>
      <c r="Y213" s="485">
        <v>-9.8369869873610725</v>
      </c>
      <c r="Z213" s="485">
        <v>0.5</v>
      </c>
      <c r="AA213" s="485">
        <v>-11.57490645803975</v>
      </c>
    </row>
    <row r="214" spans="1:27" s="500" customFormat="1">
      <c r="A214" s="482"/>
      <c r="B214" s="483" t="s">
        <v>141</v>
      </c>
      <c r="C214" s="484">
        <v>5</v>
      </c>
      <c r="D214" s="485">
        <v>-0.72209578891531312</v>
      </c>
      <c r="E214" s="485">
        <v>-2.3859649122806856</v>
      </c>
      <c r="F214" s="485">
        <v>-3.8664323374340999</v>
      </c>
      <c r="G214" s="485">
        <v>6.2610504420176811</v>
      </c>
      <c r="H214" s="485">
        <v>6.5306122448979593</v>
      </c>
      <c r="I214" s="485">
        <v>-5</v>
      </c>
      <c r="J214" s="485">
        <v>1.5999999999999943</v>
      </c>
      <c r="K214" s="485"/>
      <c r="L214" s="485">
        <v>0</v>
      </c>
      <c r="M214" s="485">
        <v>-12.157263105258771</v>
      </c>
      <c r="N214" s="485">
        <v>4.048582995951417</v>
      </c>
      <c r="O214" s="485">
        <v>2.8087167070217971</v>
      </c>
      <c r="P214" s="485">
        <v>1.5880429705745003</v>
      </c>
      <c r="Q214" s="485">
        <v>1.1173184357541877</v>
      </c>
      <c r="R214" s="485">
        <v>-1.6000000000000085</v>
      </c>
      <c r="S214" s="485">
        <v>-23.19243716111345</v>
      </c>
      <c r="T214" s="485"/>
      <c r="U214" s="485">
        <v>-0.27611596870685423</v>
      </c>
      <c r="V214" s="485">
        <v>6.9129916567342038</v>
      </c>
      <c r="W214" s="485">
        <v>0</v>
      </c>
      <c r="X214" s="485">
        <v>9.9999999999999645E-2</v>
      </c>
      <c r="Y214" s="485">
        <v>5.9194888490865987</v>
      </c>
      <c r="Z214" s="485">
        <v>-0.5</v>
      </c>
      <c r="AA214" s="485">
        <v>6.0666683337917915</v>
      </c>
    </row>
    <row r="215" spans="1:27" s="500" customFormat="1">
      <c r="A215" s="482"/>
      <c r="B215" s="483" t="s">
        <v>141</v>
      </c>
      <c r="C215" s="484">
        <v>6</v>
      </c>
      <c r="D215" s="485">
        <v>1.921932137086487</v>
      </c>
      <c r="E215" s="485">
        <v>1.5503875968992167</v>
      </c>
      <c r="F215" s="485">
        <v>-13.588516746411472</v>
      </c>
      <c r="G215" s="485">
        <v>-7.5562532705389849</v>
      </c>
      <c r="H215" s="485">
        <v>2.7290448343079921</v>
      </c>
      <c r="I215" s="485">
        <v>1</v>
      </c>
      <c r="J215" s="485">
        <v>1.7000000000000028</v>
      </c>
      <c r="K215" s="485"/>
      <c r="L215" s="485">
        <v>0</v>
      </c>
      <c r="M215" s="485">
        <v>6.4770940547038078</v>
      </c>
      <c r="N215" s="485">
        <v>-1.5999999999999943</v>
      </c>
      <c r="O215" s="485">
        <v>2.5459688826025482</v>
      </c>
      <c r="P215" s="485">
        <v>-1.1183597390493967</v>
      </c>
      <c r="Q215" s="485">
        <v>-4.277608031427329</v>
      </c>
      <c r="R215" s="485">
        <v>1.5</v>
      </c>
      <c r="S215" s="485">
        <v>39.091592831067814</v>
      </c>
      <c r="T215" s="485"/>
      <c r="U215" s="485">
        <v>-0.18450184501845279</v>
      </c>
      <c r="V215" s="485">
        <v>3.1746031746031718</v>
      </c>
      <c r="W215" s="485">
        <v>-0.20000000000000018</v>
      </c>
      <c r="X215" s="485">
        <v>-0.89999999999999947</v>
      </c>
      <c r="Y215" s="485">
        <v>-3.0240219009942688</v>
      </c>
      <c r="Z215" s="485">
        <v>-0.4</v>
      </c>
      <c r="AA215" s="485">
        <v>-4.5017992306737717</v>
      </c>
    </row>
    <row r="216" spans="1:27" s="500" customFormat="1">
      <c r="A216" s="482"/>
      <c r="B216" s="483" t="s">
        <v>141</v>
      </c>
      <c r="C216" s="484">
        <v>7</v>
      </c>
      <c r="D216" s="485">
        <v>0.66155111909598596</v>
      </c>
      <c r="E216" s="485">
        <v>-1.4793941528707253</v>
      </c>
      <c r="F216" s="485">
        <v>-0.20554984583761851</v>
      </c>
      <c r="G216" s="485">
        <v>0.97413139950211058</v>
      </c>
      <c r="H216" s="485">
        <v>-5.669083717864206</v>
      </c>
      <c r="I216" s="485">
        <v>3</v>
      </c>
      <c r="J216" s="485">
        <v>2.2999999999999972</v>
      </c>
      <c r="K216" s="485"/>
      <c r="L216" s="485">
        <v>-9.9999999999998979E-3</v>
      </c>
      <c r="M216" s="485">
        <v>-1.2184981617935455</v>
      </c>
      <c r="N216" s="485">
        <v>1.5999999999999943</v>
      </c>
      <c r="O216" s="485">
        <v>-3.4090909090909172</v>
      </c>
      <c r="P216" s="485">
        <v>0</v>
      </c>
      <c r="Q216" s="485">
        <v>-1.7094017094017016</v>
      </c>
      <c r="R216" s="485">
        <v>0.20000000000000284</v>
      </c>
      <c r="S216" s="485">
        <v>-20.024646757938445</v>
      </c>
      <c r="T216" s="485"/>
      <c r="U216" s="485">
        <v>-9.237875288683077E-2</v>
      </c>
      <c r="V216" s="485">
        <v>-5.034324942791752</v>
      </c>
      <c r="W216" s="485">
        <v>0.10000000000000053</v>
      </c>
      <c r="X216" s="485">
        <v>-0.60000000000000053</v>
      </c>
      <c r="Y216" s="485">
        <v>0.28245313291158547</v>
      </c>
      <c r="Z216" s="485">
        <v>0.3</v>
      </c>
      <c r="AA216" s="485">
        <v>7.6757812499999911</v>
      </c>
    </row>
    <row r="217" spans="1:27" s="500" customFormat="1">
      <c r="A217" s="482"/>
      <c r="B217" s="483" t="s">
        <v>141</v>
      </c>
      <c r="C217" s="484">
        <v>8</v>
      </c>
      <c r="D217" s="485">
        <v>9.3317485262091555</v>
      </c>
      <c r="E217" s="485">
        <v>0</v>
      </c>
      <c r="F217" s="485">
        <v>-11.995637949836423</v>
      </c>
      <c r="G217" s="485">
        <v>-1.431980906921241</v>
      </c>
      <c r="H217" s="485">
        <v>-5.722260990928123</v>
      </c>
      <c r="I217" s="485">
        <v>-6</v>
      </c>
      <c r="J217" s="485">
        <v>2.4000000000000057</v>
      </c>
      <c r="K217" s="485"/>
      <c r="L217" s="485">
        <v>2.9999999999999916E-2</v>
      </c>
      <c r="M217" s="485">
        <v>-0.34048205090365935</v>
      </c>
      <c r="N217" s="485">
        <v>1.5748031496063077</v>
      </c>
      <c r="O217" s="485">
        <v>2.5677603423680484</v>
      </c>
      <c r="P217" s="485">
        <v>2.5901942645698401</v>
      </c>
      <c r="Q217" s="485">
        <v>5.1282051282051269</v>
      </c>
      <c r="R217" s="485">
        <v>-3.7000000000000028</v>
      </c>
      <c r="S217" s="485">
        <v>3.9680058839753474</v>
      </c>
      <c r="T217" s="485"/>
      <c r="U217" s="485">
        <v>0.18467220683287425</v>
      </c>
      <c r="V217" s="485">
        <v>5.5904164289788829</v>
      </c>
      <c r="W217" s="485">
        <v>-0.10000000000000053</v>
      </c>
      <c r="X217" s="485">
        <v>0.80000000000000071</v>
      </c>
      <c r="Y217" s="485">
        <v>-4.1640625728757588</v>
      </c>
      <c r="Z217" s="485">
        <v>0</v>
      </c>
      <c r="AA217" s="485">
        <v>-16.354248798229776</v>
      </c>
    </row>
    <row r="218" spans="1:27" s="500" customFormat="1">
      <c r="A218" s="482"/>
      <c r="B218" s="483" t="s">
        <v>141</v>
      </c>
      <c r="C218" s="484">
        <v>9</v>
      </c>
      <c r="D218" s="485">
        <v>-3.9165099544628008</v>
      </c>
      <c r="E218" s="485">
        <v>0.70721357850070721</v>
      </c>
      <c r="F218" s="485">
        <v>4.97737556561085</v>
      </c>
      <c r="G218" s="485">
        <v>2.5245441795231418</v>
      </c>
      <c r="H218" s="485">
        <v>34.581105169340461</v>
      </c>
      <c r="I218" s="485">
        <v>1</v>
      </c>
      <c r="J218" s="485">
        <v>2.2999999999999972</v>
      </c>
      <c r="K218" s="485"/>
      <c r="L218" s="485">
        <v>2.0000000000000018E-2</v>
      </c>
      <c r="M218" s="485">
        <v>-3.3889568971071498</v>
      </c>
      <c r="N218" s="485">
        <v>0.77821011673151463</v>
      </c>
      <c r="O218" s="485">
        <v>-3.8277511961722488</v>
      </c>
      <c r="P218" s="485">
        <v>-5.8270676691729344</v>
      </c>
      <c r="Q218" s="485">
        <v>-0.86580086580086579</v>
      </c>
      <c r="R218" s="485">
        <v>6.1000000000000085</v>
      </c>
      <c r="S218" s="485">
        <v>-7.5826191099966298</v>
      </c>
      <c r="T218" s="485"/>
      <c r="U218" s="485">
        <v>-0.27713625866051861</v>
      </c>
      <c r="V218" s="485">
        <v>-9.048723897911831</v>
      </c>
      <c r="W218" s="485">
        <v>-9.9999999999999645E-2</v>
      </c>
      <c r="X218" s="485">
        <v>-0.5</v>
      </c>
      <c r="Y218" s="485">
        <v>7.4041456243435029</v>
      </c>
      <c r="Z218" s="485">
        <v>0.1</v>
      </c>
      <c r="AA218" s="485">
        <v>-3.7358916478555204</v>
      </c>
    </row>
    <row r="219" spans="1:27" s="500" customFormat="1">
      <c r="A219" s="482"/>
      <c r="B219" s="483" t="s">
        <v>141</v>
      </c>
      <c r="C219" s="484">
        <v>10</v>
      </c>
      <c r="D219" s="485">
        <v>0.73913798821801691</v>
      </c>
      <c r="E219" s="485">
        <v>0.56219255094868792</v>
      </c>
      <c r="F219" s="485">
        <v>4.9515608180839701</v>
      </c>
      <c r="G219" s="485">
        <v>-3.8662033014769763</v>
      </c>
      <c r="H219" s="485">
        <v>-18.121546961325969</v>
      </c>
      <c r="I219" s="485">
        <v>0</v>
      </c>
      <c r="J219" s="485">
        <v>3.2999999999999972</v>
      </c>
      <c r="K219" s="485"/>
      <c r="L219" s="485">
        <v>1.0000000000000009E-2</v>
      </c>
      <c r="M219" s="485">
        <v>-0.80939690060210434</v>
      </c>
      <c r="N219" s="485">
        <v>0.77220077220076955</v>
      </c>
      <c r="O219" s="485">
        <v>8.8578088578088572</v>
      </c>
      <c r="P219" s="485">
        <v>7.0961718020541635</v>
      </c>
      <c r="Q219" s="485">
        <v>1.8095648427401934</v>
      </c>
      <c r="R219" s="485">
        <v>-7.9000000000000057</v>
      </c>
      <c r="S219" s="485">
        <v>-19.779843967083462</v>
      </c>
      <c r="T219" s="485"/>
      <c r="U219" s="485">
        <v>9.2464170134080925E-2</v>
      </c>
      <c r="V219" s="485">
        <v>16.601671309192206</v>
      </c>
      <c r="W219" s="485">
        <v>0.20000000000000018</v>
      </c>
      <c r="X219" s="485">
        <v>-1.3000000000000007</v>
      </c>
      <c r="Y219" s="485">
        <v>-1.7007343877549503</v>
      </c>
      <c r="Z219" s="485">
        <v>0.1</v>
      </c>
      <c r="AA219" s="485">
        <v>11.501355013550125</v>
      </c>
    </row>
    <row r="220" spans="1:27" s="500" customFormat="1">
      <c r="A220" s="482"/>
      <c r="B220" s="483" t="s">
        <v>141</v>
      </c>
      <c r="C220" s="484">
        <v>11</v>
      </c>
      <c r="D220" s="485">
        <v>4.0061680801850308</v>
      </c>
      <c r="E220" s="485">
        <v>0.41958041958043546</v>
      </c>
      <c r="F220" s="485">
        <v>12.966601178781927</v>
      </c>
      <c r="G220" s="485">
        <v>-0.88987764182424911</v>
      </c>
      <c r="H220" s="485">
        <v>0.84694494857834246</v>
      </c>
      <c r="I220" s="485">
        <v>0</v>
      </c>
      <c r="J220" s="485">
        <v>3.4000000000000057</v>
      </c>
      <c r="K220" s="485"/>
      <c r="L220" s="485">
        <v>2.0000000000000018E-2</v>
      </c>
      <c r="M220" s="485">
        <v>-1.7081107495474201</v>
      </c>
      <c r="N220" s="485">
        <v>-1.5503875968992193</v>
      </c>
      <c r="O220" s="485">
        <v>-2.5316455696202507</v>
      </c>
      <c r="P220" s="485">
        <v>2.6690391459074734</v>
      </c>
      <c r="Q220" s="485">
        <v>2.9448885149347919</v>
      </c>
      <c r="R220" s="485">
        <v>-2.0999999999999943</v>
      </c>
      <c r="S220" s="485">
        <v>44.9303882441653</v>
      </c>
      <c r="T220" s="485"/>
      <c r="U220" s="485">
        <v>-0.46317739694302917</v>
      </c>
      <c r="V220" s="485">
        <v>2.7397260273972628</v>
      </c>
      <c r="W220" s="485">
        <v>9.9999999999999645E-2</v>
      </c>
      <c r="X220" s="485">
        <v>7.1000000000000005</v>
      </c>
      <c r="Y220" s="485">
        <v>-5.6173556152741995</v>
      </c>
      <c r="Z220" s="485">
        <v>-0.30000000000000004</v>
      </c>
      <c r="AA220" s="485">
        <v>8.8047232906244783</v>
      </c>
    </row>
    <row r="221" spans="1:27" s="500" customFormat="1">
      <c r="A221" s="494"/>
      <c r="B221" s="495" t="s">
        <v>141</v>
      </c>
      <c r="C221" s="496">
        <v>12</v>
      </c>
      <c r="D221" s="497">
        <v>6.5224703490837834</v>
      </c>
      <c r="E221" s="497">
        <v>-1.9732205778717486</v>
      </c>
      <c r="F221" s="497">
        <v>35.508345978755671</v>
      </c>
      <c r="G221" s="497">
        <v>-6.7452067452067448</v>
      </c>
      <c r="H221" s="497">
        <v>-34.132581100141046</v>
      </c>
      <c r="I221" s="497">
        <v>1</v>
      </c>
      <c r="J221" s="497">
        <v>3.2999999999999972</v>
      </c>
      <c r="K221" s="497"/>
      <c r="L221" s="497">
        <v>4.9999999999999933E-2</v>
      </c>
      <c r="M221" s="497">
        <v>-1.6079494128274781</v>
      </c>
      <c r="N221" s="497">
        <v>-2.37154150197629</v>
      </c>
      <c r="O221" s="497">
        <v>-3.9215686274509833</v>
      </c>
      <c r="P221" s="497">
        <v>-1.9503546099290803</v>
      </c>
      <c r="Q221" s="497">
        <v>-1.5879648976180454</v>
      </c>
      <c r="R221" s="497">
        <v>2.5</v>
      </c>
      <c r="S221" s="497">
        <v>-23.277336284076057</v>
      </c>
      <c r="T221" s="497"/>
      <c r="U221" s="497">
        <v>-9.2893636785888078E-2</v>
      </c>
      <c r="V221" s="497">
        <v>-11.540497617787194</v>
      </c>
      <c r="W221" s="497">
        <v>-9.9999999999999645E-2</v>
      </c>
      <c r="X221" s="497">
        <v>-2.4000000000000004</v>
      </c>
      <c r="Y221" s="497">
        <v>4.8860509528511251</v>
      </c>
      <c r="Z221" s="497">
        <v>0.5</v>
      </c>
      <c r="AA221" s="497">
        <v>4.6884667384678718</v>
      </c>
    </row>
    <row r="222" spans="1:27" s="500" customFormat="1">
      <c r="A222" s="478" t="s">
        <v>355</v>
      </c>
      <c r="B222" s="479">
        <v>2006</v>
      </c>
      <c r="C222" s="480">
        <v>1</v>
      </c>
      <c r="D222" s="481">
        <v>1.0355540214014498</v>
      </c>
      <c r="E222" s="481">
        <v>-1.0014306151645247</v>
      </c>
      <c r="F222" s="481">
        <v>-7.9035498995311322</v>
      </c>
      <c r="G222" s="481">
        <v>10.079455164585697</v>
      </c>
      <c r="H222" s="481">
        <v>46.173969914977107</v>
      </c>
      <c r="I222" s="481">
        <v>-3</v>
      </c>
      <c r="J222" s="481">
        <v>0</v>
      </c>
      <c r="K222" s="481"/>
      <c r="L222" s="481">
        <v>3.0000000000000027E-2</v>
      </c>
      <c r="M222" s="481">
        <v>-1.7094605842474717</v>
      </c>
      <c r="N222" s="481">
        <v>2.37154150197629</v>
      </c>
      <c r="O222" s="481">
        <v>1.1363636363636391</v>
      </c>
      <c r="P222" s="481">
        <v>1.3339261894175189</v>
      </c>
      <c r="Q222" s="481">
        <v>-3.0795551753635659</v>
      </c>
      <c r="R222" s="481">
        <v>-0.10000000000000853</v>
      </c>
      <c r="S222" s="481">
        <v>19.741432382515914</v>
      </c>
      <c r="T222" s="481"/>
      <c r="U222" s="481">
        <v>0.4636068613815485</v>
      </c>
      <c r="V222" s="481">
        <v>0.224466891133561</v>
      </c>
      <c r="W222" s="481">
        <v>0</v>
      </c>
      <c r="X222" s="481">
        <v>-0.69999999999999973</v>
      </c>
      <c r="Y222" s="481">
        <v>4.1272377570646546</v>
      </c>
      <c r="Z222" s="481">
        <v>0.6</v>
      </c>
      <c r="AA222" s="481">
        <v>-15.664686851127522</v>
      </c>
    </row>
    <row r="223" spans="1:27" s="500" customFormat="1">
      <c r="A223" s="482"/>
      <c r="B223" s="483" t="s">
        <v>141</v>
      </c>
      <c r="C223" s="484">
        <v>2</v>
      </c>
      <c r="D223" s="485">
        <v>-6.9171536710219117</v>
      </c>
      <c r="E223" s="485">
        <v>-2.4008730447435309</v>
      </c>
      <c r="F223" s="485">
        <v>2.8865979381443219</v>
      </c>
      <c r="G223" s="485">
        <v>-1.502449646162221</v>
      </c>
      <c r="H223" s="485">
        <v>-31.630769230769232</v>
      </c>
      <c r="I223" s="485">
        <v>1</v>
      </c>
      <c r="J223" s="485">
        <v>0</v>
      </c>
      <c r="K223" s="485"/>
      <c r="L223" s="485">
        <v>1.0000000000000009E-2</v>
      </c>
      <c r="M223" s="485">
        <v>-0.17616448199528192</v>
      </c>
      <c r="N223" s="485">
        <v>-0.78431372549020717</v>
      </c>
      <c r="O223" s="485">
        <v>-2.6717557251908368</v>
      </c>
      <c r="P223" s="485">
        <v>8.8300220750546859E-2</v>
      </c>
      <c r="Q223" s="485">
        <v>3.2478632478632576</v>
      </c>
      <c r="R223" s="485">
        <v>0.30000000000001137</v>
      </c>
      <c r="S223" s="485">
        <v>12.966143634828681</v>
      </c>
      <c r="T223" s="485"/>
      <c r="U223" s="485">
        <v>0.18484288354898601</v>
      </c>
      <c r="V223" s="485">
        <v>-2.2675736961451247</v>
      </c>
      <c r="W223" s="485">
        <v>-0.30000000000000071</v>
      </c>
      <c r="X223" s="485">
        <v>0.69999999999999973</v>
      </c>
      <c r="Y223" s="485">
        <v>-12.7984847877253</v>
      </c>
      <c r="Z223" s="485">
        <v>0.19999999999999996</v>
      </c>
      <c r="AA223" s="485">
        <v>-5.2807055280705546</v>
      </c>
    </row>
    <row r="224" spans="1:27" s="500" customFormat="1">
      <c r="A224" s="482"/>
      <c r="B224" s="483" t="s">
        <v>141</v>
      </c>
      <c r="C224" s="484">
        <v>3</v>
      </c>
      <c r="D224" s="485">
        <v>-1.4616210981828002</v>
      </c>
      <c r="E224" s="485">
        <v>1.4619883040935671</v>
      </c>
      <c r="F224" s="485">
        <v>20.109689213893969</v>
      </c>
      <c r="G224" s="485">
        <v>3.8515330823023133</v>
      </c>
      <c r="H224" s="485">
        <v>-9.1743119266055047</v>
      </c>
      <c r="I224" s="485">
        <v>4</v>
      </c>
      <c r="J224" s="485">
        <v>0</v>
      </c>
      <c r="K224" s="485"/>
      <c r="L224" s="485">
        <v>0</v>
      </c>
      <c r="M224" s="485">
        <v>-2.7505512273996939</v>
      </c>
      <c r="N224" s="485">
        <v>0</v>
      </c>
      <c r="O224" s="485">
        <v>2.4832855778414462</v>
      </c>
      <c r="P224" s="485">
        <v>1.2280701754386014</v>
      </c>
      <c r="Q224" s="485">
        <v>0</v>
      </c>
      <c r="R224" s="485">
        <v>-0.5</v>
      </c>
      <c r="S224" s="485">
        <v>-20.794977816678234</v>
      </c>
      <c r="T224" s="485"/>
      <c r="U224" s="485">
        <v>0.27662517289073046</v>
      </c>
      <c r="V224" s="485">
        <v>3.0491247882552259</v>
      </c>
      <c r="W224" s="485">
        <v>0</v>
      </c>
      <c r="X224" s="485">
        <v>3.1</v>
      </c>
      <c r="Y224" s="485">
        <v>1.4565203166917491</v>
      </c>
      <c r="Z224" s="485">
        <v>0</v>
      </c>
      <c r="AA224" s="485">
        <v>12.597039643929204</v>
      </c>
    </row>
    <row r="225" spans="1:27" s="500" customFormat="1">
      <c r="A225" s="482"/>
      <c r="B225" s="483" t="s">
        <v>141</v>
      </c>
      <c r="C225" s="484">
        <v>4</v>
      </c>
      <c r="D225" s="485">
        <v>8.1749605286240552</v>
      </c>
      <c r="E225" s="485">
        <v>-0.29069767441860872</v>
      </c>
      <c r="F225" s="485">
        <v>-11.104617182933957</v>
      </c>
      <c r="G225" s="485">
        <v>-2.7825342465753424</v>
      </c>
      <c r="H225" s="485">
        <v>15.384615384615385</v>
      </c>
      <c r="I225" s="485">
        <v>-1</v>
      </c>
      <c r="J225" s="485">
        <v>1</v>
      </c>
      <c r="K225" s="485"/>
      <c r="L225" s="485">
        <v>2.0000000000000018E-2</v>
      </c>
      <c r="M225" s="485">
        <v>-0.8032801604165869</v>
      </c>
      <c r="N225" s="485">
        <v>-1.5873015873015817</v>
      </c>
      <c r="O225" s="485">
        <v>6.6575467396260803</v>
      </c>
      <c r="P225" s="485">
        <v>1.8142548596112262</v>
      </c>
      <c r="Q225" s="485">
        <v>5.0819672131147451</v>
      </c>
      <c r="R225" s="485">
        <v>-2.3000000000000114</v>
      </c>
      <c r="S225" s="485">
        <v>14.005356555515526</v>
      </c>
      <c r="T225" s="485"/>
      <c r="U225" s="485">
        <v>-0.18433179723501256</v>
      </c>
      <c r="V225" s="485">
        <v>11.134453781512599</v>
      </c>
      <c r="W225" s="485">
        <v>0</v>
      </c>
      <c r="X225" s="485">
        <v>-2.6</v>
      </c>
      <c r="Y225" s="485">
        <v>13.043240650218905</v>
      </c>
      <c r="Z225" s="485">
        <v>-0.29999999999999993</v>
      </c>
      <c r="AA225" s="485">
        <v>5.4189758893467896</v>
      </c>
    </row>
    <row r="226" spans="1:27" s="500" customFormat="1">
      <c r="A226" s="482"/>
      <c r="B226" s="483" t="s">
        <v>141</v>
      </c>
      <c r="C226" s="484">
        <v>5</v>
      </c>
      <c r="D226" s="485">
        <v>1.0353427739082495</v>
      </c>
      <c r="E226" s="485">
        <v>3.0813328556072968</v>
      </c>
      <c r="F226" s="485">
        <v>-0.24783147459727742</v>
      </c>
      <c r="G226" s="485">
        <v>-1.6192560175054704</v>
      </c>
      <c r="H226" s="485">
        <v>-5.6497175141242941</v>
      </c>
      <c r="I226" s="485">
        <v>0</v>
      </c>
      <c r="J226" s="485">
        <v>1</v>
      </c>
      <c r="K226" s="485"/>
      <c r="L226" s="485">
        <v>1.0000000000000009E-2</v>
      </c>
      <c r="M226" s="485">
        <v>-2.5206453144112548</v>
      </c>
      <c r="N226" s="485">
        <v>0.79681274900398114</v>
      </c>
      <c r="O226" s="485">
        <v>-2.1409455842997249</v>
      </c>
      <c r="P226" s="485">
        <v>-2.2510822510822464</v>
      </c>
      <c r="Q226" s="485">
        <v>-1.3682092555331899</v>
      </c>
      <c r="R226" s="485">
        <v>2.5</v>
      </c>
      <c r="S226" s="485">
        <v>-35.96988118264715</v>
      </c>
      <c r="T226" s="485"/>
      <c r="U226" s="485">
        <v>0</v>
      </c>
      <c r="V226" s="485">
        <v>-4.9974502804691543</v>
      </c>
      <c r="W226" s="485">
        <v>0</v>
      </c>
      <c r="X226" s="485">
        <v>1.9</v>
      </c>
      <c r="Y226" s="485">
        <v>-8.969998749203361</v>
      </c>
      <c r="Z226" s="485">
        <v>0.20000000000000007</v>
      </c>
      <c r="AA226" s="485">
        <v>13.89979615921037</v>
      </c>
    </row>
    <row r="227" spans="1:27" s="500" customFormat="1">
      <c r="A227" s="482"/>
      <c r="B227" s="483" t="s">
        <v>141</v>
      </c>
      <c r="C227" s="484">
        <v>6</v>
      </c>
      <c r="D227" s="485">
        <v>-2.6121793743443145</v>
      </c>
      <c r="E227" s="485">
        <v>-3.8115785688601096</v>
      </c>
      <c r="F227" s="485">
        <v>10.017678255745434</v>
      </c>
      <c r="G227" s="485">
        <v>1.1406010089932002</v>
      </c>
      <c r="H227" s="485">
        <v>27.027027027027028</v>
      </c>
      <c r="I227" s="485">
        <v>0</v>
      </c>
      <c r="J227" s="485">
        <v>1</v>
      </c>
      <c r="K227" s="485"/>
      <c r="L227" s="485">
        <v>2.0000000000000018E-2</v>
      </c>
      <c r="M227" s="485">
        <v>2.5699058187924226</v>
      </c>
      <c r="N227" s="485">
        <v>0</v>
      </c>
      <c r="O227" s="485">
        <v>0.18018018018016993</v>
      </c>
      <c r="P227" s="485">
        <v>2.0797227036395074</v>
      </c>
      <c r="Q227" s="485">
        <v>3.1897926634768741</v>
      </c>
      <c r="R227" s="485">
        <v>-3.1999999999999886</v>
      </c>
      <c r="S227" s="485">
        <v>20.222592368261655</v>
      </c>
      <c r="T227" s="485"/>
      <c r="U227" s="485">
        <v>-0.46232085067036521</v>
      </c>
      <c r="V227" s="485">
        <v>2.3772609819121566</v>
      </c>
      <c r="W227" s="485">
        <v>0.10000000000000053</v>
      </c>
      <c r="X227" s="485">
        <v>-3</v>
      </c>
      <c r="Y227" s="485">
        <v>-2.1260270519375144</v>
      </c>
      <c r="Z227" s="485">
        <v>0.19999999999999996</v>
      </c>
      <c r="AA227" s="485">
        <v>-5.9031291954972485</v>
      </c>
    </row>
    <row r="228" spans="1:27" s="500" customFormat="1">
      <c r="A228" s="482"/>
      <c r="B228" s="483" t="s">
        <v>141</v>
      </c>
      <c r="C228" s="484">
        <v>7</v>
      </c>
      <c r="D228" s="485">
        <v>-1.9493008882069482</v>
      </c>
      <c r="E228" s="485">
        <v>3.2455824017309771</v>
      </c>
      <c r="F228" s="485">
        <v>3.3112582781456954</v>
      </c>
      <c r="G228" s="485">
        <v>0.19609979300577404</v>
      </c>
      <c r="H228" s="485">
        <v>-6.4</v>
      </c>
      <c r="I228" s="485">
        <v>2</v>
      </c>
      <c r="J228" s="485">
        <v>1.2999999999999972</v>
      </c>
      <c r="K228" s="485"/>
      <c r="L228" s="485">
        <v>1.0000000000000009E-2</v>
      </c>
      <c r="M228" s="485">
        <v>-2.1848831348640023</v>
      </c>
      <c r="N228" s="485">
        <v>2.3529411764705936</v>
      </c>
      <c r="O228" s="485">
        <v>0.35938903863432675</v>
      </c>
      <c r="P228" s="485">
        <v>8.5726532361773272E-2</v>
      </c>
      <c r="Q228" s="485">
        <v>-0.47206923682140722</v>
      </c>
      <c r="R228" s="485">
        <v>-0.60000000000000853</v>
      </c>
      <c r="S228" s="485">
        <v>10.140173952774932</v>
      </c>
      <c r="T228" s="485"/>
      <c r="U228" s="485">
        <v>-0.18552875695733101</v>
      </c>
      <c r="V228" s="485">
        <v>-1.4403292181070018</v>
      </c>
      <c r="W228" s="485">
        <v>-0.10000000000000053</v>
      </c>
      <c r="X228" s="485">
        <v>2.4</v>
      </c>
      <c r="Y228" s="485">
        <v>7.760210743188118</v>
      </c>
      <c r="Z228" s="485">
        <v>-0.5</v>
      </c>
      <c r="AA228" s="485">
        <v>-4.7811022249340924</v>
      </c>
    </row>
    <row r="229" spans="1:27" s="500" customFormat="1">
      <c r="A229" s="482"/>
      <c r="B229" s="483" t="s">
        <v>141</v>
      </c>
      <c r="C229" s="484">
        <v>8</v>
      </c>
      <c r="D229" s="485">
        <v>4.845292768971956</v>
      </c>
      <c r="E229" s="485">
        <v>2.3149772009820992</v>
      </c>
      <c r="F229" s="485">
        <v>-5.9250978200111772</v>
      </c>
      <c r="G229" s="485">
        <v>-5.0435170720821247</v>
      </c>
      <c r="H229" s="485">
        <v>-7.5980392156862742</v>
      </c>
      <c r="I229" s="485">
        <v>1</v>
      </c>
      <c r="J229" s="485">
        <v>1.4000000000000057</v>
      </c>
      <c r="K229" s="485"/>
      <c r="L229" s="485">
        <v>-2.0000000000000018E-2</v>
      </c>
      <c r="M229" s="485">
        <v>1.9503653895259014</v>
      </c>
      <c r="N229" s="485">
        <v>-3.1496062992126013</v>
      </c>
      <c r="O229" s="485">
        <v>2.8293545534924873</v>
      </c>
      <c r="P229" s="485">
        <v>-8.5726532361773272E-2</v>
      </c>
      <c r="Q229" s="485">
        <v>1.7200938232994549</v>
      </c>
      <c r="R229" s="485">
        <v>0.70000000000000284</v>
      </c>
      <c r="S229" s="485">
        <v>7.6793261548111511</v>
      </c>
      <c r="T229" s="485"/>
      <c r="U229" s="485">
        <v>-0.18587360594795804</v>
      </c>
      <c r="V229" s="485">
        <v>3.8617886178861758</v>
      </c>
      <c r="W229" s="485">
        <v>0</v>
      </c>
      <c r="X229" s="485">
        <v>0.7</v>
      </c>
      <c r="Y229" s="485">
        <v>7.8732623038301863</v>
      </c>
      <c r="Z229" s="485">
        <v>0.39999999999999991</v>
      </c>
      <c r="AA229" s="485">
        <v>-9.0397853225994549</v>
      </c>
    </row>
    <row r="230" spans="1:27" s="500" customFormat="1">
      <c r="A230" s="482"/>
      <c r="B230" s="483" t="s">
        <v>141</v>
      </c>
      <c r="C230" s="484">
        <v>9</v>
      </c>
      <c r="D230" s="485">
        <v>-0.5434291631051954</v>
      </c>
      <c r="E230" s="485">
        <v>-1.0456605088881143</v>
      </c>
      <c r="F230" s="485">
        <v>-8.5285285285285219</v>
      </c>
      <c r="G230" s="485">
        <v>3.7956204379562042</v>
      </c>
      <c r="H230" s="485">
        <v>12.200956937799043</v>
      </c>
      <c r="I230" s="485">
        <v>3</v>
      </c>
      <c r="J230" s="485">
        <v>1.2999999999999972</v>
      </c>
      <c r="K230" s="485"/>
      <c r="L230" s="485">
        <v>2.0000000000000018E-2</v>
      </c>
      <c r="M230" s="485">
        <v>-4.6931808378215072</v>
      </c>
      <c r="N230" s="485">
        <v>-3.2520325203252058</v>
      </c>
      <c r="O230" s="485">
        <v>2.4967714162720545</v>
      </c>
      <c r="P230" s="485">
        <v>-1.9922044174967495</v>
      </c>
      <c r="Q230" s="485">
        <v>-1.091192517537027</v>
      </c>
      <c r="R230" s="485">
        <v>1.2999999999999972</v>
      </c>
      <c r="S230" s="485">
        <v>-13.948336077049715</v>
      </c>
      <c r="T230" s="485"/>
      <c r="U230" s="485">
        <v>0.83371931449745773</v>
      </c>
      <c r="V230" s="485">
        <v>2.7531956735496532</v>
      </c>
      <c r="W230" s="485">
        <v>0</v>
      </c>
      <c r="X230" s="485">
        <v>-3.5999999999999996</v>
      </c>
      <c r="Y230" s="485">
        <v>15.792682161985876</v>
      </c>
      <c r="Z230" s="485">
        <v>-0.29999999999999993</v>
      </c>
      <c r="AA230" s="485">
        <v>14.829731870121048</v>
      </c>
    </row>
    <row r="231" spans="1:27" s="500" customFormat="1">
      <c r="A231" s="482"/>
      <c r="B231" s="483" t="s">
        <v>141</v>
      </c>
      <c r="C231" s="484">
        <v>10</v>
      </c>
      <c r="D231" s="485">
        <v>-0.84812181604434256</v>
      </c>
      <c r="E231" s="485">
        <v>-7.0101647388709665E-2</v>
      </c>
      <c r="F231" s="485">
        <v>13.348946135831371</v>
      </c>
      <c r="G231" s="485">
        <v>-4.5075501464953796</v>
      </c>
      <c r="H231" s="485">
        <v>5.908096280087527</v>
      </c>
      <c r="I231" s="485">
        <v>-6</v>
      </c>
      <c r="J231" s="485">
        <v>1.2999999999999972</v>
      </c>
      <c r="K231" s="485"/>
      <c r="L231" s="485">
        <v>2.0000000000000018E-2</v>
      </c>
      <c r="M231" s="485">
        <v>-6.5649105530934851E-2</v>
      </c>
      <c r="N231" s="485">
        <v>3.2520325203252058</v>
      </c>
      <c r="O231" s="485">
        <v>-0.8539709649871905</v>
      </c>
      <c r="P231" s="485">
        <v>3.9451114922813111</v>
      </c>
      <c r="Q231" s="485">
        <v>3.8431975403535743</v>
      </c>
      <c r="R231" s="485">
        <v>-3.0999999999999943</v>
      </c>
      <c r="S231" s="485">
        <v>21.437325576244415</v>
      </c>
      <c r="T231" s="485"/>
      <c r="U231" s="485">
        <v>9.2208390963572445E-2</v>
      </c>
      <c r="V231" s="485">
        <v>1.3487475915221636</v>
      </c>
      <c r="W231" s="485">
        <v>0</v>
      </c>
      <c r="X231" s="485">
        <v>-0.60000000000000009</v>
      </c>
      <c r="Y231" s="485">
        <v>-27.716198579457462</v>
      </c>
      <c r="Z231" s="485">
        <v>-0.30000000000000004</v>
      </c>
      <c r="AA231" s="485">
        <v>-3.2409290377822892</v>
      </c>
    </row>
    <row r="232" spans="1:27" s="500" customFormat="1">
      <c r="A232" s="482"/>
      <c r="B232" s="483" t="s">
        <v>141</v>
      </c>
      <c r="C232" s="484">
        <v>11</v>
      </c>
      <c r="D232" s="485">
        <v>4.5155750935879482</v>
      </c>
      <c r="E232" s="485">
        <v>4.2553191489361826</v>
      </c>
      <c r="F232" s="485">
        <v>13.606138107416891</v>
      </c>
      <c r="G232" s="485">
        <v>1.6010978956999085</v>
      </c>
      <c r="H232" s="485">
        <v>-42.369607211848034</v>
      </c>
      <c r="I232" s="485">
        <v>-7</v>
      </c>
      <c r="J232" s="485">
        <v>1.4000000000000057</v>
      </c>
      <c r="K232" s="485"/>
      <c r="L232" s="485">
        <v>0</v>
      </c>
      <c r="M232" s="485">
        <v>-1.2913886240864361</v>
      </c>
      <c r="N232" s="485">
        <v>4.6874999999999973</v>
      </c>
      <c r="O232" s="485">
        <v>7.5113495666529166</v>
      </c>
      <c r="P232" s="485">
        <v>4.7619047619047592</v>
      </c>
      <c r="Q232" s="485">
        <v>-1.6730038022813603</v>
      </c>
      <c r="R232" s="485">
        <v>-4.7000000000000028</v>
      </c>
      <c r="S232" s="485">
        <v>-15.840757638998827</v>
      </c>
      <c r="T232" s="485"/>
      <c r="U232" s="485">
        <v>0.27611596870685423</v>
      </c>
      <c r="V232" s="485">
        <v>16.102067751869772</v>
      </c>
      <c r="W232" s="485">
        <v>-9.9999999999999645E-2</v>
      </c>
      <c r="X232" s="485">
        <v>-0.50000000000000044</v>
      </c>
      <c r="Y232" s="485">
        <v>4.7660261265950377</v>
      </c>
      <c r="Z232" s="485">
        <v>-0.19999999999999996</v>
      </c>
      <c r="AA232" s="485">
        <v>1.5844576362655076</v>
      </c>
    </row>
    <row r="233" spans="1:27" s="500" customFormat="1">
      <c r="A233" s="486"/>
      <c r="B233" s="487" t="s">
        <v>141</v>
      </c>
      <c r="C233" s="488">
        <v>12</v>
      </c>
      <c r="D233" s="489">
        <v>0.68815016132702711</v>
      </c>
      <c r="E233" s="489">
        <v>-1.4213197969543301</v>
      </c>
      <c r="F233" s="489">
        <v>3.6671368124118398</v>
      </c>
      <c r="G233" s="489">
        <v>3.1490787269681744</v>
      </c>
      <c r="H233" s="489">
        <v>1.6207455429497568</v>
      </c>
      <c r="I233" s="489">
        <v>10</v>
      </c>
      <c r="J233" s="489">
        <v>1.2999999999999972</v>
      </c>
      <c r="K233" s="489"/>
      <c r="L233" s="489">
        <v>0</v>
      </c>
      <c r="M233" s="489">
        <v>-0.46804172624047086</v>
      </c>
      <c r="N233" s="489">
        <v>-7.1146245059288571</v>
      </c>
      <c r="O233" s="489">
        <v>-7.9586152009557126E-2</v>
      </c>
      <c r="P233" s="489">
        <v>0.55977608956417657</v>
      </c>
      <c r="Q233" s="489">
        <v>2.7977315689981008</v>
      </c>
      <c r="R233" s="489">
        <v>0</v>
      </c>
      <c r="S233" s="489">
        <v>13.524542380785823</v>
      </c>
      <c r="T233" s="489"/>
      <c r="U233" s="489">
        <v>0.36697247706422542</v>
      </c>
      <c r="V233" s="489">
        <v>-5.0939457202505176</v>
      </c>
      <c r="W233" s="489">
        <v>0</v>
      </c>
      <c r="X233" s="489">
        <v>1.6000000000000005</v>
      </c>
      <c r="Y233" s="489">
        <v>14.387747748727689</v>
      </c>
      <c r="Z233" s="489">
        <v>-0.30000000000000004</v>
      </c>
      <c r="AA233" s="489">
        <v>32.980397767921019</v>
      </c>
    </row>
    <row r="234" spans="1:27" s="500" customFormat="1">
      <c r="A234" s="490" t="s">
        <v>356</v>
      </c>
      <c r="B234" s="491">
        <v>2007</v>
      </c>
      <c r="C234" s="492">
        <v>1</v>
      </c>
      <c r="D234" s="493">
        <v>-9.5507031621326899</v>
      </c>
      <c r="E234" s="493">
        <v>-11.003236245954678</v>
      </c>
      <c r="F234" s="493">
        <v>-3.8588235294117594</v>
      </c>
      <c r="G234" s="493">
        <v>-3.2171581769436997</v>
      </c>
      <c r="H234" s="493">
        <v>-23.741007194244606</v>
      </c>
      <c r="I234" s="493">
        <v>-2</v>
      </c>
      <c r="J234" s="493">
        <v>-4.7000000000000028</v>
      </c>
      <c r="K234" s="493"/>
      <c r="L234" s="493">
        <v>-1.0000000000000009E-2</v>
      </c>
      <c r="M234" s="493">
        <v>-3.0350082855987091</v>
      </c>
      <c r="N234" s="493">
        <v>8.6274509803921688</v>
      </c>
      <c r="O234" s="493">
        <v>-4.6435845213849198</v>
      </c>
      <c r="P234" s="493">
        <v>0.47732696897374249</v>
      </c>
      <c r="Q234" s="493">
        <v>1.5538290788013278</v>
      </c>
      <c r="R234" s="493">
        <v>-6.9000000000000057</v>
      </c>
      <c r="S234" s="493">
        <v>1.2102792325852731</v>
      </c>
      <c r="T234" s="493"/>
      <c r="U234" s="493">
        <v>-3.3519553072625774</v>
      </c>
      <c r="V234" s="493">
        <v>-4.1994750656167952</v>
      </c>
      <c r="W234" s="493">
        <v>0</v>
      </c>
      <c r="X234" s="493">
        <v>0.19999999999999973</v>
      </c>
      <c r="Y234" s="493">
        <v>-23.16887793085683</v>
      </c>
      <c r="Z234" s="493">
        <v>-0.30000000000000004</v>
      </c>
      <c r="AA234" s="493">
        <v>-43.247684493576337</v>
      </c>
    </row>
    <row r="235" spans="1:27" s="500" customFormat="1">
      <c r="A235" s="482"/>
      <c r="B235" s="483" t="s">
        <v>141</v>
      </c>
      <c r="C235" s="484">
        <v>2</v>
      </c>
      <c r="D235" s="485">
        <v>1.1240383632833599</v>
      </c>
      <c r="E235" s="485">
        <v>9.7719869706840381</v>
      </c>
      <c r="F235" s="485">
        <v>7.837713231904103</v>
      </c>
      <c r="G235" s="485">
        <v>1.7555705604321405</v>
      </c>
      <c r="H235" s="485">
        <v>46.153846153846153</v>
      </c>
      <c r="I235" s="485">
        <v>1</v>
      </c>
      <c r="J235" s="485">
        <v>-4.5999999999999943</v>
      </c>
      <c r="K235" s="485"/>
      <c r="L235" s="485">
        <v>-1.0000000000000009E-2</v>
      </c>
      <c r="M235" s="485">
        <v>2.1209936422625586</v>
      </c>
      <c r="N235" s="485">
        <v>2.2304832713754568</v>
      </c>
      <c r="O235" s="485">
        <v>6.6129032258064422</v>
      </c>
      <c r="P235" s="485">
        <v>1.7309205350117929</v>
      </c>
      <c r="Q235" s="485">
        <v>-0.95905569900404486</v>
      </c>
      <c r="R235" s="485">
        <v>-0.5</v>
      </c>
      <c r="S235" s="485">
        <v>7.2275374376039929</v>
      </c>
      <c r="T235" s="485"/>
      <c r="U235" s="485">
        <v>9.4652153336496472E-2</v>
      </c>
      <c r="V235" s="485">
        <v>5.221932114882506</v>
      </c>
      <c r="W235" s="485">
        <v>0</v>
      </c>
      <c r="X235" s="485">
        <v>1.8</v>
      </c>
      <c r="Y235" s="485">
        <v>-9.1923460742487055</v>
      </c>
      <c r="Z235" s="485">
        <v>-0.60000000000000009</v>
      </c>
      <c r="AA235" s="485">
        <v>6.138426364287203</v>
      </c>
    </row>
    <row r="236" spans="1:27" s="500" customFormat="1">
      <c r="A236" s="482"/>
      <c r="B236" s="483" t="s">
        <v>141</v>
      </c>
      <c r="C236" s="484">
        <v>3</v>
      </c>
      <c r="D236" s="485">
        <v>-2.5313478471783233</v>
      </c>
      <c r="E236" s="485">
        <v>-2.0920502092050208</v>
      </c>
      <c r="F236" s="485">
        <v>-7.3597056117755288</v>
      </c>
      <c r="G236" s="485">
        <v>-4.5874700445053067</v>
      </c>
      <c r="H236" s="485">
        <v>-8.5106382978723403</v>
      </c>
      <c r="I236" s="485">
        <v>0</v>
      </c>
      <c r="J236" s="485">
        <v>-4.7000000000000028</v>
      </c>
      <c r="K236" s="485"/>
      <c r="L236" s="485">
        <v>-2.0000000000000018E-2</v>
      </c>
      <c r="M236" s="485">
        <v>-1.1283369096613034</v>
      </c>
      <c r="N236" s="485">
        <v>2.181818181818187</v>
      </c>
      <c r="O236" s="485">
        <v>-5.2884615384615339</v>
      </c>
      <c r="P236" s="485">
        <v>-2.7678924476077391</v>
      </c>
      <c r="Q236" s="485">
        <v>2.5612879619465789</v>
      </c>
      <c r="R236" s="485">
        <v>2.8000000000000114</v>
      </c>
      <c r="S236" s="485">
        <v>-16.245252306022792</v>
      </c>
      <c r="T236" s="485"/>
      <c r="U236" s="485">
        <v>0.56603773584905126</v>
      </c>
      <c r="V236" s="485">
        <v>-7.2967032967033063</v>
      </c>
      <c r="W236" s="485">
        <v>0</v>
      </c>
      <c r="X236" s="485">
        <v>-4.9000000000000004</v>
      </c>
      <c r="Y236" s="485">
        <v>35.671519542245399</v>
      </c>
      <c r="Z236" s="485">
        <v>0.10000000000000009</v>
      </c>
      <c r="AA236" s="485">
        <v>33.984302347208263</v>
      </c>
    </row>
    <row r="237" spans="1:27" s="500" customFormat="1">
      <c r="A237" s="482"/>
      <c r="B237" s="483" t="s">
        <v>141</v>
      </c>
      <c r="C237" s="484">
        <v>4</v>
      </c>
      <c r="D237" s="485">
        <v>-4.7369383649332466</v>
      </c>
      <c r="E237" s="485">
        <v>-2.7142857142857224</v>
      </c>
      <c r="F237" s="485">
        <v>-4.79217603911981</v>
      </c>
      <c r="G237" s="485">
        <v>1.0456605088881143</v>
      </c>
      <c r="H237" s="485">
        <v>19.322459222082809</v>
      </c>
      <c r="I237" s="485">
        <v>-5</v>
      </c>
      <c r="J237" s="485">
        <v>-1</v>
      </c>
      <c r="K237" s="485"/>
      <c r="L237" s="485">
        <v>0</v>
      </c>
      <c r="M237" s="485">
        <v>6.4259345472673979E-2</v>
      </c>
      <c r="N237" s="485">
        <v>-0.72202166064981688</v>
      </c>
      <c r="O237" s="485">
        <v>1.6326530612244898</v>
      </c>
      <c r="P237" s="485">
        <v>0.95770151636073642</v>
      </c>
      <c r="Q237" s="485">
        <v>-2.1175611537057364</v>
      </c>
      <c r="R237" s="485">
        <v>-1.4000000000000057</v>
      </c>
      <c r="S237" s="485">
        <v>20.399071925754054</v>
      </c>
      <c r="T237" s="485"/>
      <c r="U237" s="485">
        <v>-9.4117647058818185E-2</v>
      </c>
      <c r="V237" s="485">
        <v>4.9822064056939581</v>
      </c>
      <c r="W237" s="485">
        <v>-0.20000000000000018</v>
      </c>
      <c r="X237" s="485">
        <v>-0.70000000000000018</v>
      </c>
      <c r="Y237" s="485">
        <v>-24.229377698567212</v>
      </c>
      <c r="Z237" s="485">
        <v>-0.30000000000000004</v>
      </c>
      <c r="AA237" s="485">
        <v>-47.821290678433542</v>
      </c>
    </row>
    <row r="238" spans="1:27" s="500" customFormat="1">
      <c r="A238" s="482"/>
      <c r="B238" s="483" t="s">
        <v>141</v>
      </c>
      <c r="C238" s="484">
        <v>5</v>
      </c>
      <c r="D238" s="485">
        <v>1.2534516459309388</v>
      </c>
      <c r="E238" s="485">
        <v>6.6503325166258316</v>
      </c>
      <c r="F238" s="485">
        <v>9.6328087744396846</v>
      </c>
      <c r="G238" s="485">
        <v>-0.64935064935064934</v>
      </c>
      <c r="H238" s="485">
        <v>-17.955112219451372</v>
      </c>
      <c r="I238" s="485">
        <v>10</v>
      </c>
      <c r="J238" s="485">
        <v>-1</v>
      </c>
      <c r="K238" s="485"/>
      <c r="L238" s="485">
        <v>0</v>
      </c>
      <c r="M238" s="485">
        <v>-1.4978008479613338</v>
      </c>
      <c r="N238" s="485">
        <v>-5.9701492537313481</v>
      </c>
      <c r="O238" s="485">
        <v>0.32336297493937405</v>
      </c>
      <c r="P238" s="485">
        <v>1.0272619517977062</v>
      </c>
      <c r="Q238" s="485">
        <v>3.1953522149600624</v>
      </c>
      <c r="R238" s="485">
        <v>-1.9000000000000057</v>
      </c>
      <c r="S238" s="485">
        <v>-11.82227092598019</v>
      </c>
      <c r="T238" s="485"/>
      <c r="U238" s="485">
        <v>-0.28288543140028016</v>
      </c>
      <c r="V238" s="485">
        <v>-2.9955947136563927</v>
      </c>
      <c r="W238" s="485">
        <v>0</v>
      </c>
      <c r="X238" s="485">
        <v>2.2000000000000002</v>
      </c>
      <c r="Y238" s="485">
        <v>9.287328397002474</v>
      </c>
      <c r="Z238" s="485">
        <v>0.30000000000000004</v>
      </c>
      <c r="AA238" s="485">
        <v>41.651293403845372</v>
      </c>
    </row>
    <row r="239" spans="1:27" s="500" customFormat="1">
      <c r="A239" s="482"/>
      <c r="B239" s="483" t="s">
        <v>141</v>
      </c>
      <c r="C239" s="484">
        <v>6</v>
      </c>
      <c r="D239" s="485">
        <v>0.36623836269907323</v>
      </c>
      <c r="E239" s="485">
        <v>-0.67980965329707688</v>
      </c>
      <c r="F239" s="485">
        <v>8.7864288821226566</v>
      </c>
      <c r="G239" s="485">
        <v>4.5030702751876284</v>
      </c>
      <c r="H239" s="485">
        <v>-1.6574585635359116</v>
      </c>
      <c r="I239" s="485">
        <v>-9</v>
      </c>
      <c r="J239" s="485">
        <v>-1</v>
      </c>
      <c r="K239" s="485"/>
      <c r="L239" s="485">
        <v>-2.0000000000000018E-2</v>
      </c>
      <c r="M239" s="485">
        <v>-0.27718550106608836</v>
      </c>
      <c r="N239" s="485">
        <v>6.6914498141263969</v>
      </c>
      <c r="O239" s="485">
        <v>-3.6991368680641181</v>
      </c>
      <c r="P239" s="485">
        <v>1.7147310989867519</v>
      </c>
      <c r="Q239" s="485">
        <v>2.2614840989399214</v>
      </c>
      <c r="R239" s="485">
        <v>-1.0999999999999943</v>
      </c>
      <c r="S239" s="485">
        <v>3.9897535272022662</v>
      </c>
      <c r="T239" s="485"/>
      <c r="U239" s="485">
        <v>1.0333489901362087</v>
      </c>
      <c r="V239" s="485">
        <v>-6.5588914549653525</v>
      </c>
      <c r="W239" s="485">
        <v>-9.9999999999999645E-2</v>
      </c>
      <c r="X239" s="485">
        <v>1.6</v>
      </c>
      <c r="Y239" s="485">
        <v>-0.12327138922300591</v>
      </c>
      <c r="Z239" s="485">
        <v>-0.30000000000000004</v>
      </c>
      <c r="AA239" s="485">
        <v>-17.388578488318487</v>
      </c>
    </row>
    <row r="240" spans="1:27" s="500" customFormat="1">
      <c r="A240" s="482"/>
      <c r="B240" s="483" t="s">
        <v>141</v>
      </c>
      <c r="C240" s="484">
        <v>7</v>
      </c>
      <c r="D240" s="485">
        <v>-3.2895918064652085</v>
      </c>
      <c r="E240" s="485">
        <v>-4.0361864996520413</v>
      </c>
      <c r="F240" s="485">
        <v>-18.878248974008212</v>
      </c>
      <c r="G240" s="485">
        <v>-16.49211508366438</v>
      </c>
      <c r="H240" s="485">
        <v>-38.3402489626556</v>
      </c>
      <c r="I240" s="485">
        <v>1</v>
      </c>
      <c r="J240" s="485">
        <v>0.29999999999999716</v>
      </c>
      <c r="K240" s="485"/>
      <c r="L240" s="485">
        <v>0</v>
      </c>
      <c r="M240" s="485">
        <v>-1.6014947284141566E-2</v>
      </c>
      <c r="N240" s="485">
        <v>-2.9197080291970829</v>
      </c>
      <c r="O240" s="485">
        <v>4.4226044226044152</v>
      </c>
      <c r="P240" s="485">
        <v>1.457614115841968</v>
      </c>
      <c r="Q240" s="485">
        <v>3.9054470709147089</v>
      </c>
      <c r="R240" s="485">
        <v>-2</v>
      </c>
      <c r="S240" s="485">
        <v>0.74158585282372835</v>
      </c>
      <c r="T240" s="485"/>
      <c r="U240" s="485">
        <v>0.18674136321195411</v>
      </c>
      <c r="V240" s="485">
        <v>10.154125113327289</v>
      </c>
      <c r="W240" s="485">
        <v>-0.10000000000000009</v>
      </c>
      <c r="X240" s="485">
        <v>-5.5</v>
      </c>
      <c r="Y240" s="485">
        <v>4.5341663325760617</v>
      </c>
      <c r="Z240" s="485">
        <v>0.30000000000000004</v>
      </c>
      <c r="AA240" s="485">
        <v>-38.677335389954692</v>
      </c>
    </row>
    <row r="241" spans="1:27" s="500" customFormat="1">
      <c r="A241" s="482"/>
      <c r="B241" s="483" t="s">
        <v>141</v>
      </c>
      <c r="C241" s="484">
        <v>8</v>
      </c>
      <c r="D241" s="485">
        <v>-0.43429498651776849</v>
      </c>
      <c r="E241" s="485">
        <v>-1.8637992831541381</v>
      </c>
      <c r="F241" s="485">
        <v>32.192648922686956</v>
      </c>
      <c r="G241" s="485">
        <v>12.15033887861984</v>
      </c>
      <c r="H241" s="485">
        <v>-9.2373791621911927</v>
      </c>
      <c r="I241" s="485">
        <v>3</v>
      </c>
      <c r="J241" s="485">
        <v>0.40000000000000568</v>
      </c>
      <c r="K241" s="485"/>
      <c r="L241" s="485">
        <v>-1.0000000000000009E-2</v>
      </c>
      <c r="M241" s="485">
        <v>0.76980861148597712</v>
      </c>
      <c r="N241" s="485">
        <v>0</v>
      </c>
      <c r="O241" s="485">
        <v>-3.1746031746031678</v>
      </c>
      <c r="P241" s="485">
        <v>1.8113207547169641</v>
      </c>
      <c r="Q241" s="485">
        <v>2.3904382470119478</v>
      </c>
      <c r="R241" s="485">
        <v>-1.4000000000000057</v>
      </c>
      <c r="S241" s="485">
        <v>-2.5562198296725649</v>
      </c>
      <c r="T241" s="485"/>
      <c r="U241" s="485">
        <v>-0.37383177570093989</v>
      </c>
      <c r="V241" s="485">
        <v>-3.7802197802197903</v>
      </c>
      <c r="W241" s="485">
        <v>0.10000000000000009</v>
      </c>
      <c r="X241" s="485">
        <v>4.6999999999999993</v>
      </c>
      <c r="Y241" s="485">
        <v>-12.955842303673117</v>
      </c>
      <c r="Z241" s="485">
        <v>-0.10000000000000009</v>
      </c>
      <c r="AA241" s="485">
        <v>47.352337514253129</v>
      </c>
    </row>
    <row r="242" spans="1:27" s="500" customFormat="1">
      <c r="A242" s="482"/>
      <c r="B242" s="483" t="s">
        <v>141</v>
      </c>
      <c r="C242" s="484">
        <v>9</v>
      </c>
      <c r="D242" s="485">
        <v>-3.9622472786986505</v>
      </c>
      <c r="E242" s="485">
        <v>-1.7518248175182316</v>
      </c>
      <c r="F242" s="485">
        <v>-4.8453224002981736</v>
      </c>
      <c r="G242" s="485">
        <v>-2.9709974062721058</v>
      </c>
      <c r="H242" s="485">
        <v>18.960244648318042</v>
      </c>
      <c r="I242" s="485">
        <v>-4</v>
      </c>
      <c r="J242" s="485">
        <v>0.29999999999999716</v>
      </c>
      <c r="K242" s="485"/>
      <c r="L242" s="485">
        <v>-5.0000000000000044E-2</v>
      </c>
      <c r="M242" s="485">
        <v>-1.9566278595454176</v>
      </c>
      <c r="N242" s="485">
        <v>2.9197080291970829</v>
      </c>
      <c r="O242" s="485">
        <v>-0.9140008309098534</v>
      </c>
      <c r="P242" s="485">
        <v>-0.22463496817670006</v>
      </c>
      <c r="Q242" s="485">
        <v>0.58881256133464543</v>
      </c>
      <c r="R242" s="485">
        <v>-0.39999999999999147</v>
      </c>
      <c r="S242" s="485">
        <v>-1.6891169553132301</v>
      </c>
      <c r="T242" s="485"/>
      <c r="U242" s="485">
        <v>-9.3676814988285076E-2</v>
      </c>
      <c r="V242" s="485">
        <v>-2.4489795918367245</v>
      </c>
      <c r="W242" s="485">
        <v>0.19999999999999973</v>
      </c>
      <c r="X242" s="485">
        <v>-0.69999999999999973</v>
      </c>
      <c r="Y242" s="485">
        <v>6.2363369928171624</v>
      </c>
      <c r="Z242" s="485">
        <v>-9.9999999999999978E-2</v>
      </c>
      <c r="AA242" s="485">
        <v>-1.0267815772402862</v>
      </c>
    </row>
    <row r="243" spans="1:27" s="500" customFormat="1">
      <c r="A243" s="482"/>
      <c r="B243" s="483" t="s">
        <v>141</v>
      </c>
      <c r="C243" s="484">
        <v>10</v>
      </c>
      <c r="D243" s="485">
        <v>-3.6275817810278181</v>
      </c>
      <c r="E243" s="485">
        <v>4.6043165467625737</v>
      </c>
      <c r="F243" s="485">
        <v>8.1348479296445557</v>
      </c>
      <c r="G243" s="485">
        <v>2.9477655936799905</v>
      </c>
      <c r="H243" s="485">
        <v>5.2583862194016318</v>
      </c>
      <c r="I243" s="485">
        <v>8</v>
      </c>
      <c r="J243" s="485">
        <v>-1</v>
      </c>
      <c r="K243" s="485"/>
      <c r="L243" s="485">
        <v>-2.9999999999999916E-2</v>
      </c>
      <c r="M243" s="485">
        <v>3.2995935283334612</v>
      </c>
      <c r="N243" s="485">
        <v>-1.4492753623188481</v>
      </c>
      <c r="O243" s="485">
        <v>7.4728806749698666</v>
      </c>
      <c r="P243" s="485">
        <v>1.1922503725782374</v>
      </c>
      <c r="Q243" s="485">
        <v>-1.7105263157894885</v>
      </c>
      <c r="R243" s="485">
        <v>-2</v>
      </c>
      <c r="S243" s="485">
        <v>-5.8452276920089279</v>
      </c>
      <c r="T243" s="485"/>
      <c r="U243" s="485">
        <v>-9.3764650726684037E-2</v>
      </c>
      <c r="V243" s="485">
        <v>13.207547169811313</v>
      </c>
      <c r="W243" s="485">
        <v>0.10000000000000009</v>
      </c>
      <c r="X243" s="485">
        <v>1.0999999999999996</v>
      </c>
      <c r="Y243" s="485">
        <v>9.8523504054619</v>
      </c>
      <c r="Z243" s="485">
        <v>-0.20000000000000007</v>
      </c>
      <c r="AA243" s="485">
        <v>-11.697428616501021</v>
      </c>
    </row>
    <row r="244" spans="1:27" s="500" customFormat="1">
      <c r="A244" s="482"/>
      <c r="B244" s="483" t="s">
        <v>141</v>
      </c>
      <c r="C244" s="484">
        <v>11</v>
      </c>
      <c r="D244" s="485">
        <v>-5.9275132603093903</v>
      </c>
      <c r="E244" s="485">
        <v>-3.8709677419354676</v>
      </c>
      <c r="F244" s="485">
        <v>-11.703317182258667</v>
      </c>
      <c r="G244" s="485">
        <v>0</v>
      </c>
      <c r="H244" s="485">
        <v>10.385259631490788</v>
      </c>
      <c r="I244" s="485">
        <v>-10</v>
      </c>
      <c r="J244" s="485">
        <v>-1</v>
      </c>
      <c r="K244" s="485"/>
      <c r="L244" s="485">
        <v>-2.0000000000000018E-2</v>
      </c>
      <c r="M244" s="485">
        <v>-2.1423005296316329</v>
      </c>
      <c r="N244" s="485">
        <v>-0.73260073260073011</v>
      </c>
      <c r="O244" s="485">
        <v>-2.1135029354207346</v>
      </c>
      <c r="P244" s="485">
        <v>-2.7788208787082151</v>
      </c>
      <c r="Q244" s="485">
        <v>-6.6506684950291319</v>
      </c>
      <c r="R244" s="485">
        <v>2.2000000000000028</v>
      </c>
      <c r="S244" s="485">
        <v>8.676872607982494</v>
      </c>
      <c r="T244" s="485"/>
      <c r="U244" s="485">
        <v>-1.7029328287606409</v>
      </c>
      <c r="V244" s="485">
        <v>4.7132757266300178</v>
      </c>
      <c r="W244" s="485">
        <v>-0.20000000000000018</v>
      </c>
      <c r="X244" s="485">
        <v>2.5</v>
      </c>
      <c r="Y244" s="485">
        <v>3.8186886425459994</v>
      </c>
      <c r="Z244" s="485">
        <v>1</v>
      </c>
      <c r="AA244" s="485">
        <v>0.68461699018992428</v>
      </c>
    </row>
    <row r="245" spans="1:27" s="500" customFormat="1">
      <c r="A245" s="494"/>
      <c r="B245" s="495" t="s">
        <v>141</v>
      </c>
      <c r="C245" s="496">
        <v>12</v>
      </c>
      <c r="D245" s="497">
        <v>14.349365544581294</v>
      </c>
      <c r="E245" s="497">
        <v>3.9412396990326046</v>
      </c>
      <c r="F245" s="497">
        <v>-14.704632384190393</v>
      </c>
      <c r="G245" s="497">
        <v>-5.3202910652511033</v>
      </c>
      <c r="H245" s="497">
        <v>-2.2544283413848629</v>
      </c>
      <c r="I245" s="497">
        <v>5</v>
      </c>
      <c r="J245" s="497">
        <v>-1</v>
      </c>
      <c r="K245" s="497"/>
      <c r="L245" s="497">
        <v>1.0000000000000009E-2</v>
      </c>
      <c r="M245" s="497">
        <v>-2.3831396919751371</v>
      </c>
      <c r="N245" s="497">
        <v>3.6101083032490977</v>
      </c>
      <c r="O245" s="497">
        <v>5.5384615384615294</v>
      </c>
      <c r="P245" s="497">
        <v>-0.22874571101792707</v>
      </c>
      <c r="Q245" s="497">
        <v>3.4158243290345109</v>
      </c>
      <c r="R245" s="497">
        <v>0.79999999999999716</v>
      </c>
      <c r="S245" s="497">
        <v>-9.0712388047437713</v>
      </c>
      <c r="T245" s="497"/>
      <c r="U245" s="497">
        <v>0</v>
      </c>
      <c r="V245" s="497">
        <v>7.6716532412730576E-2</v>
      </c>
      <c r="W245" s="497">
        <v>-9.9999999999999645E-2</v>
      </c>
      <c r="X245" s="497">
        <v>-1.9</v>
      </c>
      <c r="Y245" s="497">
        <v>-8.6971270620131111</v>
      </c>
      <c r="Z245" s="497">
        <v>0.7</v>
      </c>
      <c r="AA245" s="497">
        <v>-7.999999999999984</v>
      </c>
    </row>
    <row r="246" spans="1:27" s="500" customFormat="1">
      <c r="A246" s="478" t="s">
        <v>357</v>
      </c>
      <c r="B246" s="479">
        <v>2008</v>
      </c>
      <c r="C246" s="480">
        <v>1</v>
      </c>
      <c r="D246" s="481">
        <v>-12.399066628615547</v>
      </c>
      <c r="E246" s="481">
        <v>-4.3072505384063167</v>
      </c>
      <c r="F246" s="481">
        <v>-11.54779233381854</v>
      </c>
      <c r="G246" s="481">
        <v>3.2312515071135759</v>
      </c>
      <c r="H246" s="481">
        <v>-14.873140857392826</v>
      </c>
      <c r="I246" s="481">
        <v>1</v>
      </c>
      <c r="J246" s="481">
        <v>-0.29999999999999716</v>
      </c>
      <c r="K246" s="481"/>
      <c r="L246" s="481">
        <v>1.0000000000000009E-2</v>
      </c>
      <c r="M246" s="481">
        <v>-1.6682061958005321</v>
      </c>
      <c r="N246" s="481">
        <v>-3.6101083032490977</v>
      </c>
      <c r="O246" s="481">
        <v>-9.568627450980383</v>
      </c>
      <c r="P246" s="481">
        <v>-3.8117464021781449</v>
      </c>
      <c r="Q246" s="481">
        <v>0.54682159945316666</v>
      </c>
      <c r="R246" s="481">
        <v>3.0999999999999943</v>
      </c>
      <c r="S246" s="481">
        <v>-8.5190392150997631</v>
      </c>
      <c r="T246" s="481"/>
      <c r="U246" s="481">
        <v>9.5374344301391065E-2</v>
      </c>
      <c r="V246" s="481">
        <v>-16.431535269709553</v>
      </c>
      <c r="W246" s="481">
        <v>0.19999999999999973</v>
      </c>
      <c r="X246" s="481">
        <v>-0.20000000000000018</v>
      </c>
      <c r="Y246" s="481">
        <v>-7.3513401718338418</v>
      </c>
      <c r="Z246" s="481">
        <v>-0.3</v>
      </c>
      <c r="AA246" s="481">
        <v>13.185147764587009</v>
      </c>
    </row>
    <row r="247" spans="1:27" s="500" customFormat="1">
      <c r="A247" s="482"/>
      <c r="B247" s="483" t="s">
        <v>141</v>
      </c>
      <c r="C247" s="484">
        <v>2</v>
      </c>
      <c r="D247" s="485">
        <v>1.013167617809664</v>
      </c>
      <c r="E247" s="485">
        <v>1.311953352769667</v>
      </c>
      <c r="F247" s="485">
        <v>-4.2060988433228186</v>
      </c>
      <c r="G247" s="485">
        <v>1.1795234725171031</v>
      </c>
      <c r="H247" s="485">
        <v>9.3693693693693696</v>
      </c>
      <c r="I247" s="485">
        <v>-3</v>
      </c>
      <c r="J247" s="485">
        <v>-0.40000000000000568</v>
      </c>
      <c r="K247" s="485"/>
      <c r="L247" s="485">
        <v>0</v>
      </c>
      <c r="M247" s="485">
        <v>-3.4062228255106226</v>
      </c>
      <c r="N247" s="485">
        <v>5.0179211469534133</v>
      </c>
      <c r="O247" s="485">
        <v>8.2338410868665557E-2</v>
      </c>
      <c r="P247" s="485">
        <v>0.86853533359653257</v>
      </c>
      <c r="Q247" s="485">
        <v>-6.8189566996245704E-2</v>
      </c>
      <c r="R247" s="485">
        <v>0.10000000000000853</v>
      </c>
      <c r="S247" s="485">
        <v>13.386584263767025</v>
      </c>
      <c r="T247" s="485"/>
      <c r="U247" s="485">
        <v>0.3805899143672612</v>
      </c>
      <c r="V247" s="485">
        <v>0.63091482649842534</v>
      </c>
      <c r="W247" s="485">
        <v>0.10000000000000009</v>
      </c>
      <c r="X247" s="485">
        <v>2.2000000000000002</v>
      </c>
      <c r="Y247" s="485">
        <v>4.3054082405309471</v>
      </c>
      <c r="Z247" s="485">
        <v>0.60000000000000009</v>
      </c>
      <c r="AA247" s="485">
        <v>7.0746899822846956</v>
      </c>
    </row>
    <row r="248" spans="1:27" s="500" customFormat="1">
      <c r="A248" s="482"/>
      <c r="B248" s="483" t="s">
        <v>141</v>
      </c>
      <c r="C248" s="484">
        <v>3</v>
      </c>
      <c r="D248" s="485">
        <v>-0.90584707379360629</v>
      </c>
      <c r="E248" s="485">
        <v>-3.9128829826504123</v>
      </c>
      <c r="F248" s="485">
        <v>8.8295687885010352</v>
      </c>
      <c r="G248" s="485">
        <v>5.0074311192408825</v>
      </c>
      <c r="H248" s="485">
        <v>10.749185667752442</v>
      </c>
      <c r="I248" s="485">
        <v>3</v>
      </c>
      <c r="J248" s="485">
        <v>-0.29999999999999716</v>
      </c>
      <c r="K248" s="485"/>
      <c r="L248" s="485">
        <v>-2.0000000000000018E-2</v>
      </c>
      <c r="M248" s="485">
        <v>-1.9404220708486362</v>
      </c>
      <c r="N248" s="485">
        <v>-4.2857142857142962</v>
      </c>
      <c r="O248" s="485">
        <v>2.2782750203417388</v>
      </c>
      <c r="P248" s="485">
        <v>-1.1862396204033214</v>
      </c>
      <c r="Q248" s="485">
        <v>-1.0284538909838876</v>
      </c>
      <c r="R248" s="485">
        <v>-0.5</v>
      </c>
      <c r="S248" s="485">
        <v>2.0953591175158501</v>
      </c>
      <c r="T248" s="485"/>
      <c r="U248" s="485">
        <v>9.492168960608309E-2</v>
      </c>
      <c r="V248" s="485">
        <v>8.1861266695389912</v>
      </c>
      <c r="W248" s="485">
        <v>-0.20000000000000018</v>
      </c>
      <c r="X248" s="485">
        <v>3.1</v>
      </c>
      <c r="Y248" s="485">
        <v>-3.9106275409759679</v>
      </c>
      <c r="Z248" s="485">
        <v>0.49999999999999989</v>
      </c>
      <c r="AA248" s="485">
        <v>-0.89444115907746224</v>
      </c>
    </row>
    <row r="249" spans="1:27" s="500" customFormat="1">
      <c r="A249" s="482"/>
      <c r="B249" s="483" t="s">
        <v>141</v>
      </c>
      <c r="C249" s="484">
        <v>4</v>
      </c>
      <c r="D249" s="485">
        <v>-1.7602077622276793</v>
      </c>
      <c r="E249" s="485">
        <v>3.8404726735598143</v>
      </c>
      <c r="F249" s="485">
        <v>5.1724137931034395</v>
      </c>
      <c r="G249" s="485">
        <v>-1.3248007185359829</v>
      </c>
      <c r="H249" s="485">
        <v>-11.783960720130933</v>
      </c>
      <c r="I249" s="485">
        <v>3</v>
      </c>
      <c r="J249" s="485">
        <v>-6</v>
      </c>
      <c r="K249" s="485"/>
      <c r="L249" s="485">
        <v>1.0000000000000009E-2</v>
      </c>
      <c r="M249" s="485">
        <v>0.89212057498703357</v>
      </c>
      <c r="N249" s="485">
        <v>-2.9629629629629526</v>
      </c>
      <c r="O249" s="485">
        <v>-11.304717382065446</v>
      </c>
      <c r="P249" s="485">
        <v>-0.39856516540454362</v>
      </c>
      <c r="Q249" s="485">
        <v>-0.41436464088397396</v>
      </c>
      <c r="R249" s="485">
        <v>0.89999999999999147</v>
      </c>
      <c r="S249" s="485">
        <v>-21.406673479361984</v>
      </c>
      <c r="T249" s="485"/>
      <c r="U249" s="485">
        <v>1.9727571629873126</v>
      </c>
      <c r="V249" s="485">
        <v>-25.16309412861137</v>
      </c>
      <c r="W249" s="485">
        <v>0.10000000000000009</v>
      </c>
      <c r="X249" s="485">
        <v>-3.7</v>
      </c>
      <c r="Y249" s="485">
        <v>-3.5164928167911476</v>
      </c>
      <c r="Z249" s="485">
        <v>0</v>
      </c>
      <c r="AA249" s="485">
        <v>-5.6499331933575112</v>
      </c>
    </row>
    <row r="250" spans="1:27" s="500" customFormat="1">
      <c r="A250" s="482"/>
      <c r="B250" s="483" t="s">
        <v>141</v>
      </c>
      <c r="C250" s="484">
        <v>5</v>
      </c>
      <c r="D250" s="485">
        <v>-1.8769858032287061</v>
      </c>
      <c r="E250" s="485">
        <v>-0.14503263234226876</v>
      </c>
      <c r="F250" s="485">
        <v>1.4828544949026956</v>
      </c>
      <c r="G250" s="485">
        <v>-9.4696969696969688</v>
      </c>
      <c r="H250" s="485">
        <v>3.9215686274509802</v>
      </c>
      <c r="I250" s="485">
        <v>-7</v>
      </c>
      <c r="J250" s="485">
        <v>-6</v>
      </c>
      <c r="K250" s="485"/>
      <c r="L250" s="485">
        <v>0</v>
      </c>
      <c r="M250" s="485">
        <v>2.8260246488965426</v>
      </c>
      <c r="N250" s="485">
        <v>-4.6153846153846265</v>
      </c>
      <c r="O250" s="485">
        <v>0.53908355795147733</v>
      </c>
      <c r="P250" s="485">
        <v>-1.6915022150624313</v>
      </c>
      <c r="Q250" s="485">
        <v>-2.0979020979020979</v>
      </c>
      <c r="R250" s="485">
        <v>1</v>
      </c>
      <c r="S250" s="485">
        <v>0.19220572640509617</v>
      </c>
      <c r="T250" s="485"/>
      <c r="U250" s="485">
        <v>0.55658627087197987</v>
      </c>
      <c r="V250" s="485">
        <v>3.5602094240837756</v>
      </c>
      <c r="W250" s="485">
        <v>0.10000000000000009</v>
      </c>
      <c r="X250" s="485">
        <v>-1.2000000000000002</v>
      </c>
      <c r="Y250" s="485">
        <v>-8.8256033409629353</v>
      </c>
      <c r="Z250" s="485">
        <v>0.5</v>
      </c>
      <c r="AA250" s="485">
        <v>-15.606140815246162</v>
      </c>
    </row>
    <row r="251" spans="1:27" s="500" customFormat="1">
      <c r="A251" s="482"/>
      <c r="B251" s="483" t="s">
        <v>141</v>
      </c>
      <c r="C251" s="484">
        <v>6</v>
      </c>
      <c r="D251" s="485">
        <v>-2.2441155241425172</v>
      </c>
      <c r="E251" s="485">
        <v>-1.4619883040935671</v>
      </c>
      <c r="F251" s="485">
        <v>-3.8443506797937257</v>
      </c>
      <c r="G251" s="485">
        <v>0.74275810844268386</v>
      </c>
      <c r="H251" s="485">
        <v>-12.244897959183673</v>
      </c>
      <c r="I251" s="485">
        <v>1</v>
      </c>
      <c r="J251" s="485">
        <v>-6</v>
      </c>
      <c r="K251" s="485"/>
      <c r="L251" s="485">
        <v>-4.0000000000000036E-2</v>
      </c>
      <c r="M251" s="485">
        <v>0.64090374470902267</v>
      </c>
      <c r="N251" s="485">
        <v>-1.5873015873015817</v>
      </c>
      <c r="O251" s="485">
        <v>0.89206066012488849</v>
      </c>
      <c r="P251" s="485">
        <v>-3.8079470198675449</v>
      </c>
      <c r="Q251" s="485">
        <v>-1.6387602422515222</v>
      </c>
      <c r="R251" s="485">
        <v>1.6000000000000085</v>
      </c>
      <c r="S251" s="485">
        <v>10.222417692887664</v>
      </c>
      <c r="T251" s="485"/>
      <c r="U251" s="485">
        <v>-9.2549745488194654E-2</v>
      </c>
      <c r="V251" s="485">
        <v>2.0366598778004072</v>
      </c>
      <c r="W251" s="485">
        <v>0</v>
      </c>
      <c r="X251" s="485">
        <v>-2.5</v>
      </c>
      <c r="Y251" s="485">
        <v>0.30703822206413578</v>
      </c>
      <c r="Z251" s="485">
        <v>1.1000000000000001</v>
      </c>
      <c r="AA251" s="485">
        <v>11.368165670219222</v>
      </c>
    </row>
    <row r="252" spans="1:27" s="500" customFormat="1">
      <c r="A252" s="482"/>
      <c r="B252" s="483" t="s">
        <v>141</v>
      </c>
      <c r="C252" s="484">
        <v>7</v>
      </c>
      <c r="D252" s="485">
        <v>-3.9363532664385352</v>
      </c>
      <c r="E252" s="485">
        <v>-1.4836795252225519</v>
      </c>
      <c r="F252" s="485">
        <v>-2.1256038647342885</v>
      </c>
      <c r="G252" s="485">
        <v>-4.5408678102926334</v>
      </c>
      <c r="H252" s="485">
        <v>24.398340248962654</v>
      </c>
      <c r="I252" s="485">
        <v>2</v>
      </c>
      <c r="J252" s="485">
        <v>1.2999999999999972</v>
      </c>
      <c r="K252" s="485"/>
      <c r="L252" s="485">
        <v>-3.0000000000000027E-2</v>
      </c>
      <c r="M252" s="485">
        <v>1.1239327874231222</v>
      </c>
      <c r="N252" s="485">
        <v>0.79681274900398114</v>
      </c>
      <c r="O252" s="485">
        <v>-0.71301247771835763</v>
      </c>
      <c r="P252" s="485">
        <v>1.9222732971165877</v>
      </c>
      <c r="Q252" s="485">
        <v>0</v>
      </c>
      <c r="R252" s="485">
        <v>-3.7000000000000028</v>
      </c>
      <c r="S252" s="485">
        <v>-2.4474731125867915</v>
      </c>
      <c r="T252" s="485"/>
      <c r="U252" s="485">
        <v>-2.2471910112359605</v>
      </c>
      <c r="V252" s="485">
        <v>0.30196275792651955</v>
      </c>
      <c r="W252" s="485">
        <v>-0.10000000000000009</v>
      </c>
      <c r="X252" s="485">
        <v>5.2</v>
      </c>
      <c r="Y252" s="485">
        <v>2.1330301458316416</v>
      </c>
      <c r="Z252" s="485">
        <v>0.39999999999999991</v>
      </c>
      <c r="AA252" s="485">
        <v>-10.438233264320221</v>
      </c>
    </row>
    <row r="253" spans="1:27" s="500" customFormat="1">
      <c r="A253" s="482"/>
      <c r="B253" s="483" t="s">
        <v>141</v>
      </c>
      <c r="C253" s="484">
        <v>8</v>
      </c>
      <c r="D253" s="485">
        <v>-4.8314447878163529</v>
      </c>
      <c r="E253" s="485">
        <v>-0.674915635545561</v>
      </c>
      <c r="F253" s="485">
        <v>-8.4478371501272385</v>
      </c>
      <c r="G253" s="485">
        <v>0.28354169351720582</v>
      </c>
      <c r="H253" s="485">
        <v>3.6310820624546114</v>
      </c>
      <c r="I253" s="485">
        <v>6</v>
      </c>
      <c r="J253" s="485">
        <v>1.4000000000000057</v>
      </c>
      <c r="K253" s="485"/>
      <c r="L253" s="485">
        <v>-1.9999999999999907E-2</v>
      </c>
      <c r="M253" s="485">
        <v>2.7428023689705832</v>
      </c>
      <c r="N253" s="485">
        <v>-4.048582995951417</v>
      </c>
      <c r="O253" s="485">
        <v>-7.9033007903300794</v>
      </c>
      <c r="P253" s="485">
        <v>-5.442176870748292</v>
      </c>
      <c r="Q253" s="485">
        <v>-6.4516129032257981</v>
      </c>
      <c r="R253" s="485">
        <v>3.8999999999999915</v>
      </c>
      <c r="S253" s="485">
        <v>-21.161010634694851</v>
      </c>
      <c r="T253" s="485"/>
      <c r="U253" s="485">
        <v>-9.4741828517285007E-2</v>
      </c>
      <c r="V253" s="485">
        <v>-16.539717083786726</v>
      </c>
      <c r="W253" s="485">
        <v>0.19999999999999973</v>
      </c>
      <c r="X253" s="485">
        <v>-1.7</v>
      </c>
      <c r="Y253" s="485">
        <v>6.3075310485023666</v>
      </c>
      <c r="Z253" s="485">
        <v>-0.10000000000000009</v>
      </c>
      <c r="AA253" s="485">
        <v>4.5017793594305973</v>
      </c>
    </row>
    <row r="254" spans="1:27" s="500" customFormat="1">
      <c r="A254" s="482"/>
      <c r="B254" s="483" t="s">
        <v>141</v>
      </c>
      <c r="C254" s="484">
        <v>9</v>
      </c>
      <c r="D254" s="485">
        <v>-0.1346299230538209</v>
      </c>
      <c r="E254" s="485">
        <v>-0.83112958065734355</v>
      </c>
      <c r="F254" s="485">
        <v>3.6515388628064684</v>
      </c>
      <c r="G254" s="485">
        <v>1.1261837727156385</v>
      </c>
      <c r="H254" s="485">
        <v>-18.380062305295951</v>
      </c>
      <c r="I254" s="485">
        <v>-3</v>
      </c>
      <c r="J254" s="485">
        <v>1.2999999999999972</v>
      </c>
      <c r="K254" s="485"/>
      <c r="L254" s="485">
        <v>-1.0000000000000009E-2</v>
      </c>
      <c r="M254" s="485">
        <v>2.8548221728072933</v>
      </c>
      <c r="N254" s="485">
        <v>1.6393442622950909</v>
      </c>
      <c r="O254" s="485">
        <v>1.7274472168905926</v>
      </c>
      <c r="P254" s="485">
        <v>1.4750542299349143</v>
      </c>
      <c r="Q254" s="485">
        <v>2.4971623155505194</v>
      </c>
      <c r="R254" s="485">
        <v>-1.8999999999999915</v>
      </c>
      <c r="S254" s="485">
        <v>41.584039600990032</v>
      </c>
      <c r="T254" s="485"/>
      <c r="U254" s="485">
        <v>0</v>
      </c>
      <c r="V254" s="485">
        <v>6.2068965517241441</v>
      </c>
      <c r="W254" s="485">
        <v>-9.9999999999999645E-2</v>
      </c>
      <c r="X254" s="485">
        <v>-1.9000000000000001</v>
      </c>
      <c r="Y254" s="485">
        <v>-8.6778001246570327</v>
      </c>
      <c r="Z254" s="485">
        <v>0.10000000000000009</v>
      </c>
      <c r="AA254" s="485">
        <v>4.2328492952348542</v>
      </c>
    </row>
    <row r="255" spans="1:27" s="500" customFormat="1">
      <c r="A255" s="482"/>
      <c r="B255" s="483" t="s">
        <v>141</v>
      </c>
      <c r="C255" s="484">
        <v>10</v>
      </c>
      <c r="D255" s="485">
        <v>-3.9071497247667764</v>
      </c>
      <c r="E255" s="485">
        <v>3.5035408125232861</v>
      </c>
      <c r="F255" s="485">
        <v>-3.4392912975508052</v>
      </c>
      <c r="G255" s="485">
        <v>5.4709741304616912</v>
      </c>
      <c r="H255" s="485">
        <v>0</v>
      </c>
      <c r="I255" s="485">
        <v>2</v>
      </c>
      <c r="J255" s="485">
        <v>2.2999999999999972</v>
      </c>
      <c r="K255" s="485"/>
      <c r="L255" s="485">
        <v>-5.0000000000000044E-2</v>
      </c>
      <c r="M255" s="485">
        <v>2.4251698915806399</v>
      </c>
      <c r="N255" s="485">
        <v>-4.1493775933609953</v>
      </c>
      <c r="O255" s="485">
        <v>5.0996754751970332</v>
      </c>
      <c r="P255" s="485">
        <v>2.0460358056266035</v>
      </c>
      <c r="Q255" s="485">
        <v>-0.37439161362785472</v>
      </c>
      <c r="R255" s="485">
        <v>-0.60000000000000853</v>
      </c>
      <c r="S255" s="485">
        <v>-9.1149890931754438</v>
      </c>
      <c r="T255" s="485"/>
      <c r="U255" s="485">
        <v>-9.4831673779036812E-2</v>
      </c>
      <c r="V255" s="485">
        <v>3.9344262295081904</v>
      </c>
      <c r="W255" s="485">
        <v>-0.20000000000000018</v>
      </c>
      <c r="X255" s="485">
        <v>-1.6999999999999997</v>
      </c>
      <c r="Y255" s="485">
        <v>-2.3803131382817835</v>
      </c>
      <c r="Z255" s="485">
        <v>-0.39999999999999991</v>
      </c>
      <c r="AA255" s="485">
        <v>-36.535805878871571</v>
      </c>
    </row>
    <row r="256" spans="1:27" s="500" customFormat="1">
      <c r="A256" s="482"/>
      <c r="B256" s="483" t="s">
        <v>141</v>
      </c>
      <c r="C256" s="484">
        <v>11</v>
      </c>
      <c r="D256" s="485">
        <v>2.3682248961772063</v>
      </c>
      <c r="E256" s="485">
        <v>-4.5710003746721579</v>
      </c>
      <c r="F256" s="485">
        <v>-7.2527472527472465</v>
      </c>
      <c r="G256" s="485">
        <v>-4.4083240980174851</v>
      </c>
      <c r="H256" s="485">
        <v>-27.512195121951219</v>
      </c>
      <c r="I256" s="485">
        <v>-10</v>
      </c>
      <c r="J256" s="485">
        <v>2.4000000000000057</v>
      </c>
      <c r="K256" s="485"/>
      <c r="L256" s="485">
        <v>-2.0000000000000018E-2</v>
      </c>
      <c r="M256" s="485">
        <v>2.002981004027522</v>
      </c>
      <c r="N256" s="485">
        <v>0.8438818565400813</v>
      </c>
      <c r="O256" s="485">
        <v>-6.2470862470862363</v>
      </c>
      <c r="P256" s="485">
        <v>-7.7125328659070975</v>
      </c>
      <c r="Q256" s="485">
        <v>-6.50658404337723</v>
      </c>
      <c r="R256" s="485">
        <v>6.7000000000000028</v>
      </c>
      <c r="S256" s="485">
        <v>1.8305587382894017</v>
      </c>
      <c r="T256" s="485"/>
      <c r="U256" s="485">
        <v>-2.303262955854132</v>
      </c>
      <c r="V256" s="485">
        <v>-5.7331863285556812</v>
      </c>
      <c r="W256" s="485">
        <v>0.20000000000000018</v>
      </c>
      <c r="X256" s="485">
        <v>4.0999999999999996</v>
      </c>
      <c r="Y256" s="485">
        <v>3.2944933350698293</v>
      </c>
      <c r="Z256" s="485">
        <v>-1.3</v>
      </c>
      <c r="AA256" s="485">
        <v>43.298189210912014</v>
      </c>
    </row>
    <row r="257" spans="1:27" s="500" customFormat="1">
      <c r="A257" s="486"/>
      <c r="B257" s="487" t="s">
        <v>141</v>
      </c>
      <c r="C257" s="488">
        <v>12</v>
      </c>
      <c r="D257" s="489">
        <v>-6.8055933402252728</v>
      </c>
      <c r="E257" s="489">
        <v>-3.8296209456819112</v>
      </c>
      <c r="F257" s="489">
        <v>-21.324921135646694</v>
      </c>
      <c r="G257" s="489">
        <v>-17.291381668946649</v>
      </c>
      <c r="H257" s="489">
        <v>38.686131386861312</v>
      </c>
      <c r="I257" s="489">
        <v>6</v>
      </c>
      <c r="J257" s="489">
        <v>2.2999999999999972</v>
      </c>
      <c r="K257" s="489"/>
      <c r="L257" s="489">
        <v>-1.9999999999999962E-2</v>
      </c>
      <c r="M257" s="489">
        <v>3.8649604020150039</v>
      </c>
      <c r="N257" s="489">
        <v>-5.1724137931034448</v>
      </c>
      <c r="O257" s="489">
        <v>-5.4374691052891739</v>
      </c>
      <c r="P257" s="489">
        <v>-12.596899224806201</v>
      </c>
      <c r="Q257" s="489">
        <v>-19.604395604395613</v>
      </c>
      <c r="R257" s="489">
        <v>10.200000000000003</v>
      </c>
      <c r="S257" s="489">
        <v>-42.623800881514121</v>
      </c>
      <c r="T257" s="489"/>
      <c r="U257" s="489">
        <v>3.0592734225621445</v>
      </c>
      <c r="V257" s="489">
        <v>-4.8837209302325446</v>
      </c>
      <c r="W257" s="489">
        <v>0.40000000000000036</v>
      </c>
      <c r="X257" s="489">
        <v>-5</v>
      </c>
      <c r="Y257" s="489">
        <v>3.2583591004401553</v>
      </c>
      <c r="Z257" s="489">
        <v>-1.2</v>
      </c>
      <c r="AA257" s="489">
        <v>3.2949810787049358</v>
      </c>
    </row>
    <row r="258" spans="1:27" s="500" customFormat="1">
      <c r="A258" s="490" t="s">
        <v>358</v>
      </c>
      <c r="B258" s="491">
        <v>2009</v>
      </c>
      <c r="C258" s="492">
        <v>1</v>
      </c>
      <c r="D258" s="493">
        <v>1.3672115373857476</v>
      </c>
      <c r="E258" s="493">
        <v>-2.6645135244247053</v>
      </c>
      <c r="F258" s="493">
        <v>-13.897280966767363</v>
      </c>
      <c r="G258" s="493">
        <v>8.2962537677623072</v>
      </c>
      <c r="H258" s="493">
        <v>-24.356775300171527</v>
      </c>
      <c r="I258" s="493">
        <v>-2</v>
      </c>
      <c r="J258" s="493">
        <v>-7</v>
      </c>
      <c r="K258" s="493"/>
      <c r="L258" s="493">
        <v>-0.06</v>
      </c>
      <c r="M258" s="493">
        <v>8.7712001478811494</v>
      </c>
      <c r="N258" s="493">
        <v>-20.487804878048795</v>
      </c>
      <c r="O258" s="493">
        <v>-2.3650385604113229</v>
      </c>
      <c r="P258" s="493">
        <v>-6.073521576984553</v>
      </c>
      <c r="Q258" s="493">
        <v>-9.3877551020408045</v>
      </c>
      <c r="R258" s="493">
        <v>15</v>
      </c>
      <c r="S258" s="493">
        <v>-38.536166032174876</v>
      </c>
      <c r="T258" s="493"/>
      <c r="U258" s="493">
        <v>-3.9366298607777326</v>
      </c>
      <c r="V258" s="493">
        <v>-5.1344743276283644</v>
      </c>
      <c r="W258" s="493">
        <v>-0.10000000000000053</v>
      </c>
      <c r="X258" s="493">
        <v>2</v>
      </c>
      <c r="Y258" s="493">
        <v>15.81112210403592</v>
      </c>
      <c r="Z258" s="493">
        <v>-0.4</v>
      </c>
      <c r="AA258" s="493">
        <v>-45.693299147668213</v>
      </c>
    </row>
    <row r="259" spans="1:27" s="500" customFormat="1">
      <c r="A259" s="482"/>
      <c r="B259" s="483"/>
      <c r="C259" s="484">
        <v>2</v>
      </c>
      <c r="D259" s="485">
        <v>-13.839317539148826</v>
      </c>
      <c r="E259" s="485">
        <v>3.6947791164658588</v>
      </c>
      <c r="F259" s="485">
        <v>-49.140546006066742</v>
      </c>
      <c r="G259" s="485">
        <v>-3.2777699957977307</v>
      </c>
      <c r="H259" s="485">
        <v>7.699530516431925</v>
      </c>
      <c r="I259" s="485">
        <v>0</v>
      </c>
      <c r="J259" s="485">
        <v>-7</v>
      </c>
      <c r="K259" s="485"/>
      <c r="L259" s="485">
        <v>-4.0000000000000036E-2</v>
      </c>
      <c r="M259" s="485">
        <v>21.146242125214652</v>
      </c>
      <c r="N259" s="485">
        <v>-13.953488372093016</v>
      </c>
      <c r="O259" s="485">
        <v>-0.20833333333332149</v>
      </c>
      <c r="P259" s="485">
        <v>-8.9552238805970124</v>
      </c>
      <c r="Q259" s="485">
        <v>-10.00562113546937</v>
      </c>
      <c r="R259" s="485">
        <v>4.5</v>
      </c>
      <c r="S259" s="485">
        <v>82.283422268380903</v>
      </c>
      <c r="T259" s="485"/>
      <c r="U259" s="485">
        <v>-2.780536246276065</v>
      </c>
      <c r="V259" s="485">
        <v>-1.2626262626262625</v>
      </c>
      <c r="W259" s="485">
        <v>0.29999999999999982</v>
      </c>
      <c r="X259" s="485">
        <v>-3.5</v>
      </c>
      <c r="Y259" s="485">
        <v>2.7983534632436555</v>
      </c>
      <c r="Z259" s="485">
        <v>0.1</v>
      </c>
      <c r="AA259" s="485">
        <v>-24.039170970554686</v>
      </c>
    </row>
    <row r="260" spans="1:27" s="500" customFormat="1">
      <c r="A260" s="482"/>
      <c r="B260" s="483"/>
      <c r="C260" s="484">
        <v>3</v>
      </c>
      <c r="D260" s="485">
        <v>7.8015750349598978</v>
      </c>
      <c r="E260" s="485">
        <v>-4.0225261464199518</v>
      </c>
      <c r="F260" s="485">
        <v>-0.26845637583891091</v>
      </c>
      <c r="G260" s="485">
        <v>0.1138627953316254</v>
      </c>
      <c r="H260" s="485">
        <v>-21.421421421421421</v>
      </c>
      <c r="I260" s="485">
        <v>-2</v>
      </c>
      <c r="J260" s="485">
        <v>-7</v>
      </c>
      <c r="K260" s="485"/>
      <c r="L260" s="485">
        <v>0</v>
      </c>
      <c r="M260" s="485">
        <v>15.435321328266964</v>
      </c>
      <c r="N260" s="485">
        <v>1.242236024844716</v>
      </c>
      <c r="O260" s="485">
        <v>-9.6174863387978267</v>
      </c>
      <c r="P260" s="485">
        <v>-3.2987171655467353</v>
      </c>
      <c r="Q260" s="485">
        <v>-3.4918723660445585</v>
      </c>
      <c r="R260" s="485">
        <v>2.2999999999999972</v>
      </c>
      <c r="S260" s="485">
        <v>-80.94525235243799</v>
      </c>
      <c r="T260" s="485"/>
      <c r="U260" s="485">
        <v>1.5984015984016071</v>
      </c>
      <c r="V260" s="485">
        <v>-11.275167785234906</v>
      </c>
      <c r="W260" s="485">
        <v>0.20000000000000018</v>
      </c>
      <c r="X260" s="485">
        <v>-0.79999999999999982</v>
      </c>
      <c r="Y260" s="485">
        <v>-10.707254491633549</v>
      </c>
      <c r="Z260" s="485">
        <v>-0.60000000000000009</v>
      </c>
      <c r="AA260" s="485">
        <v>0.61561846855404967</v>
      </c>
    </row>
    <row r="261" spans="1:27" s="500" customFormat="1">
      <c r="A261" s="482"/>
      <c r="B261" s="483"/>
      <c r="C261" s="484">
        <v>4</v>
      </c>
      <c r="D261" s="485">
        <v>-0.46387238775945761</v>
      </c>
      <c r="E261" s="485">
        <v>-6.2658763759525753</v>
      </c>
      <c r="F261" s="485">
        <v>7.9999999999999849</v>
      </c>
      <c r="G261" s="485">
        <v>-1.0869565217391304</v>
      </c>
      <c r="H261" s="485">
        <v>13.778705636743215</v>
      </c>
      <c r="I261" s="485">
        <v>3</v>
      </c>
      <c r="J261" s="485">
        <v>-0.29999999999999716</v>
      </c>
      <c r="K261" s="485"/>
      <c r="L261" s="485">
        <v>-1.0000000000000009E-2</v>
      </c>
      <c r="M261" s="485">
        <v>4.1930846012064977</v>
      </c>
      <c r="N261" s="485">
        <v>1.2269938650306706</v>
      </c>
      <c r="O261" s="485">
        <v>-0.46029919447639983</v>
      </c>
      <c r="P261" s="485">
        <v>2.9375764993880118</v>
      </c>
      <c r="Q261" s="485">
        <v>9.9009900990099009</v>
      </c>
      <c r="R261" s="485">
        <v>-4.5999999999999943</v>
      </c>
      <c r="S261" s="485">
        <v>47.958486958896628</v>
      </c>
      <c r="T261" s="485"/>
      <c r="U261" s="485">
        <v>-1.196410767696912</v>
      </c>
      <c r="V261" s="485">
        <v>-1.2884753042233237</v>
      </c>
      <c r="W261" s="485">
        <v>0.20000000000000018</v>
      </c>
      <c r="X261" s="485">
        <v>2</v>
      </c>
      <c r="Y261" s="485">
        <v>2.6399558343317593</v>
      </c>
      <c r="Z261" s="485">
        <v>0.2</v>
      </c>
      <c r="AA261" s="485">
        <v>13.079347094855365</v>
      </c>
    </row>
    <row r="262" spans="1:27" s="500" customFormat="1">
      <c r="A262" s="482"/>
      <c r="B262" s="483"/>
      <c r="C262" s="484">
        <v>5</v>
      </c>
      <c r="D262" s="485">
        <v>-11.131284041820573</v>
      </c>
      <c r="E262" s="485">
        <v>7.7310924369747802</v>
      </c>
      <c r="F262" s="485">
        <v>16.609783845278734</v>
      </c>
      <c r="G262" s="485">
        <v>6.3222392424453417</v>
      </c>
      <c r="H262" s="485">
        <v>-10.483042137718396</v>
      </c>
      <c r="I262" s="485">
        <v>7</v>
      </c>
      <c r="J262" s="485">
        <v>-0.40000000000000568</v>
      </c>
      <c r="K262" s="485"/>
      <c r="L262" s="485">
        <v>-1.9999999999999962E-2</v>
      </c>
      <c r="M262" s="485">
        <v>-2.4384071455154337</v>
      </c>
      <c r="N262" s="485">
        <v>7.0588235294117814</v>
      </c>
      <c r="O262" s="485">
        <v>0.6896551724137866</v>
      </c>
      <c r="P262" s="485">
        <v>6.308411214953261</v>
      </c>
      <c r="Q262" s="485">
        <v>5.0838290968090893</v>
      </c>
      <c r="R262" s="485">
        <v>-6.5</v>
      </c>
      <c r="S262" s="485">
        <v>-35.80286994351016</v>
      </c>
      <c r="T262" s="485"/>
      <c r="U262" s="485">
        <v>-2.5393600812595225</v>
      </c>
      <c r="V262" s="485">
        <v>-4.5689019896831375</v>
      </c>
      <c r="W262" s="485">
        <v>9.9999999999999645E-2</v>
      </c>
      <c r="X262" s="485">
        <v>0.5</v>
      </c>
      <c r="Y262" s="485">
        <v>-4.8044589938178355</v>
      </c>
      <c r="Z262" s="485">
        <v>-0.8</v>
      </c>
      <c r="AA262" s="485">
        <v>-3.3657745336577425</v>
      </c>
    </row>
    <row r="263" spans="1:27" s="500" customFormat="1">
      <c r="A263" s="482"/>
      <c r="B263" s="483"/>
      <c r="C263" s="484">
        <v>6</v>
      </c>
      <c r="D263" s="485">
        <v>8.8673196568633568</v>
      </c>
      <c r="E263" s="485">
        <v>-3.7082818294190361</v>
      </c>
      <c r="F263" s="485">
        <v>-4.9515608180839701</v>
      </c>
      <c r="G263" s="485">
        <v>-5.5493895671476139</v>
      </c>
      <c r="H263" s="485">
        <v>-19.523809523809526</v>
      </c>
      <c r="I263" s="485">
        <v>-10</v>
      </c>
      <c r="J263" s="485">
        <v>-0.29999999999999716</v>
      </c>
      <c r="K263" s="485"/>
      <c r="L263" s="485">
        <v>-1.0000000000000009E-2</v>
      </c>
      <c r="M263" s="485">
        <v>-3.4095219848644618</v>
      </c>
      <c r="N263" s="485">
        <v>-9.5238095238095326</v>
      </c>
      <c r="O263" s="485">
        <v>-0.45924225028701665</v>
      </c>
      <c r="P263" s="485">
        <v>3.3407572383073498</v>
      </c>
      <c r="Q263" s="485">
        <v>8.4848484848484897</v>
      </c>
      <c r="R263" s="485">
        <v>-5.7999999999999972</v>
      </c>
      <c r="S263" s="485">
        <v>10.883709335659987</v>
      </c>
      <c r="T263" s="485"/>
      <c r="U263" s="485">
        <v>0.20554984583761851</v>
      </c>
      <c r="V263" s="485">
        <v>1.94174757281553</v>
      </c>
      <c r="W263" s="485">
        <v>0.10000000000000053</v>
      </c>
      <c r="X263" s="485">
        <v>-0.5</v>
      </c>
      <c r="Y263" s="485">
        <v>2.5847332345785738</v>
      </c>
      <c r="Z263" s="485">
        <v>-0.8</v>
      </c>
      <c r="AA263" s="485">
        <v>6.7100717512622907</v>
      </c>
    </row>
    <row r="264" spans="1:27" s="500" customFormat="1">
      <c r="A264" s="482"/>
      <c r="B264" s="483"/>
      <c r="C264" s="484">
        <v>7</v>
      </c>
      <c r="D264" s="485">
        <v>9.8382593848780733</v>
      </c>
      <c r="E264" s="485">
        <v>3.7082818294190361</v>
      </c>
      <c r="F264" s="485">
        <v>5.1612903225806575</v>
      </c>
      <c r="G264" s="485">
        <v>5.3603666157478127</v>
      </c>
      <c r="H264" s="485">
        <v>13.759213759213759</v>
      </c>
      <c r="I264" s="485">
        <v>11</v>
      </c>
      <c r="J264" s="485">
        <v>6.2999999999999972</v>
      </c>
      <c r="K264" s="485"/>
      <c r="L264" s="485">
        <v>0</v>
      </c>
      <c r="M264" s="485">
        <v>-7.7142012720699178</v>
      </c>
      <c r="N264" s="485">
        <v>9.5238095238095326</v>
      </c>
      <c r="O264" s="485">
        <v>-0.23041474654378205</v>
      </c>
      <c r="P264" s="485">
        <v>-0.10958904109588419</v>
      </c>
      <c r="Q264" s="485">
        <v>-1.9569471624266144</v>
      </c>
      <c r="R264" s="485">
        <v>-1.2000000000000028</v>
      </c>
      <c r="S264" s="485">
        <v>21.093369990483232</v>
      </c>
      <c r="T264" s="485"/>
      <c r="U264" s="485">
        <v>0.10261672652641797</v>
      </c>
      <c r="V264" s="485">
        <v>-5.3151100987091882</v>
      </c>
      <c r="W264" s="485">
        <v>0.29999999999999982</v>
      </c>
      <c r="X264" s="485">
        <v>-0.5</v>
      </c>
      <c r="Y264" s="485">
        <v>-16.574195597970665</v>
      </c>
      <c r="Z264" s="485">
        <v>-0.8</v>
      </c>
      <c r="AA264" s="485">
        <v>5.7257032250007818</v>
      </c>
    </row>
    <row r="265" spans="1:27" s="500" customFormat="1">
      <c r="A265" s="482"/>
      <c r="B265" s="483"/>
      <c r="C265" s="484">
        <v>8</v>
      </c>
      <c r="D265" s="485">
        <v>-7.2701581658234193</v>
      </c>
      <c r="E265" s="485">
        <v>-3.1224322103533257</v>
      </c>
      <c r="F265" s="485">
        <v>24.471021159153629</v>
      </c>
      <c r="G265" s="485">
        <v>28.862400185163754</v>
      </c>
      <c r="H265" s="485">
        <v>-12.713936430317849</v>
      </c>
      <c r="I265" s="485">
        <v>-9</v>
      </c>
      <c r="J265" s="485">
        <v>6.4000000000000057</v>
      </c>
      <c r="K265" s="485"/>
      <c r="L265" s="485">
        <v>0</v>
      </c>
      <c r="M265" s="485">
        <v>-2.6047376705813186</v>
      </c>
      <c r="N265" s="485">
        <v>13.756613756613746</v>
      </c>
      <c r="O265" s="485">
        <v>2.6180990324416586</v>
      </c>
      <c r="P265" s="485">
        <v>1.7391304347826024</v>
      </c>
      <c r="Q265" s="485">
        <v>1.8600097895251997</v>
      </c>
      <c r="R265" s="485">
        <v>0.79999999999999716</v>
      </c>
      <c r="S265" s="485">
        <v>-9.4986172898881804</v>
      </c>
      <c r="T265" s="485"/>
      <c r="U265" s="485">
        <v>0.61349693251533166</v>
      </c>
      <c r="V265" s="485">
        <v>7.0729872084273948</v>
      </c>
      <c r="W265" s="485">
        <v>-9.9999999999999645E-2</v>
      </c>
      <c r="X265" s="485">
        <v>-1.2000000000000002</v>
      </c>
      <c r="Y265" s="485">
        <v>0.29522074301296353</v>
      </c>
      <c r="Z265" s="485">
        <v>0.10000000000000009</v>
      </c>
      <c r="AA265" s="485">
        <v>-2.7506845943201772</v>
      </c>
    </row>
    <row r="266" spans="1:27" s="500" customFormat="1">
      <c r="A266" s="482"/>
      <c r="B266" s="483"/>
      <c r="C266" s="484">
        <v>9</v>
      </c>
      <c r="D266" s="485">
        <v>5.2865464760194198</v>
      </c>
      <c r="E266" s="485">
        <v>-0.41823504809703055</v>
      </c>
      <c r="F266" s="485">
        <v>12.163202463433418</v>
      </c>
      <c r="G266" s="485">
        <v>-8.1465108935901487</v>
      </c>
      <c r="H266" s="485">
        <v>2.5773195876288661</v>
      </c>
      <c r="I266" s="485">
        <v>-4</v>
      </c>
      <c r="J266" s="485">
        <v>6.2999999999999972</v>
      </c>
      <c r="K266" s="485"/>
      <c r="L266" s="485">
        <v>2.0000000000000018E-2</v>
      </c>
      <c r="M266" s="485">
        <v>-6.0854926202713067</v>
      </c>
      <c r="N266" s="485">
        <v>0</v>
      </c>
      <c r="O266" s="485">
        <v>-2.2727272727272729</v>
      </c>
      <c r="P266" s="485">
        <v>4.2194092827004219</v>
      </c>
      <c r="Q266" s="485">
        <v>5.9294117647058933</v>
      </c>
      <c r="R266" s="485">
        <v>-2.4000000000000057</v>
      </c>
      <c r="S266" s="485">
        <v>-7.3143604841347649</v>
      </c>
      <c r="T266" s="485"/>
      <c r="U266" s="485">
        <v>-0.20408163265304963</v>
      </c>
      <c r="V266" s="485">
        <v>-1.0226442658875134</v>
      </c>
      <c r="W266" s="485">
        <v>0</v>
      </c>
      <c r="X266" s="485">
        <v>2.9000000000000004</v>
      </c>
      <c r="Y266" s="485">
        <v>-3.4349506225848003</v>
      </c>
      <c r="Z266" s="485">
        <v>-0.10000000000000009</v>
      </c>
      <c r="AA266" s="485">
        <v>-20.575282135975776</v>
      </c>
    </row>
    <row r="267" spans="1:27" s="500" customFormat="1">
      <c r="A267" s="482"/>
      <c r="B267" s="483"/>
      <c r="C267" s="484">
        <v>10</v>
      </c>
      <c r="D267" s="485">
        <v>7.4694710474319086</v>
      </c>
      <c r="E267" s="485">
        <v>-1.0956595027391463</v>
      </c>
      <c r="F267" s="485">
        <v>3.1428571428571268</v>
      </c>
      <c r="G267" s="485">
        <v>-0.50599494005059953</v>
      </c>
      <c r="H267" s="485">
        <v>-6.8421052631578947</v>
      </c>
      <c r="I267" s="485">
        <v>1</v>
      </c>
      <c r="J267" s="485">
        <v>-1.2999999999999972</v>
      </c>
      <c r="K267" s="485"/>
      <c r="L267" s="485">
        <v>1.9999999999999962E-2</v>
      </c>
      <c r="M267" s="485">
        <v>-3.3999336643885174</v>
      </c>
      <c r="N267" s="485">
        <v>4.8309178743961354</v>
      </c>
      <c r="O267" s="485">
        <v>5.9118795315114303</v>
      </c>
      <c r="P267" s="485">
        <v>3.7506335529650308</v>
      </c>
      <c r="Q267" s="485">
        <v>2.3486901535681972</v>
      </c>
      <c r="R267" s="485">
        <v>-4.0999999999999943</v>
      </c>
      <c r="S267" s="485">
        <v>-10.979249743308106</v>
      </c>
      <c r="T267" s="485"/>
      <c r="U267" s="485">
        <v>0.20408163265304963</v>
      </c>
      <c r="V267" s="485">
        <v>9.909281228192615</v>
      </c>
      <c r="W267" s="485">
        <v>-0.20000000000000018</v>
      </c>
      <c r="X267" s="485">
        <v>-1</v>
      </c>
      <c r="Y267" s="485">
        <v>26.27657105581725</v>
      </c>
      <c r="Z267" s="485">
        <v>-0.10000000000000009</v>
      </c>
      <c r="AA267" s="485">
        <v>21.722334279169942</v>
      </c>
    </row>
    <row r="268" spans="1:27" s="500" customFormat="1">
      <c r="A268" s="482"/>
      <c r="B268" s="483"/>
      <c r="C268" s="484">
        <v>11</v>
      </c>
      <c r="D268" s="485">
        <v>-16.129395091444895</v>
      </c>
      <c r="E268" s="485">
        <v>2.5930572982015847</v>
      </c>
      <c r="F268" s="485">
        <v>-0.98939929328620302</v>
      </c>
      <c r="G268" s="485">
        <v>-1.1311966285904402</v>
      </c>
      <c r="H268" s="485">
        <v>11.794871794871796</v>
      </c>
      <c r="I268" s="485">
        <v>-1</v>
      </c>
      <c r="J268" s="485">
        <v>-1.4000000000000057</v>
      </c>
      <c r="K268" s="485"/>
      <c r="L268" s="485">
        <v>-1.9999999999999962E-2</v>
      </c>
      <c r="M268" s="485">
        <v>-2.6864449635177254</v>
      </c>
      <c r="N268" s="485">
        <v>-3.8461538461538503</v>
      </c>
      <c r="O268" s="485">
        <v>-0.65217391304347205</v>
      </c>
      <c r="P268" s="485">
        <v>1.1869436201780443</v>
      </c>
      <c r="Q268" s="485">
        <v>2.90365156181258</v>
      </c>
      <c r="R268" s="485">
        <v>-0.29999999999999716</v>
      </c>
      <c r="S268" s="485">
        <v>24.956327532450306</v>
      </c>
      <c r="T268" s="485"/>
      <c r="U268" s="485">
        <v>0.20366598778004366</v>
      </c>
      <c r="V268" s="485">
        <v>-2.4226110363391613</v>
      </c>
      <c r="W268" s="485">
        <v>0</v>
      </c>
      <c r="X268" s="485">
        <v>-2.8</v>
      </c>
      <c r="Y268" s="485">
        <v>-27.315259683999937</v>
      </c>
      <c r="Z268" s="485">
        <v>0.70000000000000018</v>
      </c>
      <c r="AA268" s="485">
        <v>5.0440376348934297</v>
      </c>
    </row>
    <row r="269" spans="1:27" s="500" customFormat="1">
      <c r="A269" s="494"/>
      <c r="B269" s="495"/>
      <c r="C269" s="496">
        <v>12</v>
      </c>
      <c r="D269" s="497">
        <v>2.581969687820775</v>
      </c>
      <c r="E269" s="497">
        <v>-3.5294117647058729</v>
      </c>
      <c r="F269" s="497">
        <v>6.7261496225119997</v>
      </c>
      <c r="G269" s="497">
        <v>-4.004550625711035</v>
      </c>
      <c r="H269" s="497">
        <v>4.9586776859504136</v>
      </c>
      <c r="I269" s="497">
        <v>0</v>
      </c>
      <c r="J269" s="497">
        <v>-1.2999999999999972</v>
      </c>
      <c r="K269" s="497"/>
      <c r="L269" s="497">
        <v>9.9999999999999534E-3</v>
      </c>
      <c r="M269" s="497">
        <v>-2.2640987790849731</v>
      </c>
      <c r="N269" s="497">
        <v>-0.98522167487684398</v>
      </c>
      <c r="O269" s="497">
        <v>-2.5400331308669211</v>
      </c>
      <c r="P269" s="497">
        <v>-0.39408866995074454</v>
      </c>
      <c r="Q269" s="497">
        <v>-0.69625761531766506</v>
      </c>
      <c r="R269" s="497">
        <v>1</v>
      </c>
      <c r="S269" s="497">
        <v>2.5771395303706437</v>
      </c>
      <c r="T269" s="497"/>
      <c r="U269" s="497">
        <v>0</v>
      </c>
      <c r="V269" s="497">
        <v>1.6216216216216062</v>
      </c>
      <c r="W269" s="497">
        <v>0</v>
      </c>
      <c r="X269" s="497">
        <v>2.8</v>
      </c>
      <c r="Y269" s="497">
        <v>9.1259863907674514</v>
      </c>
      <c r="Z269" s="497">
        <v>-0.20000000000000018</v>
      </c>
      <c r="AA269" s="497">
        <v>-12.81003338221071</v>
      </c>
    </row>
    <row r="270" spans="1:27" s="500" customFormat="1">
      <c r="A270" s="478" t="s">
        <v>379</v>
      </c>
      <c r="B270" s="479">
        <v>2010</v>
      </c>
      <c r="C270" s="480">
        <v>1</v>
      </c>
      <c r="D270" s="481">
        <v>5.7527964982977968</v>
      </c>
      <c r="E270" s="481">
        <v>4.1055718475073242</v>
      </c>
      <c r="F270" s="481">
        <v>6.4267352185089974</v>
      </c>
      <c r="G270" s="481">
        <v>-2.5870178739416745</v>
      </c>
      <c r="H270" s="481">
        <v>0.23014959723820483</v>
      </c>
      <c r="I270" s="481">
        <v>-1</v>
      </c>
      <c r="J270" s="481">
        <v>2.2999999999999972</v>
      </c>
      <c r="K270" s="575"/>
      <c r="L270" s="481">
        <v>0</v>
      </c>
      <c r="M270" s="481">
        <v>-4.8674693865024325</v>
      </c>
      <c r="N270" s="481">
        <v>8.5308056872037934</v>
      </c>
      <c r="O270" s="481">
        <v>11.09350237717908</v>
      </c>
      <c r="P270" s="481">
        <v>4.5344910757356516</v>
      </c>
      <c r="Q270" s="481">
        <v>2.4158757549611707</v>
      </c>
      <c r="R270" s="481">
        <v>-10.700000000000003</v>
      </c>
      <c r="S270" s="1202">
        <v>19.319774989182186</v>
      </c>
      <c r="T270" s="575"/>
      <c r="U270" s="481">
        <v>-4.6850598646538266</v>
      </c>
      <c r="V270" s="481">
        <v>14.312383322962042</v>
      </c>
      <c r="W270" s="481">
        <v>-0.20000000000000018</v>
      </c>
      <c r="X270" s="481">
        <v>-1</v>
      </c>
      <c r="Y270" s="481">
        <v>21.332504243383521</v>
      </c>
      <c r="Z270" s="481">
        <v>0.50000000000000022</v>
      </c>
      <c r="AA270" s="481">
        <v>-28.955201098984972</v>
      </c>
    </row>
    <row r="271" spans="1:27" s="500" customFormat="1">
      <c r="A271" s="482"/>
      <c r="B271" s="483"/>
      <c r="C271" s="484">
        <v>2</v>
      </c>
      <c r="D271" s="485">
        <v>-0.60061416184971916</v>
      </c>
      <c r="E271" s="485">
        <v>-3.4237995824634608</v>
      </c>
      <c r="F271" s="485">
        <v>6.3893911995177799</v>
      </c>
      <c r="G271" s="485">
        <v>0.66492519591545951</v>
      </c>
      <c r="H271" s="485">
        <v>-11.421628189550425</v>
      </c>
      <c r="I271" s="485">
        <v>1</v>
      </c>
      <c r="J271" s="485">
        <v>2.4000000000000057</v>
      </c>
      <c r="K271" s="576"/>
      <c r="L271" s="485">
        <v>3.0000000000000027E-2</v>
      </c>
      <c r="M271" s="485">
        <v>0.47907448666854185</v>
      </c>
      <c r="N271" s="485">
        <v>2.690582959641262</v>
      </c>
      <c r="O271" s="485">
        <v>-0.10015022533801556</v>
      </c>
      <c r="P271" s="485">
        <v>0.56444026340545095</v>
      </c>
      <c r="Q271" s="485">
        <v>1.1021619330224648</v>
      </c>
      <c r="R271" s="485">
        <v>4.7999999999999972</v>
      </c>
      <c r="S271" s="1203">
        <v>-44.981922935637918</v>
      </c>
      <c r="T271" s="576"/>
      <c r="U271" s="485">
        <v>1.4814814814814874</v>
      </c>
      <c r="V271" s="485">
        <v>4.3181818181818308</v>
      </c>
      <c r="W271" s="485">
        <v>0</v>
      </c>
      <c r="X271" s="485">
        <v>2.3999999999999995</v>
      </c>
      <c r="Y271" s="485">
        <v>-22.696731801139041</v>
      </c>
      <c r="Z271" s="485">
        <v>9.9999999999999867E-2</v>
      </c>
      <c r="AA271" s="485">
        <v>15.607388210127942</v>
      </c>
    </row>
    <row r="272" spans="1:27" s="500" customFormat="1">
      <c r="A272" s="482"/>
      <c r="B272" s="483"/>
      <c r="C272" s="484">
        <v>3</v>
      </c>
      <c r="D272" s="485">
        <v>7.193930462311009</v>
      </c>
      <c r="E272" s="485">
        <v>5.534902932672451</v>
      </c>
      <c r="F272" s="485">
        <v>0.23337222870478747</v>
      </c>
      <c r="G272" s="485">
        <v>-0.85571666270501545</v>
      </c>
      <c r="H272" s="485">
        <v>1.5345268542199488</v>
      </c>
      <c r="I272" s="485">
        <v>7</v>
      </c>
      <c r="J272" s="485">
        <v>2.2999999999999972</v>
      </c>
      <c r="K272" s="576"/>
      <c r="L272" s="485">
        <v>1.0000000000000009E-2</v>
      </c>
      <c r="M272" s="485">
        <v>-2.8942548934503418</v>
      </c>
      <c r="N272" s="485">
        <v>-0.8888888888889015</v>
      </c>
      <c r="O272" s="485">
        <v>7.24287783679382</v>
      </c>
      <c r="P272" s="485">
        <v>1.2121212121212228</v>
      </c>
      <c r="Q272" s="485">
        <v>1.5062761506276245</v>
      </c>
      <c r="R272" s="485">
        <v>-2.5</v>
      </c>
      <c r="S272" s="1203">
        <v>39.292872604826421</v>
      </c>
      <c r="T272" s="576"/>
      <c r="U272" s="485">
        <v>-0.10509721492381348</v>
      </c>
      <c r="V272" s="485">
        <v>8.9266737513283658</v>
      </c>
      <c r="W272" s="485">
        <v>9.9999999999999645E-2</v>
      </c>
      <c r="X272" s="485">
        <v>-1.5</v>
      </c>
      <c r="Y272" s="485">
        <v>12.941542455504269</v>
      </c>
      <c r="Z272" s="485">
        <v>0.10000000000000009</v>
      </c>
      <c r="AA272" s="485">
        <v>22.884563395512313</v>
      </c>
    </row>
    <row r="273" spans="1:27" s="500" customFormat="1">
      <c r="A273" s="482"/>
      <c r="B273" s="483"/>
      <c r="C273" s="484">
        <v>4</v>
      </c>
      <c r="D273" s="485">
        <v>-14.652462056954153</v>
      </c>
      <c r="E273" s="485">
        <v>-1.0505050505050597</v>
      </c>
      <c r="F273" s="485">
        <v>-5.6321150389454804</v>
      </c>
      <c r="G273" s="485">
        <v>1.8917001655237644</v>
      </c>
      <c r="H273" s="485">
        <v>5.1915945611866503</v>
      </c>
      <c r="I273" s="485">
        <v>-3</v>
      </c>
      <c r="J273" s="485">
        <v>1.7000000000000028</v>
      </c>
      <c r="K273" s="576"/>
      <c r="L273" s="485">
        <v>-1.0000000000000009E-2</v>
      </c>
      <c r="M273" s="485">
        <v>-3.8405114843117194</v>
      </c>
      <c r="N273" s="485">
        <v>-1.8018018018017954</v>
      </c>
      <c r="O273" s="485">
        <v>1.2042612320518733</v>
      </c>
      <c r="P273" s="485">
        <v>-0.74418604651163844</v>
      </c>
      <c r="Q273" s="485">
        <v>-1.0855949895615962</v>
      </c>
      <c r="R273" s="485">
        <v>-0.70000000000000284</v>
      </c>
      <c r="S273" s="1203">
        <v>-11.785993046193141</v>
      </c>
      <c r="T273" s="576"/>
      <c r="U273" s="485">
        <v>-0.63291139240505734</v>
      </c>
      <c r="V273" s="485">
        <v>0.20325203252032809</v>
      </c>
      <c r="W273" s="485">
        <v>0</v>
      </c>
      <c r="X273" s="485">
        <v>2.4000000000000004</v>
      </c>
      <c r="Y273" s="485">
        <v>-9.9085790605109167</v>
      </c>
      <c r="Z273" s="485">
        <v>-0.70000000000000018</v>
      </c>
      <c r="AA273" s="485">
        <v>11.300889766257546</v>
      </c>
    </row>
    <row r="274" spans="1:27" s="500" customFormat="1">
      <c r="A274" s="482"/>
      <c r="B274" s="483"/>
      <c r="C274" s="484">
        <v>5</v>
      </c>
      <c r="D274" s="485">
        <v>8.6828619123775876</v>
      </c>
      <c r="E274" s="485">
        <v>1.8511066398390434</v>
      </c>
      <c r="F274" s="485">
        <v>2.3156611822059792</v>
      </c>
      <c r="G274" s="485">
        <v>0.1404494382022472</v>
      </c>
      <c r="H274" s="485">
        <v>16.574585635359117</v>
      </c>
      <c r="I274" s="485">
        <v>1</v>
      </c>
      <c r="J274" s="485">
        <v>1.5999999999999943</v>
      </c>
      <c r="K274" s="576"/>
      <c r="L274" s="485">
        <v>2.0000000000000018E-2</v>
      </c>
      <c r="M274" s="485">
        <v>-7.8173931197661748</v>
      </c>
      <c r="N274" s="485">
        <v>0.90497737556560753</v>
      </c>
      <c r="O274" s="485">
        <v>1.462522851919569</v>
      </c>
      <c r="P274" s="485">
        <v>-1.4104372355430184</v>
      </c>
      <c r="Q274" s="485">
        <v>-0.33641715727501381</v>
      </c>
      <c r="R274" s="485">
        <v>0.20000000000000284</v>
      </c>
      <c r="S274" s="1203">
        <v>32.620801716386133</v>
      </c>
      <c r="T274" s="576"/>
      <c r="U274" s="485">
        <v>-0.9569377990430683</v>
      </c>
      <c r="V274" s="485">
        <v>4.7571853320118898</v>
      </c>
      <c r="W274" s="485">
        <v>0</v>
      </c>
      <c r="X274" s="485">
        <v>-3.4000000000000004</v>
      </c>
      <c r="Y274" s="485">
        <v>5.5895093617515812</v>
      </c>
      <c r="Z274" s="485">
        <v>0.50000000000000022</v>
      </c>
      <c r="AA274" s="485">
        <v>-7.9689127924985215</v>
      </c>
    </row>
    <row r="275" spans="1:27" s="500" customFormat="1">
      <c r="A275" s="482"/>
      <c r="B275" s="483"/>
      <c r="C275" s="484">
        <v>6</v>
      </c>
      <c r="D275" s="485">
        <v>10.775679566432382</v>
      </c>
      <c r="E275" s="485">
        <v>-7.9776625448750318E-2</v>
      </c>
      <c r="F275" s="485">
        <v>-2.1924482338611417</v>
      </c>
      <c r="G275" s="485">
        <v>3.0861354214647627</v>
      </c>
      <c r="H275" s="485">
        <v>2.0202020202020203</v>
      </c>
      <c r="I275" s="485">
        <v>-6</v>
      </c>
      <c r="J275" s="485">
        <v>1.7000000000000028</v>
      </c>
      <c r="K275" s="576"/>
      <c r="L275" s="485">
        <v>9.9999999999999534E-3</v>
      </c>
      <c r="M275" s="485">
        <v>3.524082813574605</v>
      </c>
      <c r="N275" s="485">
        <v>0</v>
      </c>
      <c r="O275" s="485">
        <v>-4.9279404927940469</v>
      </c>
      <c r="P275" s="485">
        <v>0</v>
      </c>
      <c r="Q275" s="485">
        <v>0.67170445004197921</v>
      </c>
      <c r="R275" s="485">
        <v>1.2000000000000028</v>
      </c>
      <c r="S275" s="1203">
        <v>-5.6884598752946776</v>
      </c>
      <c r="T275" s="576"/>
      <c r="U275" s="485">
        <v>0.53276505061267987</v>
      </c>
      <c r="V275" s="485">
        <v>-10.386965376782081</v>
      </c>
      <c r="W275" s="485">
        <v>0.10000000000000053</v>
      </c>
      <c r="X275" s="485">
        <v>6.1000000000000005</v>
      </c>
      <c r="Y275" s="485">
        <v>3.2170568623028957</v>
      </c>
      <c r="Z275" s="485">
        <v>-0.19999999999999996</v>
      </c>
      <c r="AA275" s="485">
        <v>9.3379557146052328</v>
      </c>
    </row>
    <row r="276" spans="1:27" s="500" customFormat="1">
      <c r="A276" s="482"/>
      <c r="B276" s="483"/>
      <c r="C276" s="484">
        <v>7</v>
      </c>
      <c r="D276" s="485">
        <v>-7.0843213112026362</v>
      </c>
      <c r="E276" s="485">
        <v>-4.3212392988177717</v>
      </c>
      <c r="F276" s="485">
        <v>-2.7465667915106153</v>
      </c>
      <c r="G276" s="485">
        <v>4.1967358720994783</v>
      </c>
      <c r="H276" s="485">
        <v>-16.450216450216452</v>
      </c>
      <c r="I276" s="485">
        <v>4</v>
      </c>
      <c r="J276" s="485">
        <v>1.7000000000000028</v>
      </c>
      <c r="K276" s="576"/>
      <c r="L276" s="485">
        <v>3.0000000000000027E-2</v>
      </c>
      <c r="M276" s="485">
        <v>-2.96093084854791</v>
      </c>
      <c r="N276" s="485">
        <v>6.1135371179039408</v>
      </c>
      <c r="O276" s="485">
        <v>4.9279404927940469</v>
      </c>
      <c r="P276" s="485">
        <v>1.6901408450704332</v>
      </c>
      <c r="Q276" s="485">
        <v>-0.75598488030239874</v>
      </c>
      <c r="R276" s="485">
        <v>1.2999999999999972</v>
      </c>
      <c r="S276" s="1203">
        <v>-59.5539324377201</v>
      </c>
      <c r="T276" s="576"/>
      <c r="U276" s="485">
        <v>2.7253668763102814</v>
      </c>
      <c r="V276" s="485">
        <v>11.347517730496458</v>
      </c>
      <c r="W276" s="485">
        <v>-0.20000000000000018</v>
      </c>
      <c r="X276" s="485">
        <v>-1.0999999999999999</v>
      </c>
      <c r="Y276" s="485">
        <v>14.027532965929629</v>
      </c>
      <c r="Z276" s="485">
        <v>0</v>
      </c>
      <c r="AA276" s="485">
        <v>-21.802239469162863</v>
      </c>
    </row>
    <row r="277" spans="1:27" s="500" customFormat="1">
      <c r="A277" s="482"/>
      <c r="B277" s="483"/>
      <c r="C277" s="484">
        <v>8</v>
      </c>
      <c r="D277" s="485">
        <v>2.8399549348468498</v>
      </c>
      <c r="E277" s="485">
        <v>-0.5012531328320754</v>
      </c>
      <c r="F277" s="485">
        <v>-0.38046924540265969</v>
      </c>
      <c r="G277" s="485">
        <v>20.162315439522832</v>
      </c>
      <c r="H277" s="485">
        <v>-4.0914560770156436</v>
      </c>
      <c r="I277" s="485">
        <v>2</v>
      </c>
      <c r="J277" s="485">
        <v>1.5999999999999943</v>
      </c>
      <c r="K277" s="576"/>
      <c r="L277" s="485">
        <v>1.0000000000000009E-2</v>
      </c>
      <c r="M277" s="485">
        <v>1.5222440593174829</v>
      </c>
      <c r="N277" s="485">
        <v>0</v>
      </c>
      <c r="O277" s="485">
        <v>-0.54595086442220975</v>
      </c>
      <c r="P277" s="485">
        <v>1.8450184501845017</v>
      </c>
      <c r="Q277" s="485">
        <v>3.3982594280978105</v>
      </c>
      <c r="R277" s="485">
        <v>-1.8999999999999915</v>
      </c>
      <c r="S277" s="1203">
        <v>61.71063736102446</v>
      </c>
      <c r="T277" s="576"/>
      <c r="U277" s="485">
        <v>-0.62240663900415816</v>
      </c>
      <c r="V277" s="485">
        <v>-0.86663456909002556</v>
      </c>
      <c r="W277" s="485">
        <v>9.9999999999999645E-2</v>
      </c>
      <c r="X277" s="485">
        <v>0.19999999999999996</v>
      </c>
      <c r="Y277" s="485">
        <v>-17.110539933033536</v>
      </c>
      <c r="Z277" s="485">
        <v>0</v>
      </c>
      <c r="AA277" s="485">
        <v>5.0617323957354357</v>
      </c>
    </row>
    <row r="278" spans="1:27" s="500" customFormat="1">
      <c r="A278" s="482"/>
      <c r="B278" s="483"/>
      <c r="C278" s="484">
        <v>9</v>
      </c>
      <c r="D278" s="485">
        <v>10.382823134320942</v>
      </c>
      <c r="E278" s="485">
        <v>4.7424366312346669</v>
      </c>
      <c r="F278" s="485">
        <v>3.7406483790523688</v>
      </c>
      <c r="G278" s="485">
        <v>-24.329979077413569</v>
      </c>
      <c r="H278" s="485">
        <v>-16.201859229747676</v>
      </c>
      <c r="I278" s="485">
        <v>-5</v>
      </c>
      <c r="J278" s="485">
        <v>1.7000000000000028</v>
      </c>
      <c r="K278" s="576"/>
      <c r="L278" s="485">
        <v>1.9999999999999962E-2</v>
      </c>
      <c r="M278" s="485">
        <v>-2.9119692971935627</v>
      </c>
      <c r="N278" s="485">
        <v>-2.5751072961373449</v>
      </c>
      <c r="O278" s="485">
        <v>5.068919519786574</v>
      </c>
      <c r="P278" s="485">
        <v>0</v>
      </c>
      <c r="Q278" s="485">
        <v>-1.8092105263157918</v>
      </c>
      <c r="R278" s="485">
        <v>1.5</v>
      </c>
      <c r="S278" s="1203">
        <v>-12.100215597353346</v>
      </c>
      <c r="T278" s="576"/>
      <c r="U278" s="485">
        <v>0.8290155440414626</v>
      </c>
      <c r="V278" s="485">
        <v>6.2763466042154459</v>
      </c>
      <c r="W278" s="485">
        <v>0</v>
      </c>
      <c r="X278" s="485">
        <v>1.1000000000000001</v>
      </c>
      <c r="Y278" s="485">
        <v>3.8329593231705745</v>
      </c>
      <c r="Z278" s="485">
        <v>-0.30000000000000027</v>
      </c>
      <c r="AA278" s="485">
        <v>2.25</v>
      </c>
    </row>
    <row r="279" spans="1:27" s="500" customFormat="1">
      <c r="A279" s="482"/>
      <c r="B279" s="483"/>
      <c r="C279" s="484">
        <v>10</v>
      </c>
      <c r="D279" s="485">
        <v>-2.9443336911516709</v>
      </c>
      <c r="E279" s="485">
        <v>-2.9173419773095692</v>
      </c>
      <c r="F279" s="485">
        <v>-28.69139258222533</v>
      </c>
      <c r="G279" s="485">
        <v>-20.731096644967451</v>
      </c>
      <c r="H279" s="485">
        <v>13.978494623655914</v>
      </c>
      <c r="I279" s="485">
        <v>-2</v>
      </c>
      <c r="J279" s="485">
        <v>-0.70000000000000284</v>
      </c>
      <c r="K279" s="576"/>
      <c r="L279" s="485">
        <v>1.0000000000000009E-2</v>
      </c>
      <c r="M279" s="485">
        <v>-2.279665189561801</v>
      </c>
      <c r="N279" s="485">
        <v>0.86580086580086268</v>
      </c>
      <c r="O279" s="485">
        <v>-3.4406704896338702</v>
      </c>
      <c r="P279" s="485">
        <v>-0.64190738193489483</v>
      </c>
      <c r="Q279" s="485">
        <v>0</v>
      </c>
      <c r="R279" s="485">
        <v>1.8999999999999915</v>
      </c>
      <c r="S279" s="1203">
        <v>16.620956858647855</v>
      </c>
      <c r="T279" s="576"/>
      <c r="U279" s="485">
        <v>0.30911901081916243</v>
      </c>
      <c r="V279" s="485">
        <v>-3.0428769017980613</v>
      </c>
      <c r="W279" s="485">
        <v>0</v>
      </c>
      <c r="X279" s="485">
        <v>1</v>
      </c>
      <c r="Y279" s="485">
        <v>-6.5837609584543682</v>
      </c>
      <c r="Z279" s="485">
        <v>0.80000000000000027</v>
      </c>
      <c r="AA279" s="485">
        <v>8.5150448238113601</v>
      </c>
    </row>
    <row r="280" spans="1:27" s="500" customFormat="1">
      <c r="A280" s="482"/>
      <c r="B280" s="483"/>
      <c r="C280" s="484">
        <v>11</v>
      </c>
      <c r="D280" s="485">
        <v>-6.218655967903711</v>
      </c>
      <c r="E280" s="485">
        <v>3.3158107561666061</v>
      </c>
      <c r="F280" s="485">
        <v>22.480058013052936</v>
      </c>
      <c r="G280" s="485">
        <v>-6.0728162325514461</v>
      </c>
      <c r="H280" s="485">
        <v>28.077753779697623</v>
      </c>
      <c r="I280" s="485">
        <v>4</v>
      </c>
      <c r="J280" s="485">
        <v>-0.59999999999999432</v>
      </c>
      <c r="K280" s="576"/>
      <c r="L280" s="485">
        <v>3.0000000000000027E-2</v>
      </c>
      <c r="M280" s="485">
        <v>-2.8105705736038615</v>
      </c>
      <c r="N280" s="485">
        <v>4.2194092827004219</v>
      </c>
      <c r="O280" s="485">
        <v>1.5144766146993218</v>
      </c>
      <c r="P280" s="485">
        <v>1.7327861377108904</v>
      </c>
      <c r="Q280" s="485">
        <v>1.8906699547883248</v>
      </c>
      <c r="R280" s="485">
        <v>-5</v>
      </c>
      <c r="S280" s="1203">
        <v>-29.552059786870881</v>
      </c>
      <c r="T280" s="576"/>
      <c r="U280" s="485">
        <v>0.51308363263211898</v>
      </c>
      <c r="V280" s="485">
        <v>0.56022408963586234</v>
      </c>
      <c r="W280" s="485">
        <v>-9.9999999999999645E-2</v>
      </c>
      <c r="X280" s="485">
        <v>0.70000000000000007</v>
      </c>
      <c r="Y280" s="485">
        <v>10.470546220576734</v>
      </c>
      <c r="Z280" s="485">
        <v>0.29999999999999982</v>
      </c>
      <c r="AA280" s="485">
        <v>1.0669828097213914</v>
      </c>
    </row>
    <row r="281" spans="1:27" s="500" customFormat="1">
      <c r="A281" s="494"/>
      <c r="B281" s="495"/>
      <c r="C281" s="496">
        <v>12</v>
      </c>
      <c r="D281" s="489">
        <v>4.4831250316247537</v>
      </c>
      <c r="E281" s="489">
        <v>2.746174970576686</v>
      </c>
      <c r="F281" s="489">
        <v>14.285714285714285</v>
      </c>
      <c r="G281" s="489">
        <v>6.2958171625700734</v>
      </c>
      <c r="H281" s="489">
        <v>-12.474849094567404</v>
      </c>
      <c r="I281" s="489">
        <v>3</v>
      </c>
      <c r="J281" s="489">
        <v>-0.70000000000000284</v>
      </c>
      <c r="K281" s="884"/>
      <c r="L281" s="489">
        <v>-2.0000000000000018E-2</v>
      </c>
      <c r="M281" s="489">
        <v>-1.7517116651595448</v>
      </c>
      <c r="N281" s="489">
        <v>10.196078431372554</v>
      </c>
      <c r="O281" s="489">
        <v>2.013129102844649</v>
      </c>
      <c r="P281" s="489">
        <v>3.8137472283813847</v>
      </c>
      <c r="Q281" s="489">
        <v>3.0473135525260604</v>
      </c>
      <c r="R281" s="489">
        <v>2.2999999999999972</v>
      </c>
      <c r="S281" s="1204">
        <v>27.697377625095214</v>
      </c>
      <c r="T281" s="884"/>
      <c r="U281" s="489">
        <v>0.81549439347604202</v>
      </c>
      <c r="V281" s="489">
        <v>2.935779816513751</v>
      </c>
      <c r="W281" s="489">
        <v>-9.9999999999999645E-2</v>
      </c>
      <c r="X281" s="489">
        <v>-3.2</v>
      </c>
      <c r="Y281" s="489">
        <v>7.6205167759352106</v>
      </c>
      <c r="Z281" s="489">
        <v>0.70000000000000007</v>
      </c>
      <c r="AA281" s="489">
        <v>-5.7182464044359733</v>
      </c>
    </row>
    <row r="282" spans="1:27" s="500" customFormat="1">
      <c r="A282" s="478" t="s">
        <v>473</v>
      </c>
      <c r="B282" s="479">
        <v>2011</v>
      </c>
      <c r="C282" s="480">
        <v>1</v>
      </c>
      <c r="D282" s="493">
        <v>-4.6612444165341564</v>
      </c>
      <c r="E282" s="493">
        <v>-10.337810337810328</v>
      </c>
      <c r="F282" s="493">
        <v>-12.74038461538461</v>
      </c>
      <c r="G282" s="493">
        <v>0.77734591893392557</v>
      </c>
      <c r="H282" s="493">
        <v>0.21436227224008575</v>
      </c>
      <c r="I282" s="493">
        <v>-6</v>
      </c>
      <c r="J282" s="493">
        <v>1</v>
      </c>
      <c r="K282" s="493"/>
      <c r="L282" s="493">
        <v>0</v>
      </c>
      <c r="M282" s="493">
        <v>-4.1382612917600508</v>
      </c>
      <c r="N282" s="493">
        <v>-11.023622047244098</v>
      </c>
      <c r="O282" s="493">
        <v>-5.1555555555555657</v>
      </c>
      <c r="P282" s="485">
        <v>-3.9946737683089211</v>
      </c>
      <c r="Q282" s="885">
        <v>-2.3980815347721824</v>
      </c>
      <c r="R282" s="885">
        <v>-2.2999999999999972</v>
      </c>
      <c r="S282" s="1205">
        <v>-23.309703483497216</v>
      </c>
      <c r="T282" s="883"/>
      <c r="U282" s="885">
        <v>0.40526849037487911</v>
      </c>
      <c r="V282" s="885">
        <v>-5.3853296193129045</v>
      </c>
      <c r="W282" s="885">
        <v>-0.10000000000000053</v>
      </c>
      <c r="X282" s="885">
        <v>0.30000000000000004</v>
      </c>
      <c r="Y282" s="885">
        <v>-15.273882221219374</v>
      </c>
      <c r="Z282" s="885">
        <v>-0.29999999999999993</v>
      </c>
      <c r="AA282" s="885">
        <v>-3.8730793708518876</v>
      </c>
    </row>
    <row r="283" spans="1:27" s="500" customFormat="1" ht="14.25" customHeight="1">
      <c r="A283" s="482"/>
      <c r="B283" s="483"/>
      <c r="C283" s="484">
        <v>2</v>
      </c>
      <c r="D283" s="485">
        <v>3.9722713504502964</v>
      </c>
      <c r="E283" s="485">
        <v>-4.8351648351648349</v>
      </c>
      <c r="F283" s="485">
        <v>-1.9442644199611145</v>
      </c>
      <c r="G283" s="485">
        <v>1.0453920220082531</v>
      </c>
      <c r="H283" s="485">
        <v>1.2765957446808511</v>
      </c>
      <c r="I283" s="485">
        <v>0</v>
      </c>
      <c r="J283" s="485">
        <v>1</v>
      </c>
      <c r="K283" s="576"/>
      <c r="L283" s="485">
        <v>2.0000000000000018E-2</v>
      </c>
      <c r="M283" s="485">
        <v>-4.5041979458190706</v>
      </c>
      <c r="N283" s="485">
        <v>-13.333333333333334</v>
      </c>
      <c r="O283" s="485">
        <v>0.63665302410186708</v>
      </c>
      <c r="P283" s="347">
        <v>0.81190798376183271</v>
      </c>
      <c r="Q283" s="882">
        <v>1.2861736334405212</v>
      </c>
      <c r="R283" s="882">
        <v>-9.8999999999999915</v>
      </c>
      <c r="S283" s="1206">
        <v>24.364666838412468</v>
      </c>
      <c r="T283" s="881"/>
      <c r="U283" s="882">
        <v>-3.3933161953727624</v>
      </c>
      <c r="V283" s="882">
        <v>4.750815090824414</v>
      </c>
      <c r="W283" s="882">
        <v>-9.9999999999999645E-2</v>
      </c>
      <c r="X283" s="882">
        <v>2.6</v>
      </c>
      <c r="Y283" s="882">
        <v>-5.7455888504845785</v>
      </c>
      <c r="Z283" s="882">
        <v>-0.20000000000000007</v>
      </c>
      <c r="AA283" s="882">
        <v>19.249245894313479</v>
      </c>
    </row>
    <row r="284" spans="1:27" s="500" customFormat="1" ht="14.25" customHeight="1">
      <c r="A284" s="482"/>
      <c r="B284" s="483"/>
      <c r="C284" s="484">
        <v>3</v>
      </c>
      <c r="D284" s="485">
        <v>-24.146905402839369</v>
      </c>
      <c r="E284" s="485">
        <v>-47.906197654941387</v>
      </c>
      <c r="F284" s="485">
        <v>-72.370766488413565</v>
      </c>
      <c r="G284" s="485">
        <v>-60.210076553320278</v>
      </c>
      <c r="H284" s="485">
        <v>-53.279785809906294</v>
      </c>
      <c r="I284" s="485">
        <v>5</v>
      </c>
      <c r="J284" s="485">
        <v>1</v>
      </c>
      <c r="K284" s="576"/>
      <c r="L284" s="485">
        <v>-4.9999999999999989E-2</v>
      </c>
      <c r="M284" s="485">
        <v>1.906960052353442</v>
      </c>
      <c r="N284" s="485">
        <v>-40</v>
      </c>
      <c r="O284" s="485">
        <v>-43.891652846876738</v>
      </c>
      <c r="P284" s="485">
        <v>-43.945205479452049</v>
      </c>
      <c r="Q284" s="918">
        <v>-41.932367149758463</v>
      </c>
      <c r="R284" s="918">
        <v>46.599999999999994</v>
      </c>
      <c r="S284" s="1207">
        <v>-112.1437004553888</v>
      </c>
      <c r="T284" s="576"/>
      <c r="U284" s="918">
        <v>-5.2603327965646711</v>
      </c>
      <c r="V284" s="918">
        <v>-42.87292817679559</v>
      </c>
      <c r="W284" s="882">
        <v>0</v>
      </c>
      <c r="X284" s="918">
        <v>-25.400000000000002</v>
      </c>
      <c r="Y284" s="918">
        <v>-29.266671797942859</v>
      </c>
      <c r="Z284" s="918">
        <v>0.20000000000000007</v>
      </c>
      <c r="AA284" s="918">
        <v>-3.2678215386208813</v>
      </c>
    </row>
    <row r="285" spans="1:27" s="500" customFormat="1" ht="14.25" customHeight="1">
      <c r="A285" s="482"/>
      <c r="B285" s="483"/>
      <c r="C285" s="484">
        <v>4</v>
      </c>
      <c r="D285" s="485">
        <v>30.723079404333106</v>
      </c>
      <c r="E285" s="485">
        <v>7.4911660777385318</v>
      </c>
      <c r="F285" s="485">
        <v>-30.225080385852088</v>
      </c>
      <c r="G285" s="485">
        <v>60.582386363636367</v>
      </c>
      <c r="H285" s="485">
        <v>0.72727272727272729</v>
      </c>
      <c r="I285" s="485">
        <v>-2</v>
      </c>
      <c r="J285" s="485">
        <v>-3.2999999999999972</v>
      </c>
      <c r="K285" s="576"/>
      <c r="L285" s="485">
        <v>-0.06</v>
      </c>
      <c r="M285" s="485">
        <v>54.550062857374584</v>
      </c>
      <c r="N285" s="485">
        <v>25</v>
      </c>
      <c r="O285" s="485">
        <v>12.358803986710978</v>
      </c>
      <c r="P285" s="485">
        <v>16.848874598070733</v>
      </c>
      <c r="Q285" s="918">
        <v>14.617563739376775</v>
      </c>
      <c r="R285" s="918">
        <v>-18.200000000000003</v>
      </c>
      <c r="S285" s="1207">
        <v>-14.83734598133732</v>
      </c>
      <c r="T285" s="576"/>
      <c r="U285" s="918">
        <v>-6.6059225512528439</v>
      </c>
      <c r="V285" s="918">
        <v>15.084525357607292</v>
      </c>
      <c r="W285" s="882">
        <v>0</v>
      </c>
      <c r="X285" s="918">
        <v>26.8</v>
      </c>
      <c r="Y285" s="918">
        <v>32.029284761802742</v>
      </c>
      <c r="Z285" s="918">
        <v>0.89999999999999991</v>
      </c>
      <c r="AA285" s="918">
        <v>-13.944582113088542</v>
      </c>
    </row>
    <row r="286" spans="1:27" s="500" customFormat="1" ht="14.25" customHeight="1">
      <c r="A286" s="482"/>
      <c r="B286" s="483"/>
      <c r="C286" s="484">
        <v>5</v>
      </c>
      <c r="D286" s="485">
        <v>20.61793620009362</v>
      </c>
      <c r="E286" s="485">
        <v>5.1758460517584499</v>
      </c>
      <c r="F286" s="485">
        <v>51.267605633802823</v>
      </c>
      <c r="G286" s="485">
        <v>0.67907103082982478</v>
      </c>
      <c r="H286" s="485">
        <v>14.765100671140939</v>
      </c>
      <c r="I286" s="485">
        <v>-2</v>
      </c>
      <c r="J286" s="485">
        <v>-3.4000000000000057</v>
      </c>
      <c r="K286" s="576"/>
      <c r="L286" s="485">
        <v>2.9999999999999971E-2</v>
      </c>
      <c r="M286" s="485">
        <v>10.207082141196846</v>
      </c>
      <c r="N286" s="485">
        <v>9.5238095238095273</v>
      </c>
      <c r="O286" s="485">
        <v>15.046296296296296</v>
      </c>
      <c r="P286" s="485">
        <v>11.514812744550026</v>
      </c>
      <c r="Q286" s="918">
        <v>13.490891186607584</v>
      </c>
      <c r="R286" s="918">
        <v>-15.5</v>
      </c>
      <c r="S286" s="1207">
        <v>47.341352488630086</v>
      </c>
      <c r="T286" s="576"/>
      <c r="U286" s="918">
        <v>11.542730299667028</v>
      </c>
      <c r="V286" s="918">
        <v>21.767241379310345</v>
      </c>
      <c r="W286" s="882">
        <v>-0.10000000000000053</v>
      </c>
      <c r="X286" s="918">
        <v>3.2</v>
      </c>
      <c r="Y286" s="918">
        <v>4.6994482850822443</v>
      </c>
      <c r="Z286" s="918">
        <v>-0.5</v>
      </c>
      <c r="AA286" s="918">
        <v>-10.554493307839383</v>
      </c>
    </row>
    <row r="287" spans="1:27" s="500" customFormat="1" ht="14.25" customHeight="1">
      <c r="A287" s="482"/>
      <c r="B287" s="483"/>
      <c r="C287" s="484">
        <v>6</v>
      </c>
      <c r="D287" s="485">
        <v>-2.9202580407052374</v>
      </c>
      <c r="E287" s="485">
        <v>10.073710073710076</v>
      </c>
      <c r="F287" s="485">
        <v>48.299319727891159</v>
      </c>
      <c r="G287" s="485">
        <v>18.476658476658475</v>
      </c>
      <c r="H287" s="485">
        <v>-4.8</v>
      </c>
      <c r="I287" s="485">
        <v>1</v>
      </c>
      <c r="J287" s="485">
        <v>-3.2999999999999972</v>
      </c>
      <c r="K287" s="576"/>
      <c r="L287" s="485">
        <v>3.999999999999998E-2</v>
      </c>
      <c r="M287" s="485">
        <v>2.402430142291216</v>
      </c>
      <c r="N287" s="485">
        <v>4.9261083743842367</v>
      </c>
      <c r="O287" s="485">
        <v>1.1771000535045417</v>
      </c>
      <c r="P287" s="485">
        <v>2.2988505747126471</v>
      </c>
      <c r="Q287" s="918">
        <v>-1.486988847583651</v>
      </c>
      <c r="R287" s="918">
        <v>-9.9999999999994316E-2</v>
      </c>
      <c r="S287" s="1207">
        <v>27.138783269961976</v>
      </c>
      <c r="T287" s="576"/>
      <c r="U287" s="918">
        <v>-1.0548523206751055</v>
      </c>
      <c r="V287" s="918">
        <v>-3.0587074494326676</v>
      </c>
      <c r="W287" s="882">
        <v>0.10000000000000053</v>
      </c>
      <c r="X287" s="918">
        <v>-0.90000000000000036</v>
      </c>
      <c r="Y287" s="918">
        <v>-5.8752988228451528</v>
      </c>
      <c r="Z287" s="918">
        <v>0.3</v>
      </c>
      <c r="AA287" s="918">
        <v>12.791686348606515</v>
      </c>
    </row>
    <row r="288" spans="1:27" s="500" customFormat="1" ht="14.25" customHeight="1">
      <c r="A288" s="482"/>
      <c r="B288" s="483"/>
      <c r="C288" s="484">
        <v>7</v>
      </c>
      <c r="D288" s="485">
        <v>9.3284137233314492</v>
      </c>
      <c r="E288" s="485">
        <v>3.4482758620689653</v>
      </c>
      <c r="F288" s="485">
        <v>7.1334214002642078</v>
      </c>
      <c r="G288" s="485">
        <v>3.88178209086899</v>
      </c>
      <c r="H288" s="485">
        <v>55.791962174940899</v>
      </c>
      <c r="I288" s="485">
        <v>7</v>
      </c>
      <c r="J288" s="485">
        <v>7</v>
      </c>
      <c r="K288" s="576"/>
      <c r="L288" s="485">
        <v>7.0000000000000062E-2</v>
      </c>
      <c r="M288" s="485">
        <v>-10.666992082774021</v>
      </c>
      <c r="N288" s="485">
        <v>-0.96618357487922346</v>
      </c>
      <c r="O288" s="485">
        <v>1.2684989429175506</v>
      </c>
      <c r="P288" s="485">
        <v>1.4358974358974417</v>
      </c>
      <c r="Q288" s="918">
        <v>-0.37523452157597703</v>
      </c>
      <c r="R288" s="918">
        <v>-0.20000000000000284</v>
      </c>
      <c r="S288" s="1207">
        <v>-24.484763079091071</v>
      </c>
      <c r="T288" s="576"/>
      <c r="U288" s="918">
        <v>1.2644889357218154</v>
      </c>
      <c r="V288" s="918">
        <v>-0.20060180541625161</v>
      </c>
      <c r="W288" s="882">
        <v>0</v>
      </c>
      <c r="X288" s="918">
        <v>4.1999999999999993</v>
      </c>
      <c r="Y288" s="918">
        <v>11.525471069437296</v>
      </c>
      <c r="Z288" s="918">
        <v>0.7</v>
      </c>
      <c r="AA288" s="918">
        <v>-23.985680190930783</v>
      </c>
    </row>
    <row r="289" spans="1:27" s="500" customFormat="1" ht="14.25" customHeight="1">
      <c r="A289" s="482"/>
      <c r="B289" s="483"/>
      <c r="C289" s="484">
        <v>8</v>
      </c>
      <c r="D289" s="485">
        <v>-2.7903892996641653</v>
      </c>
      <c r="E289" s="485">
        <v>4.095185390149422</v>
      </c>
      <c r="F289" s="485">
        <v>6.3001852995676275</v>
      </c>
      <c r="G289" s="485">
        <v>10.009248792518754</v>
      </c>
      <c r="H289" s="485">
        <v>-0.92850510677808729</v>
      </c>
      <c r="I289" s="485">
        <v>-7</v>
      </c>
      <c r="J289" s="485">
        <v>7</v>
      </c>
      <c r="K289" s="576"/>
      <c r="L289" s="485">
        <v>2.9999999999999916E-2</v>
      </c>
      <c r="M289" s="485">
        <v>-6.4441209794805854</v>
      </c>
      <c r="N289" s="485">
        <v>-1.9607843137255008</v>
      </c>
      <c r="O289" s="485">
        <v>14.515343399902571</v>
      </c>
      <c r="P289" s="485">
        <v>3.6981509245377335</v>
      </c>
      <c r="Q289" s="918">
        <v>3.3271719038816951</v>
      </c>
      <c r="R289" s="918">
        <v>-4.0999999999999943</v>
      </c>
      <c r="S289" s="1207">
        <v>13.86138613861387</v>
      </c>
      <c r="T289" s="576"/>
      <c r="U289" s="918">
        <v>0.62630480167014024</v>
      </c>
      <c r="V289" s="918">
        <v>20.054200542005425</v>
      </c>
      <c r="W289" s="882">
        <v>-0.20000000000000018</v>
      </c>
      <c r="X289" s="918">
        <v>-5.0999999999999996</v>
      </c>
      <c r="Y289" s="918">
        <v>-1.9346283991855722</v>
      </c>
      <c r="Z289" s="918">
        <v>-9.9999999999999978E-2</v>
      </c>
      <c r="AA289" s="918">
        <v>46.642599277978341</v>
      </c>
    </row>
    <row r="290" spans="1:27" s="500" customFormat="1" ht="14.25" customHeight="1">
      <c r="A290" s="482"/>
      <c r="B290" s="483"/>
      <c r="C290" s="484">
        <v>9</v>
      </c>
      <c r="D290" s="485">
        <v>-0.45269087366409377</v>
      </c>
      <c r="E290" s="485">
        <v>-3.7569060773480727</v>
      </c>
      <c r="F290" s="485">
        <v>-3.4104750304506668</v>
      </c>
      <c r="G290" s="485">
        <v>-8.615761535320539</v>
      </c>
      <c r="H290" s="485">
        <v>-4.7755491881566376</v>
      </c>
      <c r="I290" s="485">
        <v>-4</v>
      </c>
      <c r="J290" s="485">
        <v>7</v>
      </c>
      <c r="K290" s="576"/>
      <c r="L290" s="485">
        <v>4.0000000000000036E-2</v>
      </c>
      <c r="M290" s="485">
        <v>-12.664082401151839</v>
      </c>
      <c r="N290" s="485">
        <v>8.5308056872037934</v>
      </c>
      <c r="O290" s="485">
        <v>-11.730769230769219</v>
      </c>
      <c r="P290" s="485">
        <v>-1.9821605550049552</v>
      </c>
      <c r="Q290" s="918">
        <v>-1.834862385321101</v>
      </c>
      <c r="R290" s="918">
        <v>1.1999999999999886</v>
      </c>
      <c r="S290" s="1207">
        <v>62.213395919841119</v>
      </c>
      <c r="T290" s="576"/>
      <c r="U290" s="918">
        <v>-0.62630480167014024</v>
      </c>
      <c r="V290" s="918">
        <v>-15.766164747564213</v>
      </c>
      <c r="W290" s="882">
        <v>-0.29999999999999982</v>
      </c>
      <c r="X290" s="918">
        <v>-3</v>
      </c>
      <c r="Y290" s="918">
        <v>2.2017780363451123</v>
      </c>
      <c r="Z290" s="918">
        <v>-0.19999999999999996</v>
      </c>
      <c r="AA290" s="918">
        <v>16.608327785771035</v>
      </c>
    </row>
    <row r="291" spans="1:27" s="500" customFormat="1" ht="14.25" customHeight="1">
      <c r="A291" s="482"/>
      <c r="B291" s="483"/>
      <c r="C291" s="484">
        <v>10</v>
      </c>
      <c r="D291" s="485">
        <v>7.6212536369029173</v>
      </c>
      <c r="E291" s="485">
        <v>2.3372287145242168</v>
      </c>
      <c r="F291" s="485">
        <v>10.340775558166861</v>
      </c>
      <c r="G291" s="485">
        <v>12.050125313283209</v>
      </c>
      <c r="H291" s="485">
        <v>-37.122969837587007</v>
      </c>
      <c r="I291" s="485">
        <v>5</v>
      </c>
      <c r="J291" s="485">
        <v>5.7000000000000028</v>
      </c>
      <c r="K291" s="576"/>
      <c r="L291" s="485">
        <v>5.0000000000000044E-2</v>
      </c>
      <c r="M291" s="485">
        <v>-4.7827055507666181</v>
      </c>
      <c r="N291" s="485">
        <v>0</v>
      </c>
      <c r="O291" s="485">
        <v>-5.7803468208092479</v>
      </c>
      <c r="P291" s="485">
        <v>-0.40120361083250317</v>
      </c>
      <c r="Q291" s="918">
        <v>-0.37105751391466207</v>
      </c>
      <c r="R291" s="918">
        <v>2</v>
      </c>
      <c r="S291" s="1207">
        <v>-39.656784555304988</v>
      </c>
      <c r="T291" s="576"/>
      <c r="U291" s="918">
        <v>-0.31463030938646791</v>
      </c>
      <c r="V291" s="918">
        <v>-7.0681931309108954</v>
      </c>
      <c r="W291" s="882">
        <v>0.20000000000000018</v>
      </c>
      <c r="X291" s="918">
        <v>3.1</v>
      </c>
      <c r="Y291" s="918">
        <v>0.49405703645741111</v>
      </c>
      <c r="Z291" s="918">
        <v>-0.2</v>
      </c>
      <c r="AA291" s="918">
        <v>-8.9359322244547013</v>
      </c>
    </row>
    <row r="292" spans="1:27" s="500" customFormat="1" ht="14.25" customHeight="1">
      <c r="A292" s="482"/>
      <c r="B292" s="483"/>
      <c r="C292" s="484">
        <v>11</v>
      </c>
      <c r="D292" s="485">
        <v>6.7899530775600381</v>
      </c>
      <c r="E292" s="485">
        <v>-0.77305356156819738</v>
      </c>
      <c r="F292" s="485">
        <v>1.0005558643691002</v>
      </c>
      <c r="G292" s="485">
        <v>-7.8616352201257858</v>
      </c>
      <c r="H292" s="485">
        <v>23.618090452261306</v>
      </c>
      <c r="I292" s="485">
        <v>-3</v>
      </c>
      <c r="J292" s="485">
        <v>5.5999999999999943</v>
      </c>
      <c r="K292" s="576"/>
      <c r="L292" s="485">
        <v>3.9999999999999925E-2</v>
      </c>
      <c r="M292" s="485">
        <v>-6.5863783118946193</v>
      </c>
      <c r="N292" s="485">
        <v>-3.7037037037037068</v>
      </c>
      <c r="O292" s="485">
        <v>-2.631578947368427</v>
      </c>
      <c r="P292" s="485">
        <v>-1.3151239251390969</v>
      </c>
      <c r="Q292" s="918">
        <v>-0.37243947858472204</v>
      </c>
      <c r="R292" s="918">
        <v>3.2000000000000028</v>
      </c>
      <c r="S292" s="1207">
        <v>-58.806818181818194</v>
      </c>
      <c r="T292" s="576"/>
      <c r="U292" s="918">
        <v>2.3871302542812636</v>
      </c>
      <c r="V292" s="918">
        <v>-4.7543581616481774</v>
      </c>
      <c r="W292" s="882">
        <v>9.9999999999999645E-2</v>
      </c>
      <c r="X292" s="918">
        <v>1</v>
      </c>
      <c r="Y292" s="918">
        <v>-16.301467779106023</v>
      </c>
      <c r="Z292" s="918">
        <v>-0.1</v>
      </c>
      <c r="AA292" s="918">
        <v>-21.39016897081413</v>
      </c>
    </row>
    <row r="293" spans="1:27" s="500" customFormat="1" ht="14.25" customHeight="1">
      <c r="A293" s="494"/>
      <c r="B293" s="495"/>
      <c r="C293" s="496">
        <v>12</v>
      </c>
      <c r="D293" s="497">
        <v>1.4750695579207656</v>
      </c>
      <c r="E293" s="497">
        <v>11.198325484039771</v>
      </c>
      <c r="F293" s="497">
        <v>-26.993094789704958</v>
      </c>
      <c r="G293" s="497">
        <v>1.9248303110120555</v>
      </c>
      <c r="H293" s="497">
        <v>-4.8331415420023012</v>
      </c>
      <c r="I293" s="497">
        <v>1</v>
      </c>
      <c r="J293" s="497">
        <v>5.7000000000000028</v>
      </c>
      <c r="K293" s="645"/>
      <c r="L293" s="497">
        <v>3.0000000000000027E-2</v>
      </c>
      <c r="M293" s="497">
        <v>-7.7540033358838851</v>
      </c>
      <c r="N293" s="497">
        <v>-3.8461538461538503</v>
      </c>
      <c r="O293" s="497">
        <v>12.206572769953056</v>
      </c>
      <c r="P293" s="497">
        <v>2.0161290322580645</v>
      </c>
      <c r="Q293" s="919">
        <v>0.74349442379181896</v>
      </c>
      <c r="R293" s="919">
        <v>-1.3999999999999915</v>
      </c>
      <c r="S293" s="1208">
        <v>61.257960394312143</v>
      </c>
      <c r="T293" s="645"/>
      <c r="U293" s="919">
        <v>0.8171603677221625</v>
      </c>
      <c r="V293" s="919">
        <v>14.177978883861233</v>
      </c>
      <c r="W293" s="886">
        <v>0</v>
      </c>
      <c r="X293" s="919">
        <v>-1.7000000000000002</v>
      </c>
      <c r="Y293" s="919">
        <v>2.1387836642723572</v>
      </c>
      <c r="Z293" s="919">
        <v>0.19999999999999998</v>
      </c>
      <c r="AA293" s="919">
        <v>-0.63629010514964579</v>
      </c>
    </row>
    <row r="294" spans="1:27" ht="14.25" customHeight="1">
      <c r="A294" s="478" t="s">
        <v>534</v>
      </c>
      <c r="B294" s="759">
        <v>2012</v>
      </c>
      <c r="C294" s="760">
        <v>1</v>
      </c>
      <c r="D294" s="348">
        <v>-5.7523549347319003</v>
      </c>
      <c r="E294" s="775">
        <v>12.540640966093822</v>
      </c>
      <c r="F294" s="775">
        <v>41.791044776119392</v>
      </c>
      <c r="G294" s="775">
        <v>6.447853952223733</v>
      </c>
      <c r="H294" s="775">
        <v>42.817423540315104</v>
      </c>
      <c r="I294" s="775">
        <v>1</v>
      </c>
      <c r="J294" s="775">
        <v>1.7000000000000028</v>
      </c>
      <c r="K294" s="350"/>
      <c r="L294" s="775">
        <v>3.0000000000000027E-2</v>
      </c>
      <c r="M294" s="348">
        <v>-9.3264124480034525</v>
      </c>
      <c r="N294" s="775">
        <v>13.698630136986303</v>
      </c>
      <c r="O294" s="775">
        <v>8.7447108603667125</v>
      </c>
      <c r="P294" s="775">
        <v>4.3923865300146412</v>
      </c>
      <c r="Q294" s="920">
        <v>2.1071919377004096</v>
      </c>
      <c r="R294" s="920">
        <v>3.7999999999999972</v>
      </c>
      <c r="S294" s="1209">
        <v>-13.6040512588859</v>
      </c>
      <c r="T294" s="350"/>
      <c r="U294" s="922">
        <v>10.048309178743965</v>
      </c>
      <c r="V294" s="920">
        <v>1.1204481792717114</v>
      </c>
      <c r="W294" s="885">
        <v>0</v>
      </c>
      <c r="X294" s="922">
        <v>1.5999999999999996</v>
      </c>
      <c r="Y294" s="922">
        <v>15.583224214533868</v>
      </c>
      <c r="Z294" s="920">
        <v>-9.9999999999999978E-2</v>
      </c>
      <c r="AA294" s="920">
        <v>-107.44667581389547</v>
      </c>
    </row>
    <row r="295" spans="1:27" ht="14.25" customHeight="1">
      <c r="A295" s="776"/>
      <c r="B295" s="777"/>
      <c r="C295" s="778">
        <v>2</v>
      </c>
      <c r="D295" s="774">
        <v>8.0661077051382435</v>
      </c>
      <c r="E295" s="347">
        <v>-3.4682080924855541</v>
      </c>
      <c r="F295" s="774">
        <v>10.099188458070335</v>
      </c>
      <c r="G295" s="347">
        <v>-1.5165876777251184</v>
      </c>
      <c r="H295" s="347">
        <v>-12.835093419983753</v>
      </c>
      <c r="I295" s="347">
        <v>-3</v>
      </c>
      <c r="J295" s="774">
        <v>1.5999999999999943</v>
      </c>
      <c r="K295" s="351"/>
      <c r="L295" s="774">
        <v>4.0000000000000036E-2</v>
      </c>
      <c r="M295" s="347">
        <v>-8.7690399469736171</v>
      </c>
      <c r="N295" s="774">
        <v>3.3613445378151297</v>
      </c>
      <c r="O295" s="347">
        <v>-3.2967032967032912</v>
      </c>
      <c r="P295" s="774">
        <v>0.85592011412267377</v>
      </c>
      <c r="Q295" s="921">
        <v>1.6187050359712207</v>
      </c>
      <c r="R295" s="882">
        <v>0.70000000000000284</v>
      </c>
      <c r="S295" s="1210">
        <v>6.8394599388982051</v>
      </c>
      <c r="T295" s="351"/>
      <c r="U295" s="921">
        <v>0.1838235294117673</v>
      </c>
      <c r="V295" s="921">
        <v>-2.4436090225563989</v>
      </c>
      <c r="W295" s="882">
        <v>0</v>
      </c>
      <c r="X295" s="882">
        <v>-1.4999999999999996</v>
      </c>
      <c r="Y295" s="882">
        <v>-17.868452696025187</v>
      </c>
      <c r="Z295" s="921">
        <v>9.9999999999999978E-2</v>
      </c>
      <c r="AA295" s="921">
        <v>114.74857339818467</v>
      </c>
    </row>
    <row r="296" spans="1:27" ht="14.25" customHeight="1">
      <c r="A296" s="776"/>
      <c r="B296" s="777"/>
      <c r="C296" s="778">
        <v>3</v>
      </c>
      <c r="D296" s="347">
        <v>-1.8054955233096726</v>
      </c>
      <c r="E296" s="774">
        <v>1.2589928057554007</v>
      </c>
      <c r="F296" s="774">
        <v>8.7027914614121471</v>
      </c>
      <c r="G296" s="347">
        <v>-24.750456155414835</v>
      </c>
      <c r="H296" s="347">
        <v>-55.432372505543235</v>
      </c>
      <c r="I296" s="774">
        <v>1</v>
      </c>
      <c r="J296" s="774">
        <v>1.7000000000000028</v>
      </c>
      <c r="K296" s="351"/>
      <c r="L296" s="347">
        <v>3.9999999999999925E-2</v>
      </c>
      <c r="M296" s="347">
        <v>-15.087543181080044</v>
      </c>
      <c r="N296" s="774">
        <v>7.9365079365079367</v>
      </c>
      <c r="O296" s="347">
        <v>1.3869625520110955</v>
      </c>
      <c r="P296" s="774">
        <v>1.5037593984962485</v>
      </c>
      <c r="Q296" s="921">
        <v>2.0309050772627031</v>
      </c>
      <c r="R296" s="882">
        <v>2.0999999999999943</v>
      </c>
      <c r="S296" s="1210">
        <v>-0.82769179245509561</v>
      </c>
      <c r="T296" s="351"/>
      <c r="U296" s="921">
        <v>0.45808520384791568</v>
      </c>
      <c r="V296" s="882">
        <v>0.85267645665561886</v>
      </c>
      <c r="W296" s="882">
        <v>0</v>
      </c>
      <c r="X296" s="921">
        <v>26.4</v>
      </c>
      <c r="Y296" s="882">
        <v>-7.5873264412589867</v>
      </c>
      <c r="Z296" s="921">
        <v>0</v>
      </c>
      <c r="AA296" s="882">
        <v>-7.7241937114548564</v>
      </c>
    </row>
    <row r="297" spans="1:27" ht="14.25" customHeight="1">
      <c r="A297" s="776"/>
      <c r="B297" s="777"/>
      <c r="C297" s="778">
        <v>4</v>
      </c>
      <c r="D297" s="347">
        <v>-1.4308306348369606</v>
      </c>
      <c r="E297" s="347">
        <v>5.221932114882506</v>
      </c>
      <c r="F297" s="347">
        <v>14.249177932042382</v>
      </c>
      <c r="G297" s="347">
        <v>25.499625948487765</v>
      </c>
      <c r="H297" s="347">
        <v>83.77896613190731</v>
      </c>
      <c r="I297" s="347">
        <v>2</v>
      </c>
      <c r="J297" s="347">
        <v>2</v>
      </c>
      <c r="K297" s="351"/>
      <c r="L297" s="347">
        <v>5.0000000000000044E-2</v>
      </c>
      <c r="M297" s="347">
        <v>-4.8122439969586255</v>
      </c>
      <c r="N297" s="347">
        <v>-1.538461538461533</v>
      </c>
      <c r="O297" s="347">
        <v>9.1785222579159539E-2</v>
      </c>
      <c r="P297" s="347">
        <v>-5.0693448110951671</v>
      </c>
      <c r="Q297" s="882">
        <v>-7.8110808356040051</v>
      </c>
      <c r="R297" s="882">
        <v>4.2999999999999972</v>
      </c>
      <c r="S297" s="1206">
        <v>-18.169431124387497</v>
      </c>
      <c r="T297" s="351"/>
      <c r="U297" s="882">
        <v>1.1812812358019056</v>
      </c>
      <c r="V297" s="882">
        <v>-2.6768642447418713</v>
      </c>
      <c r="W297" s="882">
        <v>0</v>
      </c>
      <c r="X297" s="882">
        <v>-30.4</v>
      </c>
      <c r="Y297" s="882">
        <v>8.4985717706919708</v>
      </c>
      <c r="Z297" s="882">
        <v>-0.19999999999999998</v>
      </c>
      <c r="AA297" s="882">
        <v>15.524892693454914</v>
      </c>
    </row>
    <row r="298" spans="1:27" ht="14.25" customHeight="1">
      <c r="A298" s="776"/>
      <c r="B298" s="777"/>
      <c r="C298" s="778">
        <v>5</v>
      </c>
      <c r="D298" s="347">
        <v>-1.3861527626085879</v>
      </c>
      <c r="E298" s="347">
        <v>-12.644488557448764</v>
      </c>
      <c r="F298" s="347">
        <v>-5.9617885365609631</v>
      </c>
      <c r="G298" s="347">
        <v>8.0342163578579839</v>
      </c>
      <c r="H298" s="347">
        <v>-33.84324285631002</v>
      </c>
      <c r="I298" s="347">
        <v>-2</v>
      </c>
      <c r="J298" s="347">
        <v>5.0211416490486442</v>
      </c>
      <c r="K298" s="351"/>
      <c r="L298" s="347">
        <v>4.0000000000000036E-2</v>
      </c>
      <c r="M298" s="347">
        <v>-6.167583485176908</v>
      </c>
      <c r="N298" s="347">
        <v>-2.3529411764705936</v>
      </c>
      <c r="O298" s="347">
        <v>-2.1325915623551204</v>
      </c>
      <c r="P298" s="347">
        <v>0.2939735423811829</v>
      </c>
      <c r="Q298" s="882">
        <v>0.56550424128181764</v>
      </c>
      <c r="R298" s="882">
        <v>2.2999999999999972</v>
      </c>
      <c r="S298" s="1206">
        <v>36.989358453334589</v>
      </c>
      <c r="T298" s="351"/>
      <c r="U298" s="882">
        <v>0.36068530207393279</v>
      </c>
      <c r="V298" s="882">
        <v>3.4285714285714231</v>
      </c>
      <c r="W298" s="882">
        <v>-9.9999999999999645E-2</v>
      </c>
      <c r="X298" s="882">
        <v>-0.99999999999999989</v>
      </c>
      <c r="Y298" s="882">
        <v>3.4476271183667859</v>
      </c>
      <c r="Z298" s="882">
        <v>0</v>
      </c>
      <c r="AA298" s="882">
        <v>34.325659427719259</v>
      </c>
    </row>
    <row r="299" spans="1:27" ht="14.25" customHeight="1">
      <c r="A299" s="776"/>
      <c r="B299" s="777"/>
      <c r="C299" s="778">
        <v>6</v>
      </c>
      <c r="D299" s="347">
        <v>-14.508404206869514</v>
      </c>
      <c r="E299" s="347">
        <v>4.2264562177277876</v>
      </c>
      <c r="F299" s="347">
        <v>-5.0241513534433269</v>
      </c>
      <c r="G299" s="347">
        <v>-3.0168772546435974</v>
      </c>
      <c r="H299" s="347">
        <v>8.2419128215504447</v>
      </c>
      <c r="I299" s="347">
        <v>3</v>
      </c>
      <c r="J299" s="347">
        <v>2.5345317337721553</v>
      </c>
      <c r="K299" s="351"/>
      <c r="L299" s="347">
        <v>0</v>
      </c>
      <c r="M299" s="347">
        <v>-4.0638949751347813</v>
      </c>
      <c r="N299" s="347">
        <v>2.3529411764705936</v>
      </c>
      <c r="O299" s="347">
        <v>3.8602941176470611</v>
      </c>
      <c r="P299" s="347">
        <v>0.77972709551656649</v>
      </c>
      <c r="Q299" s="882">
        <v>0.18779342723003628</v>
      </c>
      <c r="R299" s="882">
        <v>-1.3999999999999915</v>
      </c>
      <c r="S299" s="1206">
        <v>-51.280263026800824</v>
      </c>
      <c r="T299" s="351"/>
      <c r="U299" s="882">
        <v>8.9968511021150263E-2</v>
      </c>
      <c r="V299" s="882">
        <v>3.8567493112947684</v>
      </c>
      <c r="W299" s="882">
        <v>-0.10000000000000053</v>
      </c>
      <c r="X299" s="882">
        <v>-1.9</v>
      </c>
      <c r="Y299" s="882">
        <v>27.459022079655472</v>
      </c>
      <c r="Z299" s="882">
        <v>-0.6</v>
      </c>
      <c r="AA299" s="882">
        <v>-38.563728839292494</v>
      </c>
    </row>
    <row r="300" spans="1:27" ht="14.25" customHeight="1">
      <c r="A300" s="776"/>
      <c r="B300" s="777"/>
      <c r="C300" s="778">
        <v>7</v>
      </c>
      <c r="D300" s="347">
        <v>-4.6527535698077447</v>
      </c>
      <c r="E300" s="347">
        <v>10.851419031719534</v>
      </c>
      <c r="F300" s="347">
        <v>-4.9155145929339525</v>
      </c>
      <c r="G300" s="347">
        <v>-2.1166797865826994</v>
      </c>
      <c r="H300" s="347">
        <v>0</v>
      </c>
      <c r="I300" s="347">
        <v>-1</v>
      </c>
      <c r="J300" s="347">
        <v>-3</v>
      </c>
      <c r="K300" s="351"/>
      <c r="L300" s="347">
        <v>1.9999999999999907E-2</v>
      </c>
      <c r="M300" s="347">
        <v>-1.6410774599788518</v>
      </c>
      <c r="N300" s="347">
        <v>-4.7619047619047583</v>
      </c>
      <c r="O300" s="347">
        <v>3.9770216526734421</v>
      </c>
      <c r="P300" s="347">
        <v>-9.7134531325880832E-2</v>
      </c>
      <c r="Q300" s="882">
        <v>0.74766355140187979</v>
      </c>
      <c r="R300" s="882">
        <v>0.5</v>
      </c>
      <c r="S300" s="1206">
        <v>44.4050659300568</v>
      </c>
      <c r="T300" s="351"/>
      <c r="U300" s="882">
        <v>0.26942074539739308</v>
      </c>
      <c r="V300" s="882">
        <v>-3.3898305084745788</v>
      </c>
      <c r="W300" s="882">
        <v>0</v>
      </c>
      <c r="X300" s="882">
        <v>-2.8</v>
      </c>
      <c r="Y300" s="882">
        <v>-32.920132697785768</v>
      </c>
      <c r="Z300" s="882">
        <v>0</v>
      </c>
      <c r="AA300" s="882">
        <v>24.581374247298523</v>
      </c>
    </row>
    <row r="301" spans="1:27" ht="14.25" customHeight="1">
      <c r="A301" s="776"/>
      <c r="B301" s="777"/>
      <c r="C301" s="778">
        <v>8</v>
      </c>
      <c r="D301" s="347">
        <v>4.5421939678716372</v>
      </c>
      <c r="E301" s="347">
        <v>0.71005917159763765</v>
      </c>
      <c r="F301" s="347">
        <v>-5.4185200161746883</v>
      </c>
      <c r="G301" s="347">
        <v>-2.5606589667830604</v>
      </c>
      <c r="H301" s="347">
        <v>-5.1969823973176865</v>
      </c>
      <c r="I301" s="347">
        <v>-4</v>
      </c>
      <c r="J301" s="347">
        <v>-3</v>
      </c>
      <c r="K301" s="351"/>
      <c r="L301" s="347">
        <v>-1.0000000000000009E-2</v>
      </c>
      <c r="M301" s="347">
        <v>1.2543005259062847</v>
      </c>
      <c r="N301" s="347">
        <v>-2.4691358024691414</v>
      </c>
      <c r="O301" s="347">
        <v>-8.8687782805429975</v>
      </c>
      <c r="P301" s="347">
        <v>-2.2604422604422716</v>
      </c>
      <c r="Q301" s="882">
        <v>-2.2598870056497229</v>
      </c>
      <c r="R301" s="882">
        <v>1.7999999999999972</v>
      </c>
      <c r="S301" s="1206">
        <v>-27.073093964118829</v>
      </c>
      <c r="T301" s="351"/>
      <c r="U301" s="882">
        <v>-0.449438202247191</v>
      </c>
      <c r="V301" s="882">
        <v>-16.004026170105679</v>
      </c>
      <c r="W301" s="882">
        <v>-9.9999999999999645E-2</v>
      </c>
      <c r="X301" s="882">
        <v>5</v>
      </c>
      <c r="Y301" s="882">
        <v>7.557933080562206</v>
      </c>
      <c r="Z301" s="882">
        <v>0</v>
      </c>
      <c r="AA301" s="882">
        <v>-14.437049580593072</v>
      </c>
    </row>
    <row r="302" spans="1:27" ht="14.25" customHeight="1">
      <c r="A302" s="776"/>
      <c r="B302" s="777"/>
      <c r="C302" s="778">
        <v>9</v>
      </c>
      <c r="D302" s="347">
        <v>-6.5443912812333815</v>
      </c>
      <c r="E302" s="347">
        <v>0.93896713615023686</v>
      </c>
      <c r="F302" s="347">
        <v>-1.4231896190874869</v>
      </c>
      <c r="G302" s="347">
        <v>-14.868946701744129</v>
      </c>
      <c r="H302" s="347">
        <v>19.425019425019425</v>
      </c>
      <c r="I302" s="347">
        <v>0</v>
      </c>
      <c r="J302" s="347">
        <v>-3</v>
      </c>
      <c r="K302" s="351"/>
      <c r="L302" s="347">
        <v>-9.9999999999998979E-3</v>
      </c>
      <c r="M302" s="347">
        <v>-0.53242665122318011</v>
      </c>
      <c r="N302" s="347">
        <v>0.82987551867219622</v>
      </c>
      <c r="O302" s="347">
        <v>-1.3346043851286857</v>
      </c>
      <c r="P302" s="347">
        <v>9.9354197714861925E-2</v>
      </c>
      <c r="Q302" s="882">
        <v>0.19029495718363734</v>
      </c>
      <c r="R302" s="882">
        <v>1.0999999999999943</v>
      </c>
      <c r="S302" s="1206">
        <v>2.1660249840733532</v>
      </c>
      <c r="T302" s="351"/>
      <c r="U302" s="882">
        <v>0</v>
      </c>
      <c r="V302" s="882">
        <v>-0.54854635216675807</v>
      </c>
      <c r="W302" s="882">
        <v>0</v>
      </c>
      <c r="X302" s="882">
        <v>0</v>
      </c>
      <c r="Y302" s="882">
        <v>3.5417173286411954</v>
      </c>
      <c r="Z302" s="882">
        <v>0.6</v>
      </c>
      <c r="AA302" s="882">
        <v>11.066559743384122</v>
      </c>
    </row>
    <row r="303" spans="1:27" ht="14.25" customHeight="1">
      <c r="A303" s="776"/>
      <c r="B303" s="777"/>
      <c r="C303" s="778">
        <v>10</v>
      </c>
      <c r="D303" s="347">
        <v>0.25798660665276346</v>
      </c>
      <c r="E303" s="347">
        <v>1.2383900928792526</v>
      </c>
      <c r="F303" s="347">
        <v>1.2568077084206117</v>
      </c>
      <c r="G303" s="347">
        <v>-5.6944895528851358</v>
      </c>
      <c r="H303" s="347">
        <v>18.041237113402062</v>
      </c>
      <c r="I303" s="347">
        <v>2</v>
      </c>
      <c r="J303" s="347">
        <v>0.29999999999999716</v>
      </c>
      <c r="K303" s="351"/>
      <c r="L303" s="347">
        <v>-2.0000000000000018E-2</v>
      </c>
      <c r="M303" s="347">
        <v>5.5898472351195352</v>
      </c>
      <c r="N303" s="347">
        <v>-1.6666666666666607</v>
      </c>
      <c r="O303" s="347">
        <v>-1.2554321583775925</v>
      </c>
      <c r="P303" s="347">
        <v>0.49529470034670625</v>
      </c>
      <c r="Q303" s="882">
        <v>-3.2850241545893777</v>
      </c>
      <c r="R303" s="882">
        <v>-3.2999999999999972</v>
      </c>
      <c r="S303" s="1206">
        <v>-6.5483770552112537</v>
      </c>
      <c r="T303" s="351"/>
      <c r="U303" s="882">
        <v>-9.0130689499769545E-2</v>
      </c>
      <c r="V303" s="882">
        <v>-5.1918735891647954</v>
      </c>
      <c r="W303" s="882">
        <v>-0.10000000000000053</v>
      </c>
      <c r="X303" s="882">
        <v>-1</v>
      </c>
      <c r="Y303" s="882">
        <v>-3.3178097875698174</v>
      </c>
      <c r="Z303" s="882">
        <v>0.1</v>
      </c>
      <c r="AA303" s="882">
        <v>-18.224027858386535</v>
      </c>
    </row>
    <row r="304" spans="1:27" ht="14.25" customHeight="1">
      <c r="A304" s="776"/>
      <c r="B304" s="777"/>
      <c r="C304" s="778">
        <v>11</v>
      </c>
      <c r="D304" s="347">
        <v>5.1460083051820549</v>
      </c>
      <c r="E304" s="347">
        <v>-8</v>
      </c>
      <c r="F304" s="347">
        <v>6.1339790153349547</v>
      </c>
      <c r="G304" s="347">
        <v>1.6795580110497237</v>
      </c>
      <c r="H304" s="347">
        <v>-4.8426150121065374</v>
      </c>
      <c r="I304" s="347">
        <v>-2</v>
      </c>
      <c r="J304" s="347">
        <v>0.40000000000000568</v>
      </c>
      <c r="K304" s="351"/>
      <c r="L304" s="347">
        <v>1.0000000000000009E-2</v>
      </c>
      <c r="M304" s="347">
        <v>1.5292401258547046</v>
      </c>
      <c r="N304" s="347">
        <v>-0.8438818565400813</v>
      </c>
      <c r="O304" s="347">
        <v>-4.9800796812749004</v>
      </c>
      <c r="P304" s="347">
        <v>0.68931560807484271</v>
      </c>
      <c r="Q304" s="882">
        <v>4.7938638542665393</v>
      </c>
      <c r="R304" s="882">
        <v>0.60000000000000853</v>
      </c>
      <c r="S304" s="1206">
        <v>-17.105472099596657</v>
      </c>
      <c r="T304" s="351"/>
      <c r="U304" s="882">
        <v>-0.18050541516245741</v>
      </c>
      <c r="V304" s="882">
        <v>-0.58105752469494487</v>
      </c>
      <c r="W304" s="882">
        <v>0</v>
      </c>
      <c r="X304" s="882">
        <v>1.6</v>
      </c>
      <c r="Y304" s="882">
        <v>2.4921227789965634</v>
      </c>
      <c r="Z304" s="882">
        <v>-0.4</v>
      </c>
      <c r="AA304" s="882">
        <v>12.153796722716068</v>
      </c>
    </row>
    <row r="305" spans="1:27" ht="14.25" customHeight="1">
      <c r="A305" s="871"/>
      <c r="B305" s="868"/>
      <c r="C305" s="872">
        <v>12</v>
      </c>
      <c r="D305" s="349">
        <v>-5.2172519267501087</v>
      </c>
      <c r="E305" s="349">
        <v>1.2422360248447204</v>
      </c>
      <c r="F305" s="349">
        <v>7.6082862523540555</v>
      </c>
      <c r="G305" s="349">
        <v>-2.1934197407776672</v>
      </c>
      <c r="H305" s="349">
        <v>-37.233259749816042</v>
      </c>
      <c r="I305" s="349">
        <v>5</v>
      </c>
      <c r="J305" s="349">
        <v>0.29999999999999716</v>
      </c>
      <c r="K305" s="352"/>
      <c r="L305" s="349">
        <v>1.9999999999999907E-2</v>
      </c>
      <c r="M305" s="349">
        <v>-0.54398684636307826</v>
      </c>
      <c r="N305" s="349">
        <v>1.6806722689075571</v>
      </c>
      <c r="O305" s="349">
        <v>-2.4819027921406471</v>
      </c>
      <c r="P305" s="349">
        <v>1.8473505104521066</v>
      </c>
      <c r="Q305" s="886">
        <v>3.3149171270718312</v>
      </c>
      <c r="R305" s="886">
        <v>-2.5</v>
      </c>
      <c r="S305" s="1211">
        <v>-41.753075017841411</v>
      </c>
      <c r="T305" s="352"/>
      <c r="U305" s="886">
        <v>0</v>
      </c>
      <c r="V305" s="886">
        <v>-5.5089820359281365</v>
      </c>
      <c r="W305" s="886">
        <v>0.20000000000000018</v>
      </c>
      <c r="X305" s="886">
        <v>8.1</v>
      </c>
      <c r="Y305" s="886">
        <v>0.93872046260926412</v>
      </c>
      <c r="Z305" s="886">
        <v>0.2</v>
      </c>
      <c r="AA305" s="886">
        <v>-16.859344894026975</v>
      </c>
    </row>
    <row r="306" spans="1:27" ht="14.25" customHeight="1">
      <c r="A306" s="873" t="s">
        <v>587</v>
      </c>
      <c r="B306" s="759">
        <v>2013</v>
      </c>
      <c r="C306" s="760">
        <v>1</v>
      </c>
      <c r="D306" s="347">
        <v>2.2925860397643745</v>
      </c>
      <c r="E306" s="347">
        <v>5.1323175621491623</v>
      </c>
      <c r="F306" s="347">
        <v>-11.18773946360154</v>
      </c>
      <c r="G306" s="347">
        <v>1.7761989342806395</v>
      </c>
      <c r="H306" s="348">
        <v>25.276461295418642</v>
      </c>
      <c r="I306" s="348">
        <v>-1</v>
      </c>
      <c r="J306" s="347">
        <v>-2</v>
      </c>
      <c r="K306" s="350"/>
      <c r="L306" s="347">
        <v>3.0000000000000027E-2</v>
      </c>
      <c r="M306" s="347">
        <v>2.5454545454545454</v>
      </c>
      <c r="N306" s="347">
        <v>-1.6806722689075571</v>
      </c>
      <c r="O306" s="347">
        <v>1.5584415584415585</v>
      </c>
      <c r="P306" s="347">
        <v>1.0541447053186475</v>
      </c>
      <c r="Q306" s="882">
        <v>6.0606060606060526</v>
      </c>
      <c r="R306" s="882">
        <v>1</v>
      </c>
      <c r="S306" s="1206">
        <v>56.50551960411115</v>
      </c>
      <c r="T306" s="350"/>
      <c r="U306" s="882">
        <v>0.18050541516245741</v>
      </c>
      <c r="V306" s="882">
        <v>-4.0201005025125669</v>
      </c>
      <c r="W306" s="882">
        <v>-9.9999999999999645E-2</v>
      </c>
      <c r="X306" s="882">
        <v>-18.100000000000001</v>
      </c>
      <c r="Y306" s="882">
        <v>-8.5335311535071874</v>
      </c>
      <c r="Z306" s="882">
        <v>0.2</v>
      </c>
      <c r="AA306" s="882">
        <v>10.270834278455748</v>
      </c>
    </row>
    <row r="307" spans="1:27" ht="14.25" customHeight="1">
      <c r="A307" s="776"/>
      <c r="B307" s="777"/>
      <c r="C307" s="778">
        <v>2</v>
      </c>
      <c r="D307" s="347">
        <v>9.5037471114685825</v>
      </c>
      <c r="E307" s="347">
        <v>3.6838066001534786</v>
      </c>
      <c r="F307" s="347">
        <v>-0.56980056980057214</v>
      </c>
      <c r="G307" s="347">
        <v>17.216411906677394</v>
      </c>
      <c r="H307" s="347">
        <v>-6.517016654598117</v>
      </c>
      <c r="I307" s="347">
        <v>0</v>
      </c>
      <c r="J307" s="347">
        <v>-2</v>
      </c>
      <c r="K307" s="351"/>
      <c r="L307" s="347">
        <v>2.0000000000000018E-2</v>
      </c>
      <c r="M307" s="347">
        <v>1.9941090835223649</v>
      </c>
      <c r="N307" s="347">
        <v>0.8438818565400813</v>
      </c>
      <c r="O307" s="347">
        <v>4.7307498741821874</v>
      </c>
      <c r="P307" s="347">
        <v>-2.0221473278767537</v>
      </c>
      <c r="Q307" s="882">
        <v>-3.2928942807625625</v>
      </c>
      <c r="R307" s="882">
        <v>0.39999999999999147</v>
      </c>
      <c r="S307" s="1206">
        <v>-12.782619679171393</v>
      </c>
      <c r="T307" s="351"/>
      <c r="U307" s="882">
        <v>0.44984255510571297</v>
      </c>
      <c r="V307" s="882">
        <v>6.8111455108359129</v>
      </c>
      <c r="W307" s="882">
        <v>9.9999999999999645E-2</v>
      </c>
      <c r="X307" s="882">
        <v>3.3</v>
      </c>
      <c r="Y307" s="882">
        <v>4.4304125380480537</v>
      </c>
      <c r="Z307" s="882">
        <v>0</v>
      </c>
      <c r="AA307" s="882">
        <v>17.537643932683793</v>
      </c>
    </row>
    <row r="308" spans="1:27" ht="14.25" customHeight="1">
      <c r="A308" s="776"/>
      <c r="B308" s="777"/>
      <c r="C308" s="778">
        <v>3</v>
      </c>
      <c r="D308" s="347">
        <v>-10.060228240068097</v>
      </c>
      <c r="E308" s="347">
        <v>4.5655375552282891</v>
      </c>
      <c r="F308" s="347">
        <v>-2.9826014913007408</v>
      </c>
      <c r="G308" s="347">
        <v>-13.45982804624963</v>
      </c>
      <c r="H308" s="347">
        <v>-0.45011252813203301</v>
      </c>
      <c r="I308" s="347">
        <v>-4</v>
      </c>
      <c r="J308" s="347">
        <v>-2</v>
      </c>
      <c r="K308" s="351"/>
      <c r="L308" s="347">
        <v>0</v>
      </c>
      <c r="M308" s="347">
        <v>0.67318694718907157</v>
      </c>
      <c r="N308" s="347">
        <v>-0.8438818565400813</v>
      </c>
      <c r="O308" s="347">
        <v>10.261194029850746</v>
      </c>
      <c r="P308" s="347">
        <v>4.9335863377609126</v>
      </c>
      <c r="Q308" s="882">
        <v>1.9197207678883097</v>
      </c>
      <c r="R308" s="882">
        <v>-3</v>
      </c>
      <c r="S308" s="1206">
        <v>-4.1105794057906184</v>
      </c>
      <c r="T308" s="351"/>
      <c r="U308" s="882">
        <v>8.9726334679223252E-2</v>
      </c>
      <c r="V308" s="882">
        <v>15.469613259668508</v>
      </c>
      <c r="W308" s="882">
        <v>-0.20000000000000018</v>
      </c>
      <c r="X308" s="882">
        <v>10.5</v>
      </c>
      <c r="Y308" s="882">
        <v>-4.5350577654521773</v>
      </c>
      <c r="Z308" s="882">
        <v>-0.2</v>
      </c>
      <c r="AA308" s="882">
        <v>0.68530207394048692</v>
      </c>
    </row>
    <row r="309" spans="1:27" ht="14.25" customHeight="1">
      <c r="A309" s="776"/>
      <c r="B309" s="777"/>
      <c r="C309" s="778">
        <v>4</v>
      </c>
      <c r="D309" s="347">
        <v>0.81082532352466896</v>
      </c>
      <c r="E309" s="347">
        <v>-5.9303187546330616</v>
      </c>
      <c r="F309" s="347">
        <v>-2.2968949383241197</v>
      </c>
      <c r="G309" s="347">
        <v>7.1122011036174122</v>
      </c>
      <c r="H309" s="347">
        <v>1.6405667412378822</v>
      </c>
      <c r="I309" s="347">
        <v>2</v>
      </c>
      <c r="J309" s="347">
        <v>0.29999999999999716</v>
      </c>
      <c r="K309" s="351"/>
      <c r="L309" s="347">
        <v>0</v>
      </c>
      <c r="M309" s="347">
        <v>2.868395142763362</v>
      </c>
      <c r="N309" s="347">
        <v>1.6806722689075571</v>
      </c>
      <c r="O309" s="347">
        <v>-8.317929759704251</v>
      </c>
      <c r="P309" s="347">
        <v>-6.1068702290076393</v>
      </c>
      <c r="Q309" s="882">
        <v>-6.8842199374161845</v>
      </c>
      <c r="R309" s="882">
        <v>6</v>
      </c>
      <c r="S309" s="1206">
        <v>34.294367755839005</v>
      </c>
      <c r="T309" s="351"/>
      <c r="U309" s="882">
        <v>0.35810205908684484</v>
      </c>
      <c r="V309" s="882">
        <v>-11.382113821138212</v>
      </c>
      <c r="W309" s="882">
        <v>0</v>
      </c>
      <c r="X309" s="882">
        <v>-9.1999999999999993</v>
      </c>
      <c r="Y309" s="882">
        <v>5.2362614418940683E-2</v>
      </c>
      <c r="Z309" s="882">
        <v>-0.1</v>
      </c>
      <c r="AA309" s="882">
        <v>-9.8870216337539354</v>
      </c>
    </row>
    <row r="310" spans="1:27" ht="14.25" customHeight="1">
      <c r="A310" s="776"/>
      <c r="B310" s="777"/>
      <c r="C310" s="778">
        <v>5</v>
      </c>
      <c r="D310" s="347">
        <v>2.8585172347898355</v>
      </c>
      <c r="E310" s="347">
        <v>1.8168054504163553</v>
      </c>
      <c r="F310" s="347">
        <v>-1.0380622837370268</v>
      </c>
      <c r="G310" s="347">
        <v>-3.3714629741119806</v>
      </c>
      <c r="H310" s="347">
        <v>-3.0030030030030028</v>
      </c>
      <c r="I310" s="347">
        <v>-2</v>
      </c>
      <c r="J310" s="347">
        <v>0.40000000000000568</v>
      </c>
      <c r="K310" s="351"/>
      <c r="L310" s="347">
        <v>1.0000000000000009E-2</v>
      </c>
      <c r="M310" s="347">
        <v>-2.7935206069304783</v>
      </c>
      <c r="N310" s="347">
        <v>2.4691358024691414</v>
      </c>
      <c r="O310" s="347">
        <v>0.95969289827255277</v>
      </c>
      <c r="P310" s="347">
        <v>1.8527547537786502</v>
      </c>
      <c r="Q310" s="882">
        <v>-1.0237319683573702</v>
      </c>
      <c r="R310" s="882">
        <v>-1.2000000000000028</v>
      </c>
      <c r="S310" s="1206">
        <v>-6.4036122941146267</v>
      </c>
      <c r="T310" s="351"/>
      <c r="U310" s="882">
        <v>0.71237756010685405</v>
      </c>
      <c r="V310" s="882">
        <v>0.34423407917383492</v>
      </c>
      <c r="W310" s="882">
        <v>0</v>
      </c>
      <c r="X310" s="882">
        <v>2.1000000000000005</v>
      </c>
      <c r="Y310" s="882">
        <v>6.3077169902133807</v>
      </c>
      <c r="Z310" s="882">
        <v>0.2</v>
      </c>
      <c r="AA310" s="882">
        <v>3.5472051142122085</v>
      </c>
    </row>
    <row r="311" spans="1:27" ht="14.25" customHeight="1">
      <c r="A311" s="776"/>
      <c r="B311" s="777"/>
      <c r="C311" s="778">
        <v>6</v>
      </c>
      <c r="D311" s="347">
        <v>-0.57203541668024716</v>
      </c>
      <c r="E311" s="347">
        <v>-3.9005736137667477</v>
      </c>
      <c r="F311" s="347">
        <v>0</v>
      </c>
      <c r="G311" s="347">
        <v>4.0204020402040204</v>
      </c>
      <c r="H311" s="347">
        <v>6.3468634686346865</v>
      </c>
      <c r="I311" s="347">
        <v>2</v>
      </c>
      <c r="J311" s="347">
        <v>0.29999999999999716</v>
      </c>
      <c r="K311" s="351"/>
      <c r="L311" s="347">
        <v>2.0000000000000018E-2</v>
      </c>
      <c r="M311" s="347">
        <v>-4.6279669455248049</v>
      </c>
      <c r="N311" s="347">
        <v>1.6129032258064457</v>
      </c>
      <c r="O311" s="347">
        <v>-2.221149203283435</v>
      </c>
      <c r="P311" s="347">
        <v>0.86580086580087123</v>
      </c>
      <c r="Q311" s="882">
        <v>2.4029574861367786</v>
      </c>
      <c r="R311" s="882">
        <v>-0.89999999999999147</v>
      </c>
      <c r="S311" s="1206">
        <v>22.409451413240447</v>
      </c>
      <c r="T311" s="351"/>
      <c r="U311" s="882">
        <v>8.8691796008864135E-2</v>
      </c>
      <c r="V311" s="882">
        <v>-2.5522041763341106</v>
      </c>
      <c r="W311" s="882">
        <v>-0.19999999999999973</v>
      </c>
      <c r="X311" s="882">
        <v>4.2</v>
      </c>
      <c r="Y311" s="882">
        <v>5.0324916534506654</v>
      </c>
      <c r="Z311" s="882">
        <v>0.5</v>
      </c>
      <c r="AA311" s="882">
        <v>0.68704912401236684</v>
      </c>
    </row>
    <row r="312" spans="1:27" ht="14.25" customHeight="1">
      <c r="A312" s="776"/>
      <c r="B312" s="777"/>
      <c r="C312" s="778">
        <v>7</v>
      </c>
      <c r="D312" s="347">
        <v>1.758999002629434</v>
      </c>
      <c r="E312" s="347">
        <v>0.15588464536244509</v>
      </c>
      <c r="F312" s="347">
        <v>0.77955825032482085</v>
      </c>
      <c r="G312" s="347">
        <v>-3.9796020397960206</v>
      </c>
      <c r="H312" s="347">
        <v>12.600536193029491</v>
      </c>
      <c r="I312" s="347">
        <v>2</v>
      </c>
      <c r="J312" s="347">
        <v>3</v>
      </c>
      <c r="K312" s="351"/>
      <c r="L312" s="347">
        <v>2.0000000000000018E-2</v>
      </c>
      <c r="M312" s="347">
        <v>1.7153666099484384</v>
      </c>
      <c r="N312" s="347">
        <v>3.1496062992126013</v>
      </c>
      <c r="O312" s="347">
        <v>-1.972386587771203</v>
      </c>
      <c r="P312" s="347">
        <v>1.6152019002375189</v>
      </c>
      <c r="Q312" s="882">
        <v>2.4357239512855235</v>
      </c>
      <c r="R312" s="882">
        <v>-1.2999999999999972</v>
      </c>
      <c r="S312" s="1206">
        <v>-37.716010564708832</v>
      </c>
      <c r="T312" s="351"/>
      <c r="U312" s="882">
        <v>-8.8691796008864135E-2</v>
      </c>
      <c r="V312" s="882">
        <v>-2.2578728461081301</v>
      </c>
      <c r="W312" s="882">
        <v>-0.10000000000000009</v>
      </c>
      <c r="X312" s="882">
        <v>-3.4</v>
      </c>
      <c r="Y312" s="882">
        <v>17.981387610943461</v>
      </c>
      <c r="Z312" s="882">
        <v>0.20000000000000007</v>
      </c>
      <c r="AA312" s="882">
        <v>-23.180592991913741</v>
      </c>
    </row>
    <row r="313" spans="1:27" ht="14.25" customHeight="1">
      <c r="A313" s="776"/>
      <c r="B313" s="777"/>
      <c r="C313" s="778">
        <v>8</v>
      </c>
      <c r="D313" s="347">
        <v>0.79674141712546664</v>
      </c>
      <c r="E313" s="347">
        <v>3.7447458922430301</v>
      </c>
      <c r="F313" s="347">
        <v>8.6244070720133084E-2</v>
      </c>
      <c r="G313" s="347">
        <v>1.5990284384171642</v>
      </c>
      <c r="H313" s="347">
        <v>13.740458015267176</v>
      </c>
      <c r="I313" s="347">
        <v>-2</v>
      </c>
      <c r="J313" s="347">
        <v>3</v>
      </c>
      <c r="K313" s="351"/>
      <c r="L313" s="347">
        <v>1.0000000000000009E-2</v>
      </c>
      <c r="M313" s="347">
        <v>-3.9347869748596307</v>
      </c>
      <c r="N313" s="347">
        <v>3.0534351145038192</v>
      </c>
      <c r="O313" s="347">
        <v>7.3860911270983101</v>
      </c>
      <c r="P313" s="347">
        <v>-9.4295143800088937E-2</v>
      </c>
      <c r="Q313" s="882">
        <v>-0.71556350626117804</v>
      </c>
      <c r="R313" s="882">
        <v>0.5</v>
      </c>
      <c r="S313" s="1206">
        <v>43.072582214438604</v>
      </c>
      <c r="T313" s="351"/>
      <c r="U313" s="882">
        <v>0.70733863837311861</v>
      </c>
      <c r="V313" s="882">
        <v>10.262257696693272</v>
      </c>
      <c r="W313" s="882">
        <v>0.29999999999999982</v>
      </c>
      <c r="X313" s="882">
        <v>0.70000000000000018</v>
      </c>
      <c r="Y313" s="882">
        <v>-15.072630060797298</v>
      </c>
      <c r="Z313" s="882">
        <v>0.19999999999999996</v>
      </c>
      <c r="AA313" s="882">
        <v>11.936794582392761</v>
      </c>
    </row>
    <row r="314" spans="1:27" ht="14.25" customHeight="1">
      <c r="A314" s="776"/>
      <c r="B314" s="777"/>
      <c r="C314" s="778">
        <v>9</v>
      </c>
      <c r="D314" s="347">
        <v>-4.1198380145734834</v>
      </c>
      <c r="E314" s="347">
        <v>0.52375607931162638</v>
      </c>
      <c r="F314" s="347">
        <v>5.7764755127668526</v>
      </c>
      <c r="G314" s="347">
        <v>0.72028811524609848</v>
      </c>
      <c r="H314" s="347">
        <v>-5.070422535211268</v>
      </c>
      <c r="I314" s="347">
        <v>0</v>
      </c>
      <c r="J314" s="347">
        <v>3</v>
      </c>
      <c r="K314" s="351"/>
      <c r="L314" s="347">
        <v>1.0000000000000009E-2</v>
      </c>
      <c r="M314" s="347">
        <v>-3.4486820525366788</v>
      </c>
      <c r="N314" s="347">
        <v>-9.4488188976378051</v>
      </c>
      <c r="O314" s="347">
        <v>0.73732718894010263</v>
      </c>
      <c r="P314" s="347">
        <v>1.405152224824356</v>
      </c>
      <c r="Q314" s="882">
        <v>-1.7202354006337761</v>
      </c>
      <c r="R314" s="882">
        <v>-1.6000000000000085</v>
      </c>
      <c r="S314" s="1206">
        <v>-10.667003963234674</v>
      </c>
      <c r="T314" s="351"/>
      <c r="U314" s="882">
        <v>-0.17636684303351219</v>
      </c>
      <c r="V314" s="882">
        <v>1.1859838274932553</v>
      </c>
      <c r="W314" s="882">
        <v>-0.19999999999999973</v>
      </c>
      <c r="X314" s="882">
        <v>1.4</v>
      </c>
      <c r="Y314" s="882">
        <v>-16.776158066143182</v>
      </c>
      <c r="Z314" s="882">
        <v>0.19999999999999996</v>
      </c>
      <c r="AA314" s="882">
        <v>17.519581737964288</v>
      </c>
    </row>
    <row r="315" spans="1:27" ht="14.25" customHeight="1">
      <c r="A315" s="776"/>
      <c r="B315" s="777"/>
      <c r="C315" s="778">
        <v>10</v>
      </c>
      <c r="D315" s="347">
        <v>1.8347175915879184</v>
      </c>
      <c r="E315" s="347">
        <v>-0.97487814023247954</v>
      </c>
      <c r="F315" s="347">
        <v>-12.445980985306832</v>
      </c>
      <c r="G315" s="347">
        <v>1.2284525460669704</v>
      </c>
      <c r="H315" s="347">
        <v>2.3986293546544832</v>
      </c>
      <c r="I315" s="347">
        <v>-1</v>
      </c>
      <c r="J315" s="347">
        <v>0.70000000000000284</v>
      </c>
      <c r="K315" s="351"/>
      <c r="L315" s="347">
        <v>1.0000000000000009E-2</v>
      </c>
      <c r="M315" s="347">
        <v>-1.519881085098463</v>
      </c>
      <c r="N315" s="347">
        <v>-0.82987551867219622</v>
      </c>
      <c r="O315" s="347">
        <v>-6.8376068376068391</v>
      </c>
      <c r="P315" s="347">
        <v>-1.6885553470919299</v>
      </c>
      <c r="Q315" s="882">
        <v>-1.2867647058823581</v>
      </c>
      <c r="R315" s="882">
        <v>0.70000000000000284</v>
      </c>
      <c r="S315" s="1206">
        <v>-7.0450458757895786</v>
      </c>
      <c r="T315" s="351"/>
      <c r="U315" s="882">
        <v>8.8222320247030028E-2</v>
      </c>
      <c r="V315" s="882">
        <v>-13.013698630136977</v>
      </c>
      <c r="W315" s="882">
        <v>0.10000000000000009</v>
      </c>
      <c r="X315" s="882">
        <v>-0.70000000000000018</v>
      </c>
      <c r="Y315" s="882">
        <v>22.354977910667632</v>
      </c>
      <c r="Z315" s="882">
        <v>0.10000000000000009</v>
      </c>
      <c r="AA315" s="882">
        <v>-10.186680689629279</v>
      </c>
    </row>
    <row r="316" spans="1:27" ht="14.25" customHeight="1">
      <c r="A316" s="776"/>
      <c r="B316" s="777"/>
      <c r="C316" s="778">
        <v>11</v>
      </c>
      <c r="D316" s="347">
        <v>-2.4083990609090238</v>
      </c>
      <c r="E316" s="347">
        <v>2.749907097733197</v>
      </c>
      <c r="F316" s="347">
        <v>-3.755868544600939</v>
      </c>
      <c r="G316" s="347">
        <v>3.3688286544046466</v>
      </c>
      <c r="H316" s="347">
        <v>-12.98076923076923</v>
      </c>
      <c r="I316" s="347">
        <v>2</v>
      </c>
      <c r="J316" s="347">
        <v>0.59999999999999432</v>
      </c>
      <c r="K316" s="351"/>
      <c r="L316" s="347">
        <v>1.0000000000000009E-2</v>
      </c>
      <c r="M316" s="347">
        <v>-5.4466775651505088</v>
      </c>
      <c r="N316" s="347">
        <v>2.4691358024691414</v>
      </c>
      <c r="O316" s="347">
        <v>8.1132075471698055</v>
      </c>
      <c r="P316" s="347">
        <v>0.47192071731949031</v>
      </c>
      <c r="Q316" s="882">
        <v>0.18484288354898601</v>
      </c>
      <c r="R316" s="882">
        <v>0.20000000000000284</v>
      </c>
      <c r="S316" s="1206">
        <v>11.427026539899964</v>
      </c>
      <c r="T316" s="351"/>
      <c r="U316" s="882">
        <v>8.8144557073595697E-2</v>
      </c>
      <c r="V316" s="882">
        <v>12.692967409948537</v>
      </c>
      <c r="W316" s="882">
        <v>-0.10000000000000009</v>
      </c>
      <c r="X316" s="882">
        <v>0.10000000000000009</v>
      </c>
      <c r="Y316" s="882">
        <v>6.3470280019034249</v>
      </c>
      <c r="Z316" s="882">
        <v>0.30000000000000004</v>
      </c>
      <c r="AA316" s="882">
        <v>4.4652530568023563</v>
      </c>
    </row>
    <row r="317" spans="1:27" ht="14.25" customHeight="1">
      <c r="A317" s="874"/>
      <c r="B317" s="868"/>
      <c r="C317" s="872">
        <v>12</v>
      </c>
      <c r="D317" s="349">
        <v>-4.4503886072235277</v>
      </c>
      <c r="E317" s="349">
        <v>-2.2988505747126391</v>
      </c>
      <c r="F317" s="349">
        <v>2.8301886792452828</v>
      </c>
      <c r="G317" s="349">
        <v>2.760304196789034</v>
      </c>
      <c r="H317" s="349">
        <v>37.068062827225134</v>
      </c>
      <c r="I317" s="349">
        <v>2</v>
      </c>
      <c r="J317" s="349">
        <v>0.70000000000000284</v>
      </c>
      <c r="K317" s="352"/>
      <c r="L317" s="349">
        <v>1.0000000000000009E-2</v>
      </c>
      <c r="M317" s="349">
        <v>6.3247356458162415E-2</v>
      </c>
      <c r="N317" s="349">
        <v>-2.4691358024691414</v>
      </c>
      <c r="O317" s="349">
        <v>-9.0702947845799839E-2</v>
      </c>
      <c r="P317" s="349">
        <v>-0.28288543140028016</v>
      </c>
      <c r="Q317" s="886">
        <v>-2.9990627928772287</v>
      </c>
      <c r="R317" s="886">
        <v>0</v>
      </c>
      <c r="S317" s="1211">
        <v>-21.785266939238525</v>
      </c>
      <c r="T317" s="352"/>
      <c r="U317" s="886">
        <v>-0.26466696074106499</v>
      </c>
      <c r="V317" s="886">
        <v>3.6939313984168867</v>
      </c>
      <c r="W317" s="886">
        <v>-0.19999999999999973</v>
      </c>
      <c r="X317" s="886">
        <v>0.8</v>
      </c>
      <c r="Y317" s="886">
        <v>-10.945926151886249</v>
      </c>
      <c r="Z317" s="886">
        <v>0</v>
      </c>
      <c r="AA317" s="886">
        <v>17.187337830825122</v>
      </c>
    </row>
    <row r="318" spans="1:27" ht="14.25" customHeight="1">
      <c r="A318" s="873" t="s">
        <v>602</v>
      </c>
      <c r="B318" s="867">
        <v>2014</v>
      </c>
      <c r="C318" s="870">
        <v>1</v>
      </c>
      <c r="D318" s="930">
        <v>4.5250844104907841</v>
      </c>
      <c r="E318" s="930">
        <v>0.14992503748125083</v>
      </c>
      <c r="F318" s="930">
        <v>5.4298642533936654</v>
      </c>
      <c r="G318" s="930">
        <v>4.100145137880987</v>
      </c>
      <c r="H318" s="930">
        <v>-25.498007968127489</v>
      </c>
      <c r="I318" s="930">
        <v>0</v>
      </c>
      <c r="J318" s="930">
        <v>-0.70000000000000284</v>
      </c>
      <c r="K318" s="931"/>
      <c r="L318" s="930">
        <v>1.0000000000000009E-2</v>
      </c>
      <c r="M318" s="930">
        <v>-2.6020295830747981</v>
      </c>
      <c r="N318" s="930">
        <v>-1.6806722689075571</v>
      </c>
      <c r="O318" s="930">
        <v>5.7293962097840456</v>
      </c>
      <c r="P318" s="930">
        <v>2.2408963585434094</v>
      </c>
      <c r="Q318" s="885">
        <v>-0.66825775656323494</v>
      </c>
      <c r="R318" s="885">
        <v>-2.2999999999999972</v>
      </c>
      <c r="S318" s="1205">
        <v>10.375436920059345</v>
      </c>
      <c r="T318" s="931"/>
      <c r="U318" s="885">
        <v>8.8300220750546859E-2</v>
      </c>
      <c r="V318" s="885">
        <v>9.945839487936972</v>
      </c>
      <c r="W318" s="885">
        <v>0</v>
      </c>
      <c r="X318" s="885">
        <v>-1.4000000000000001</v>
      </c>
      <c r="Y318" s="885">
        <v>-7.0684858921711484</v>
      </c>
      <c r="Z318" s="885">
        <v>-0.40000000000000013</v>
      </c>
      <c r="AA318" s="885">
        <v>31.373391710763105</v>
      </c>
    </row>
    <row r="319" spans="1:27" ht="14.25" customHeight="1">
      <c r="A319" s="776"/>
      <c r="B319" s="777"/>
      <c r="C319" s="778">
        <v>2</v>
      </c>
      <c r="D319" s="347">
        <v>-0.10811460147757107</v>
      </c>
      <c r="E319" s="347">
        <v>-1.737816395919918</v>
      </c>
      <c r="F319" s="347">
        <v>-2.4074899687917992</v>
      </c>
      <c r="G319" s="347">
        <v>4.2627229230100045</v>
      </c>
      <c r="H319" s="347">
        <v>-17.234965902045879</v>
      </c>
      <c r="I319" s="347">
        <v>-3</v>
      </c>
      <c r="J319" s="347">
        <v>-0.59999999999999432</v>
      </c>
      <c r="K319" s="351"/>
      <c r="L319" s="347">
        <v>0</v>
      </c>
      <c r="M319" s="347">
        <v>0.86622043189871145</v>
      </c>
      <c r="N319" s="347">
        <v>4.95867768595041</v>
      </c>
      <c r="O319" s="347">
        <v>-9.3273542600896899</v>
      </c>
      <c r="P319" s="347">
        <v>0.91911764705882359</v>
      </c>
      <c r="Q319" s="882">
        <v>3.7593984962406015</v>
      </c>
      <c r="R319" s="882">
        <v>1.3999999999999915</v>
      </c>
      <c r="S319" s="1206">
        <v>13.02103122276111</v>
      </c>
      <c r="T319" s="351"/>
      <c r="U319" s="882">
        <v>0.26443367122079964</v>
      </c>
      <c r="V319" s="882">
        <v>-15.244825845532555</v>
      </c>
      <c r="W319" s="882">
        <v>-0.10000000000000009</v>
      </c>
      <c r="X319" s="882">
        <v>1.5</v>
      </c>
      <c r="Y319" s="882">
        <v>20.791429462044526</v>
      </c>
      <c r="Z319" s="882">
        <v>0</v>
      </c>
      <c r="AA319" s="882">
        <v>-32.049676055010032</v>
      </c>
    </row>
    <row r="320" spans="1:27" ht="14.25" customHeight="1">
      <c r="A320" s="776"/>
      <c r="B320" s="777"/>
      <c r="C320" s="778">
        <v>3</v>
      </c>
      <c r="D320" s="347">
        <v>-4.2274648847674898</v>
      </c>
      <c r="E320" s="347">
        <v>0.60790273556231866</v>
      </c>
      <c r="F320" s="347">
        <v>-2.0975832193342425</v>
      </c>
      <c r="G320" s="347">
        <v>-7.0364165417511684</v>
      </c>
      <c r="H320" s="347">
        <v>26.281673541543903</v>
      </c>
      <c r="I320" s="347">
        <v>2</v>
      </c>
      <c r="J320" s="347">
        <v>-0.70000000000000284</v>
      </c>
      <c r="K320" s="351"/>
      <c r="L320" s="347">
        <v>-1.0000000000000009E-2</v>
      </c>
      <c r="M320" s="347">
        <v>-9.4536019229024937E-2</v>
      </c>
      <c r="N320" s="347">
        <v>-1.6260162601626102</v>
      </c>
      <c r="O320" s="347">
        <v>-13.026052104208418</v>
      </c>
      <c r="P320" s="347">
        <v>-6.0320452403392943</v>
      </c>
      <c r="Q320" s="882">
        <v>-3.3771106941838731</v>
      </c>
      <c r="R320" s="882">
        <v>5.9000000000000057</v>
      </c>
      <c r="S320" s="1206">
        <v>-4.0636307191641539</v>
      </c>
      <c r="T320" s="351"/>
      <c r="U320" s="882">
        <v>-0.61810154525385308</v>
      </c>
      <c r="V320" s="882">
        <v>-23.990208078335368</v>
      </c>
      <c r="W320" s="882">
        <v>0.10000000000000009</v>
      </c>
      <c r="X320" s="882">
        <v>11.7</v>
      </c>
      <c r="Y320" s="882">
        <v>-27.586002798763808</v>
      </c>
      <c r="Z320" s="882">
        <v>-9.9999999999999867E-2</v>
      </c>
      <c r="AA320" s="882">
        <v>-14.01991074493648</v>
      </c>
    </row>
    <row r="321" spans="1:27" ht="14.25" customHeight="1">
      <c r="A321" s="776"/>
      <c r="B321" s="777"/>
      <c r="C321" s="778">
        <v>4</v>
      </c>
      <c r="D321" s="347">
        <v>0.83240843507214202</v>
      </c>
      <c r="E321" s="347">
        <v>1.727375140818634</v>
      </c>
      <c r="F321" s="347">
        <v>-21.654749744637389</v>
      </c>
      <c r="G321" s="347">
        <v>-9.0961207720236956</v>
      </c>
      <c r="H321" s="347">
        <v>-14.285714285714286</v>
      </c>
      <c r="I321" s="347">
        <v>-1</v>
      </c>
      <c r="J321" s="347">
        <v>-0.29999999999999716</v>
      </c>
      <c r="K321" s="351"/>
      <c r="L321" s="347">
        <v>1.0000000000000009E-2</v>
      </c>
      <c r="M321" s="347">
        <v>-0.52256196596286675</v>
      </c>
      <c r="N321" s="347">
        <v>-2.4896265560165887</v>
      </c>
      <c r="O321" s="347">
        <v>3.2683183974696983</v>
      </c>
      <c r="P321" s="347">
        <v>-4.9800796812749004</v>
      </c>
      <c r="Q321" s="882">
        <v>-9.5465393794743975E-2</v>
      </c>
      <c r="R321" s="882">
        <v>4</v>
      </c>
      <c r="S321" s="1206">
        <v>9.9948095089795412</v>
      </c>
      <c r="T321" s="351"/>
      <c r="U321" s="882">
        <v>0.88183421516754845</v>
      </c>
      <c r="V321" s="882">
        <v>1.7918676774638138</v>
      </c>
      <c r="W321" s="882">
        <v>-0.10000000000000009</v>
      </c>
      <c r="X321" s="882">
        <v>-18.899999999999999</v>
      </c>
      <c r="Y321" s="882">
        <v>-9.6542742329343429</v>
      </c>
      <c r="Z321" s="882">
        <v>2</v>
      </c>
      <c r="AA321" s="882">
        <v>4.3269404413623622</v>
      </c>
    </row>
    <row r="322" spans="1:27" ht="14.25" customHeight="1">
      <c r="A322" s="776"/>
      <c r="B322" s="777"/>
      <c r="C322" s="778">
        <v>5</v>
      </c>
      <c r="D322" s="347">
        <v>-4.280059551108824</v>
      </c>
      <c r="E322" s="347">
        <v>2.4273630011033345</v>
      </c>
      <c r="F322" s="347">
        <v>13.561131873998933</v>
      </c>
      <c r="G322" s="347">
        <v>-1.7366720516962844</v>
      </c>
      <c r="H322" s="347">
        <v>-18.803418803418804</v>
      </c>
      <c r="I322" s="347">
        <v>-2</v>
      </c>
      <c r="J322" s="347">
        <v>-0.40000000000000568</v>
      </c>
      <c r="K322" s="351"/>
      <c r="L322" s="347">
        <v>-1.0000000000000009E-2</v>
      </c>
      <c r="M322" s="347">
        <v>6.5716493685621327</v>
      </c>
      <c r="N322" s="347">
        <v>-2.553191489361708</v>
      </c>
      <c r="O322" s="347">
        <v>12.815533980582513</v>
      </c>
      <c r="P322" s="347">
        <v>8.039215686274499</v>
      </c>
      <c r="Q322" s="882">
        <v>7.0935052970981127</v>
      </c>
      <c r="R322" s="882">
        <v>-8.9000000000000057</v>
      </c>
      <c r="S322" s="1206">
        <v>-17.378409164177167</v>
      </c>
      <c r="T322" s="351"/>
      <c r="U322" s="882">
        <v>0.52539404553414559</v>
      </c>
      <c r="V322" s="882">
        <v>22.974607013301089</v>
      </c>
      <c r="W322" s="882">
        <v>0</v>
      </c>
      <c r="X322" s="882">
        <v>5.3000000000000007</v>
      </c>
      <c r="Y322" s="882">
        <v>-4.4506125574272586</v>
      </c>
      <c r="Z322" s="882">
        <v>0.39999999999999991</v>
      </c>
      <c r="AA322" s="882">
        <v>4.5095633844186809</v>
      </c>
    </row>
    <row r="323" spans="1:27" ht="14.25" customHeight="1">
      <c r="A323" s="776"/>
      <c r="B323" s="777"/>
      <c r="C323" s="778">
        <v>6</v>
      </c>
      <c r="D323" s="347">
        <v>0.75850081165333327</v>
      </c>
      <c r="E323" s="347">
        <v>-1.4641288433382138</v>
      </c>
      <c r="F323" s="347">
        <v>5.0682261208577026</v>
      </c>
      <c r="G323" s="347">
        <v>-4.456476468138276</v>
      </c>
      <c r="H323" s="347">
        <v>3.9829302987197726</v>
      </c>
      <c r="I323" s="347">
        <v>0</v>
      </c>
      <c r="J323" s="347">
        <v>-0.29999999999999716</v>
      </c>
      <c r="K323" s="351"/>
      <c r="L323" s="347">
        <v>-2.0000000000000018E-2</v>
      </c>
      <c r="M323" s="347">
        <v>-3.2206424234383538E-2</v>
      </c>
      <c r="N323" s="347">
        <v>2.553191489361708</v>
      </c>
      <c r="O323" s="347">
        <v>8.3916083916083988</v>
      </c>
      <c r="P323" s="347">
        <v>2.6046511627907081</v>
      </c>
      <c r="Q323" s="882">
        <v>-2.067415730337089</v>
      </c>
      <c r="R323" s="882">
        <v>-3.2000000000000028</v>
      </c>
      <c r="S323" s="1206">
        <v>8.2978003384094592</v>
      </c>
      <c r="T323" s="351"/>
      <c r="U323" s="882">
        <v>0</v>
      </c>
      <c r="V323" s="882">
        <v>16.059850374064833</v>
      </c>
      <c r="W323" s="882">
        <v>0.10000000000000009</v>
      </c>
      <c r="X323" s="882">
        <v>-2.5</v>
      </c>
      <c r="Y323" s="882">
        <v>1.0192404579652274</v>
      </c>
      <c r="Z323" s="882">
        <v>0.10000000000000009</v>
      </c>
      <c r="AA323" s="882">
        <v>3.3330564094043429</v>
      </c>
    </row>
    <row r="324" spans="1:27" ht="14.25" customHeight="1">
      <c r="A324" s="776"/>
      <c r="B324" s="777"/>
      <c r="C324" s="778">
        <v>7</v>
      </c>
      <c r="D324" s="347">
        <v>-2.3412218658828783</v>
      </c>
      <c r="E324" s="347">
        <v>1.1730205278592336</v>
      </c>
      <c r="F324" s="347">
        <v>-2.9908345393150104</v>
      </c>
      <c r="G324" s="347">
        <v>1.6686028091667546</v>
      </c>
      <c r="H324" s="347">
        <v>-17.437452615617893</v>
      </c>
      <c r="I324" s="347">
        <v>3</v>
      </c>
      <c r="J324" s="347">
        <v>-0.70000000000000284</v>
      </c>
      <c r="K324" s="351"/>
      <c r="L324" s="347">
        <v>-2.0000000000000018E-2</v>
      </c>
      <c r="M324" s="347">
        <v>-4.1229936182556708</v>
      </c>
      <c r="N324" s="347">
        <v>-0.8438818565400813</v>
      </c>
      <c r="O324" s="347">
        <v>-3.8477982043608381</v>
      </c>
      <c r="P324" s="347">
        <v>-1.9471488178025116</v>
      </c>
      <c r="Q324" s="882">
        <v>0.45310376076121434</v>
      </c>
      <c r="R324" s="882">
        <v>2.3000000000000114</v>
      </c>
      <c r="S324" s="1206">
        <v>12.066438690766981</v>
      </c>
      <c r="T324" s="351"/>
      <c r="U324" s="882">
        <v>8.7298123090348595E-2</v>
      </c>
      <c r="V324" s="882">
        <v>-7.1736011477761839</v>
      </c>
      <c r="W324" s="882">
        <v>0</v>
      </c>
      <c r="X324" s="882">
        <v>3.6</v>
      </c>
      <c r="Y324" s="882">
        <v>-0.72074969937593625</v>
      </c>
      <c r="Z324" s="882">
        <v>-0.30000000000000027</v>
      </c>
      <c r="AA324" s="882">
        <v>10.636750483558989</v>
      </c>
    </row>
    <row r="325" spans="1:27" ht="14.25" customHeight="1">
      <c r="A325" s="776"/>
      <c r="B325" s="777"/>
      <c r="C325" s="778">
        <v>8</v>
      </c>
      <c r="D325" s="347">
        <v>1.9110082491130547</v>
      </c>
      <c r="E325" s="347">
        <v>-0.29197080291969141</v>
      </c>
      <c r="F325" s="347">
        <v>-6.9944247339077448</v>
      </c>
      <c r="G325" s="347">
        <v>-7.1599045346062056</v>
      </c>
      <c r="H325" s="347">
        <v>26.01156069364162</v>
      </c>
      <c r="I325" s="347">
        <v>-1</v>
      </c>
      <c r="J325" s="347">
        <v>-0.59999999999999432</v>
      </c>
      <c r="K325" s="351"/>
      <c r="L325" s="347">
        <v>1.0000000000000009E-2</v>
      </c>
      <c r="M325" s="347">
        <v>-0.79295852826897162</v>
      </c>
      <c r="N325" s="347">
        <v>0.8438818565400813</v>
      </c>
      <c r="O325" s="347">
        <v>-3.4589800443459029</v>
      </c>
      <c r="P325" s="347">
        <v>-7.2780203784570601</v>
      </c>
      <c r="Q325" s="882">
        <v>-7.21311475409835</v>
      </c>
      <c r="R325" s="882">
        <v>7.3999999999999915</v>
      </c>
      <c r="S325" s="1206">
        <v>-15.634895995032593</v>
      </c>
      <c r="T325" s="351"/>
      <c r="U325" s="882">
        <v>-0.17467248908295951</v>
      </c>
      <c r="V325" s="882">
        <v>-6.7692307692307638</v>
      </c>
      <c r="W325" s="882">
        <v>-0.20000000000000018</v>
      </c>
      <c r="X325" s="882">
        <v>0</v>
      </c>
      <c r="Y325" s="882">
        <v>7.591691103182284</v>
      </c>
      <c r="Z325" s="882">
        <v>0</v>
      </c>
      <c r="AA325" s="882">
        <v>-14.287513380769465</v>
      </c>
    </row>
    <row r="326" spans="1:27" ht="14.25" customHeight="1">
      <c r="A326" s="776"/>
      <c r="B326" s="777"/>
      <c r="C326" s="778">
        <v>9</v>
      </c>
      <c r="D326" s="347">
        <v>3.5090196632188371</v>
      </c>
      <c r="E326" s="347">
        <v>0.72833211944646747</v>
      </c>
      <c r="F326" s="347">
        <v>1.6666666666666607</v>
      </c>
      <c r="G326" s="347">
        <v>13.355732885342293</v>
      </c>
      <c r="H326" s="347">
        <v>-5.924950625411455</v>
      </c>
      <c r="I326" s="347">
        <v>-1</v>
      </c>
      <c r="J326" s="347">
        <v>-0.70000000000000284</v>
      </c>
      <c r="K326" s="351"/>
      <c r="L326" s="347">
        <v>0</v>
      </c>
      <c r="M326" s="347">
        <v>-1.8581199843315288</v>
      </c>
      <c r="N326" s="347">
        <v>0.83682008368200544</v>
      </c>
      <c r="O326" s="347">
        <v>2.4955436720142581</v>
      </c>
      <c r="P326" s="347">
        <v>4.9115913555992146</v>
      </c>
      <c r="Q326" s="882">
        <v>5.6657223796033991</v>
      </c>
      <c r="R326" s="882">
        <v>-5.5</v>
      </c>
      <c r="S326" s="1206">
        <v>14.107433532284318</v>
      </c>
      <c r="T326" s="351"/>
      <c r="U326" s="882">
        <v>-0.26258205689278896</v>
      </c>
      <c r="V326" s="882">
        <v>4.6656298600311041</v>
      </c>
      <c r="W326" s="882">
        <v>0</v>
      </c>
      <c r="X326" s="882">
        <v>-1.7000000000000002</v>
      </c>
      <c r="Y326" s="882">
        <v>29.664002749849619</v>
      </c>
      <c r="Z326" s="882">
        <v>-9.9999999999999645E-2</v>
      </c>
      <c r="AA326" s="882">
        <v>-3.7266651700139906</v>
      </c>
    </row>
    <row r="327" spans="1:27" ht="14.25" customHeight="1">
      <c r="A327" s="776"/>
      <c r="B327" s="777"/>
      <c r="C327" s="778">
        <v>10</v>
      </c>
      <c r="D327" s="347">
        <v>-1.7625524110848956</v>
      </c>
      <c r="E327" s="347">
        <v>-1.9787467936973377</v>
      </c>
      <c r="F327" s="347">
        <v>11.947547353084021</v>
      </c>
      <c r="G327" s="347">
        <v>-11.556480999479438</v>
      </c>
      <c r="H327" s="347">
        <v>28.104956268221574</v>
      </c>
      <c r="I327" s="347">
        <v>-1</v>
      </c>
      <c r="J327" s="347">
        <v>2.7000000000000028</v>
      </c>
      <c r="K327" s="351"/>
      <c r="L327" s="347">
        <v>4.0000000000000036E-2</v>
      </c>
      <c r="M327" s="347">
        <v>-1.9739132215328468</v>
      </c>
      <c r="N327" s="347">
        <v>1.6528925619834653</v>
      </c>
      <c r="O327" s="347">
        <v>1.8316615787178443</v>
      </c>
      <c r="P327" s="347">
        <v>0.28721876495930798</v>
      </c>
      <c r="Q327" s="882">
        <v>-9.1869545245758868E-2</v>
      </c>
      <c r="R327" s="882">
        <v>3.2999999999999972</v>
      </c>
      <c r="S327" s="1206">
        <v>-1.6232681536798734</v>
      </c>
      <c r="T327" s="351"/>
      <c r="U327" s="882">
        <v>0</v>
      </c>
      <c r="V327" s="882">
        <v>5.1332675222112556</v>
      </c>
      <c r="W327" s="882">
        <v>0.10000000000000009</v>
      </c>
      <c r="X327" s="882">
        <v>0.30000000000000027</v>
      </c>
      <c r="Y327" s="882">
        <v>-17.001665896714403</v>
      </c>
      <c r="Z327" s="882">
        <v>9.9999999999999645E-2</v>
      </c>
      <c r="AA327" s="882">
        <v>34.197435411165735</v>
      </c>
    </row>
    <row r="328" spans="1:27" ht="14.25" customHeight="1">
      <c r="A328" s="776"/>
      <c r="B328" s="777"/>
      <c r="C328" s="778">
        <v>11</v>
      </c>
      <c r="D328" s="347">
        <v>3.3168970067365686</v>
      </c>
      <c r="E328" s="347">
        <v>0.95764272559853503</v>
      </c>
      <c r="F328" s="347">
        <v>0.27459954233410649</v>
      </c>
      <c r="G328" s="347">
        <v>7.2417465388711397</v>
      </c>
      <c r="H328" s="347">
        <v>-53.040103492884867</v>
      </c>
      <c r="I328" s="347">
        <v>5</v>
      </c>
      <c r="J328" s="347">
        <v>2.5999999999999943</v>
      </c>
      <c r="K328" s="351"/>
      <c r="L328" s="347">
        <v>2.0000000000000018E-2</v>
      </c>
      <c r="M328" s="347">
        <v>-1.2360064921553047</v>
      </c>
      <c r="N328" s="347">
        <v>4.0160642570281126</v>
      </c>
      <c r="O328" s="347">
        <v>-1.1299435028248561</v>
      </c>
      <c r="P328" s="347">
        <v>2.4551463644948144</v>
      </c>
      <c r="Q328" s="882">
        <v>0.73260073260073011</v>
      </c>
      <c r="R328" s="882">
        <v>-4.2999999999999972</v>
      </c>
      <c r="S328" s="1206">
        <v>56.800771718776609</v>
      </c>
      <c r="T328" s="351"/>
      <c r="U328" s="882">
        <v>-8.7680841736075682E-2</v>
      </c>
      <c r="V328" s="882">
        <v>-3.4263338228095934</v>
      </c>
      <c r="W328" s="882">
        <v>-0.20000000000000018</v>
      </c>
      <c r="X328" s="882">
        <v>1.9999999999999998</v>
      </c>
      <c r="Y328" s="882">
        <v>0.67244983691947835</v>
      </c>
      <c r="Z328" s="882">
        <v>-0.69999999999999973</v>
      </c>
      <c r="AA328" s="882">
        <v>-24.03326867525363</v>
      </c>
    </row>
    <row r="329" spans="1:27" ht="14.25" customHeight="1">
      <c r="A329" s="874"/>
      <c r="B329" s="875"/>
      <c r="C329" s="876">
        <v>12</v>
      </c>
      <c r="D329" s="948">
        <v>-6.9166342721843206</v>
      </c>
      <c r="E329" s="948">
        <v>-0.95764272559853503</v>
      </c>
      <c r="F329" s="948">
        <v>-1.7519594283079811</v>
      </c>
      <c r="G329" s="948">
        <v>12.830624218524575</v>
      </c>
      <c r="H329" s="948">
        <v>38.061297220242338</v>
      </c>
      <c r="I329" s="948">
        <v>-6</v>
      </c>
      <c r="J329" s="948">
        <v>2.7000000000000028</v>
      </c>
      <c r="K329" s="353"/>
      <c r="L329" s="948">
        <v>1.9999999999999796E-2</v>
      </c>
      <c r="M329" s="948">
        <v>-2.6562002758035583</v>
      </c>
      <c r="N329" s="948">
        <v>-4.0160642570281126</v>
      </c>
      <c r="O329" s="948">
        <v>-3.2874278098622858</v>
      </c>
      <c r="P329" s="948">
        <v>-2.6465028355387492</v>
      </c>
      <c r="Q329" s="949">
        <v>-8.0683436165163744</v>
      </c>
      <c r="R329" s="949">
        <v>3.7999999999999972</v>
      </c>
      <c r="S329" s="1212">
        <v>-64.048893621366176</v>
      </c>
      <c r="T329" s="353"/>
      <c r="U329" s="949">
        <v>-1.0582010582010606</v>
      </c>
      <c r="V329" s="949">
        <v>-4.7934727180010226</v>
      </c>
      <c r="W329" s="949">
        <v>0</v>
      </c>
      <c r="X329" s="949">
        <v>-2.2999999999999998</v>
      </c>
      <c r="Y329" s="949">
        <v>2.7231340475701509</v>
      </c>
      <c r="Z329" s="949">
        <v>-0.10000000000000009</v>
      </c>
      <c r="AA329" s="949">
        <v>1.1041357771538534</v>
      </c>
    </row>
    <row r="330" spans="1:27" ht="14.25" customHeight="1">
      <c r="A330" s="873" t="s">
        <v>612</v>
      </c>
      <c r="B330" s="759">
        <v>2015</v>
      </c>
      <c r="C330" s="760">
        <v>1</v>
      </c>
      <c r="D330" s="348">
        <v>7.352350058178474</v>
      </c>
      <c r="E330" s="348">
        <v>-1.4914243102162565</v>
      </c>
      <c r="F330" s="348">
        <v>1.7519594283079811</v>
      </c>
      <c r="G330" s="348">
        <v>-23.650697392359007</v>
      </c>
      <c r="H330" s="348">
        <v>-0.23980815347721823</v>
      </c>
      <c r="I330" s="348">
        <v>3</v>
      </c>
      <c r="J330" s="348">
        <v>-3.7000000000000028</v>
      </c>
      <c r="K330" s="350"/>
      <c r="L330" s="348">
        <v>1.0000000000000009E-2</v>
      </c>
      <c r="M330" s="348">
        <v>-4.4419046781761908</v>
      </c>
      <c r="N330" s="348">
        <v>7.1146245059288571</v>
      </c>
      <c r="O330" s="348">
        <v>3.1999999999999948</v>
      </c>
      <c r="P330" s="348">
        <v>3.018867924528291</v>
      </c>
      <c r="Q330" s="920">
        <v>6.968973747016717</v>
      </c>
      <c r="R330" s="920">
        <v>-5.7999999999999972</v>
      </c>
      <c r="S330" s="1209">
        <v>2.9805314224110599</v>
      </c>
      <c r="T330" s="350"/>
      <c r="U330" s="920">
        <v>-2.0600089565606781</v>
      </c>
      <c r="V330" s="920">
        <v>7.3477604428787098</v>
      </c>
      <c r="W330" s="920">
        <v>0.20000000000000018</v>
      </c>
      <c r="X330" s="920">
        <v>0.5</v>
      </c>
      <c r="Y330" s="920">
        <v>-0.328853811149033</v>
      </c>
      <c r="Z330" s="920">
        <v>-0.29999999999999982</v>
      </c>
      <c r="AA330" s="920">
        <v>-67.74186774186775</v>
      </c>
    </row>
    <row r="331" spans="1:27" ht="14.25" customHeight="1">
      <c r="A331" s="776"/>
      <c r="B331" s="777"/>
      <c r="C331" s="778">
        <v>2</v>
      </c>
      <c r="D331" s="347">
        <v>-4.3704908461570495</v>
      </c>
      <c r="E331" s="347">
        <v>0.74850299401197606</v>
      </c>
      <c r="F331" s="347">
        <v>-5.0609184629803234</v>
      </c>
      <c r="G331" s="347">
        <v>-4.213483146067416</v>
      </c>
      <c r="H331" s="347">
        <v>-6.1881188118811883</v>
      </c>
      <c r="I331" s="347">
        <v>-1</v>
      </c>
      <c r="J331" s="347">
        <v>-3.5999999999999943</v>
      </c>
      <c r="K331" s="351"/>
      <c r="L331" s="347">
        <v>0</v>
      </c>
      <c r="M331" s="347">
        <v>-0.34676093760556043</v>
      </c>
      <c r="N331" s="347">
        <v>-5.4901960784313673</v>
      </c>
      <c r="O331" s="347">
        <v>-4.838709677419347</v>
      </c>
      <c r="P331" s="347">
        <v>0.55607043558851577</v>
      </c>
      <c r="Q331" s="882">
        <v>-0.5550416281221171</v>
      </c>
      <c r="R331" s="882">
        <v>3.5</v>
      </c>
      <c r="S331" s="1206">
        <v>-15.020824936181652</v>
      </c>
      <c r="T331" s="351"/>
      <c r="U331" s="882">
        <v>1.8825638727028189</v>
      </c>
      <c r="V331" s="882">
        <v>-9.4560244026436173</v>
      </c>
      <c r="W331" s="882">
        <v>-0.10000000000000009</v>
      </c>
      <c r="X331" s="882">
        <v>0.70000000000000018</v>
      </c>
      <c r="Y331" s="882">
        <v>2.6107228838032088</v>
      </c>
      <c r="Z331" s="882">
        <v>-0.40000000000000013</v>
      </c>
      <c r="AA331" s="882">
        <v>55.368010104489606</v>
      </c>
    </row>
    <row r="332" spans="1:27" ht="14.25" customHeight="1">
      <c r="A332" s="776"/>
      <c r="B332" s="777"/>
      <c r="C332" s="778">
        <v>3</v>
      </c>
      <c r="D332" s="347">
        <v>0.20727448252364297</v>
      </c>
      <c r="E332" s="347">
        <v>-1.2757973733583405</v>
      </c>
      <c r="F332" s="347">
        <v>9.6107640557418855E-2</v>
      </c>
      <c r="G332" s="347">
        <v>9.7144807189170734</v>
      </c>
      <c r="H332" s="347">
        <v>-1.1560693641618498</v>
      </c>
      <c r="I332" s="347">
        <v>3</v>
      </c>
      <c r="J332" s="347">
        <v>-3.7000000000000028</v>
      </c>
      <c r="K332" s="351"/>
      <c r="L332" s="347">
        <v>1.0000000000000009E-2</v>
      </c>
      <c r="M332" s="347">
        <v>-0.94503178434238311</v>
      </c>
      <c r="N332" s="347">
        <v>3.1746031746031771</v>
      </c>
      <c r="O332" s="347">
        <v>1.3679890560875512</v>
      </c>
      <c r="P332" s="347">
        <v>0</v>
      </c>
      <c r="Q332" s="882">
        <v>-3.0131826741996264</v>
      </c>
      <c r="R332" s="882">
        <v>-0.89999999999999147</v>
      </c>
      <c r="S332" s="1206">
        <v>17.085160090341443</v>
      </c>
      <c r="T332" s="351"/>
      <c r="U332" s="882">
        <v>-0.44503782821539833</v>
      </c>
      <c r="V332" s="882">
        <v>2.8406102051551843</v>
      </c>
      <c r="W332" s="882">
        <v>-0.10000000000000009</v>
      </c>
      <c r="X332" s="882">
        <v>-10.9</v>
      </c>
      <c r="Y332" s="882">
        <v>13.063832949394367</v>
      </c>
      <c r="Z332" s="882">
        <v>0.40000000000000013</v>
      </c>
      <c r="AA332" s="882">
        <v>-3.0976037405026369</v>
      </c>
    </row>
    <row r="333" spans="1:27" ht="14.25" customHeight="1">
      <c r="A333" s="776"/>
      <c r="B333" s="777"/>
      <c r="C333" s="778">
        <v>4</v>
      </c>
      <c r="D333" s="347">
        <v>-2.731415592070269</v>
      </c>
      <c r="E333" s="347">
        <v>2.0926756352765192</v>
      </c>
      <c r="F333" s="347">
        <v>-6.036615536862934</v>
      </c>
      <c r="G333" s="347">
        <v>-13.974001857010213</v>
      </c>
      <c r="H333" s="347">
        <v>3.5532994923857868</v>
      </c>
      <c r="I333" s="347">
        <v>-1</v>
      </c>
      <c r="J333" s="347">
        <v>0</v>
      </c>
      <c r="K333" s="351"/>
      <c r="L333" s="347">
        <v>3.0000000000000027E-2</v>
      </c>
      <c r="M333" s="347">
        <v>-2.4781290701829204</v>
      </c>
      <c r="N333" s="347">
        <v>-0.78431372549020717</v>
      </c>
      <c r="O333" s="347">
        <v>-3.2213529682466633</v>
      </c>
      <c r="P333" s="347">
        <v>-2.2429906542056126</v>
      </c>
      <c r="Q333" s="882">
        <v>5.3953488372093128</v>
      </c>
      <c r="R333" s="882">
        <v>0.79999999999999716</v>
      </c>
      <c r="S333" s="1206">
        <v>43.213765972077844</v>
      </c>
      <c r="T333" s="351"/>
      <c r="U333" s="882">
        <v>0.2672605790645981</v>
      </c>
      <c r="V333" s="882">
        <v>-7.3118279569892595</v>
      </c>
      <c r="W333" s="882">
        <v>0</v>
      </c>
      <c r="X333" s="882">
        <v>18.100000000000001</v>
      </c>
      <c r="Y333" s="882">
        <v>-3.8727760238499704</v>
      </c>
      <c r="Z333" s="882">
        <v>-2</v>
      </c>
      <c r="AA333" s="882">
        <v>16.017884874652292</v>
      </c>
    </row>
    <row r="334" spans="1:27" ht="14.25" customHeight="1">
      <c r="A334" s="776"/>
      <c r="B334" s="777"/>
      <c r="C334" s="778">
        <v>5</v>
      </c>
      <c r="D334" s="347">
        <v>1.2830538419208077</v>
      </c>
      <c r="E334" s="347">
        <v>0.22164758034725629</v>
      </c>
      <c r="F334" s="347">
        <v>4</v>
      </c>
      <c r="G334" s="347">
        <v>7.1471543737215741</v>
      </c>
      <c r="H334" s="347">
        <v>-7.1013557133634606</v>
      </c>
      <c r="I334" s="347">
        <v>-3</v>
      </c>
      <c r="J334" s="347">
        <v>0</v>
      </c>
      <c r="K334" s="351"/>
      <c r="L334" s="347">
        <v>0</v>
      </c>
      <c r="M334" s="347">
        <v>0.30530792984910243</v>
      </c>
      <c r="N334" s="347">
        <v>3.8610038610038613</v>
      </c>
      <c r="O334" s="347">
        <v>8.0789946140035909</v>
      </c>
      <c r="P334" s="347">
        <v>-3.6573628488931638</v>
      </c>
      <c r="Q334" s="882">
        <v>-9.4876660341555965</v>
      </c>
      <c r="R334" s="882">
        <v>1.7000000000000028</v>
      </c>
      <c r="S334" s="1206">
        <v>-44.460875715296083</v>
      </c>
      <c r="T334" s="351"/>
      <c r="U334" s="882">
        <v>-0.53523639607494078</v>
      </c>
      <c r="V334" s="882">
        <v>14.300518134715038</v>
      </c>
      <c r="W334" s="882">
        <v>-0.10000000000000009</v>
      </c>
      <c r="X334" s="882">
        <v>-1.6999999999999997</v>
      </c>
      <c r="Y334" s="882">
        <v>-6.4772181307665821</v>
      </c>
      <c r="Z334" s="882">
        <v>0.2</v>
      </c>
      <c r="AA334" s="882">
        <v>-10.727841779316767</v>
      </c>
    </row>
    <row r="335" spans="1:27" ht="14.25" customHeight="1">
      <c r="A335" s="776"/>
      <c r="B335" s="777"/>
      <c r="C335" s="778">
        <v>6</v>
      </c>
      <c r="D335" s="347">
        <v>9.4923054796495959E-2</v>
      </c>
      <c r="E335" s="347">
        <v>-0.8895478131949508</v>
      </c>
      <c r="F335" s="347">
        <v>-4.3064596895342993</v>
      </c>
      <c r="G335" s="347">
        <v>1.4760147601476015</v>
      </c>
      <c r="H335" s="347">
        <v>11.482649842271293</v>
      </c>
      <c r="I335" s="347">
        <v>3</v>
      </c>
      <c r="J335" s="347">
        <v>0</v>
      </c>
      <c r="K335" s="351"/>
      <c r="L335" s="347">
        <v>1.0000000000000009E-2</v>
      </c>
      <c r="M335" s="347">
        <v>3.6170869083389539</v>
      </c>
      <c r="N335" s="347">
        <v>-2.2988505747126355</v>
      </c>
      <c r="O335" s="347">
        <v>-7.1492403932082214</v>
      </c>
      <c r="P335" s="347">
        <v>1.0726474890297362</v>
      </c>
      <c r="Q335" s="882">
        <v>-0.39920159680639289</v>
      </c>
      <c r="R335" s="882">
        <v>-1.4000000000000057</v>
      </c>
      <c r="S335" s="1206">
        <v>-15.942869895112691</v>
      </c>
      <c r="T335" s="351"/>
      <c r="U335" s="882">
        <v>0</v>
      </c>
      <c r="V335" s="882">
        <v>-11.993849308047157</v>
      </c>
      <c r="W335" s="882">
        <v>0.10000000000000009</v>
      </c>
      <c r="X335" s="882">
        <v>-4.3</v>
      </c>
      <c r="Y335" s="882">
        <v>15.113711722254729</v>
      </c>
      <c r="Z335" s="882">
        <v>-0.30000000000000004</v>
      </c>
      <c r="AA335" s="882">
        <v>6.2673596319331901</v>
      </c>
    </row>
    <row r="336" spans="1:27" ht="14.25" customHeight="1">
      <c r="A336" s="776"/>
      <c r="B336" s="777"/>
      <c r="C336" s="778">
        <v>7</v>
      </c>
      <c r="D336" s="347">
        <v>1.6085102742167805</v>
      </c>
      <c r="E336" s="347">
        <v>1.6980435585086624</v>
      </c>
      <c r="F336" s="347">
        <v>2.2267206477732819</v>
      </c>
      <c r="G336" s="347">
        <v>-4.0883074407195421</v>
      </c>
      <c r="H336" s="347">
        <v>-21.693121693121693</v>
      </c>
      <c r="I336" s="347">
        <v>-4</v>
      </c>
      <c r="J336" s="347">
        <v>-0.29999999999999716</v>
      </c>
      <c r="K336" s="351"/>
      <c r="L336" s="347">
        <v>2.0000000000000018E-2</v>
      </c>
      <c r="M336" s="347">
        <v>-1.6131404201405031</v>
      </c>
      <c r="N336" s="347">
        <v>2.2988505747126355</v>
      </c>
      <c r="O336" s="347">
        <v>-1.6822429906542162</v>
      </c>
      <c r="P336" s="347">
        <v>0.19379844961240589</v>
      </c>
      <c r="Q336" s="882">
        <v>0.59820538384844901</v>
      </c>
      <c r="R336" s="882">
        <v>-9.9999999999994316E-2</v>
      </c>
      <c r="S336" s="1206">
        <v>18.286771833964924</v>
      </c>
      <c r="T336" s="351"/>
      <c r="U336" s="882">
        <v>8.9405453732685325E-2</v>
      </c>
      <c r="V336" s="882">
        <v>-4.9162011173184421</v>
      </c>
      <c r="W336" s="882">
        <v>-0.10000000000000009</v>
      </c>
      <c r="X336" s="882">
        <v>1.3</v>
      </c>
      <c r="Y336" s="882">
        <v>-36.960071503463446</v>
      </c>
      <c r="Z336" s="882">
        <v>0</v>
      </c>
      <c r="AA336" s="882">
        <v>-4.576643569376361</v>
      </c>
    </row>
    <row r="337" spans="1:27" ht="14.25" customHeight="1">
      <c r="A337" s="776"/>
      <c r="B337" s="777"/>
      <c r="C337" s="778">
        <v>8</v>
      </c>
      <c r="D337" s="347">
        <v>-1.3199957281691748</v>
      </c>
      <c r="E337" s="347">
        <v>-2.595476455320727</v>
      </c>
      <c r="F337" s="347">
        <v>15.171137835337642</v>
      </c>
      <c r="G337" s="347">
        <v>4.4993588996386524</v>
      </c>
      <c r="H337" s="347">
        <v>13.296398891966758</v>
      </c>
      <c r="I337" s="347">
        <v>4</v>
      </c>
      <c r="J337" s="347">
        <v>-0.40000000000000568</v>
      </c>
      <c r="K337" s="351"/>
      <c r="L337" s="347">
        <v>3.0000000000000027E-2</v>
      </c>
      <c r="M337" s="347">
        <v>0.9036828481903677</v>
      </c>
      <c r="N337" s="347">
        <v>0.75471698113208618</v>
      </c>
      <c r="O337" s="347">
        <v>4.3337943752881545</v>
      </c>
      <c r="P337" s="347">
        <v>0.48285852245292132</v>
      </c>
      <c r="Q337" s="882">
        <v>-3.9533705017739393</v>
      </c>
      <c r="R337" s="882">
        <v>2.2999999999999972</v>
      </c>
      <c r="S337" s="1206">
        <v>2.2079814737178225</v>
      </c>
      <c r="T337" s="351"/>
      <c r="U337" s="882">
        <v>0</v>
      </c>
      <c r="V337" s="882">
        <v>9.4926350245499194</v>
      </c>
      <c r="W337" s="882">
        <v>0.10000000000000009</v>
      </c>
      <c r="X337" s="882">
        <v>-0.7</v>
      </c>
      <c r="Y337" s="882">
        <v>8.280459684930884</v>
      </c>
      <c r="Z337" s="882">
        <v>-0.2</v>
      </c>
      <c r="AA337" s="882">
        <v>7.5302107260561204</v>
      </c>
    </row>
    <row r="338" spans="1:27" ht="14.25" customHeight="1">
      <c r="A338" s="776"/>
      <c r="B338" s="777"/>
      <c r="C338" s="778">
        <v>9</v>
      </c>
      <c r="D338" s="347">
        <v>-5.7100733478308836</v>
      </c>
      <c r="E338" s="347">
        <v>-1.7430845017051786</v>
      </c>
      <c r="F338" s="347">
        <v>2.6304624522698421</v>
      </c>
      <c r="G338" s="347">
        <v>-3.1260854463355332</v>
      </c>
      <c r="H338" s="347">
        <v>-19.373219373219374</v>
      </c>
      <c r="I338" s="347">
        <v>-3</v>
      </c>
      <c r="J338" s="347">
        <v>-0.29999999999999716</v>
      </c>
      <c r="K338" s="351"/>
      <c r="L338" s="347">
        <v>-3.0000000000000027E-2</v>
      </c>
      <c r="M338" s="347">
        <v>-2.0229234211607916</v>
      </c>
      <c r="N338" s="347">
        <v>-3.0534351145038192</v>
      </c>
      <c r="O338" s="347">
        <v>-6.8128791413905718</v>
      </c>
      <c r="P338" s="347">
        <v>-0.67665538907685152</v>
      </c>
      <c r="Q338" s="882">
        <v>-0.10346611484739629</v>
      </c>
      <c r="R338" s="882">
        <v>1</v>
      </c>
      <c r="S338" s="1206">
        <v>3.5988520902815555</v>
      </c>
      <c r="T338" s="351"/>
      <c r="U338" s="882">
        <v>0.26773761713520494</v>
      </c>
      <c r="V338" s="882">
        <v>-9.9507927829414911</v>
      </c>
      <c r="W338" s="882">
        <v>0</v>
      </c>
      <c r="X338" s="882">
        <v>-1.1000000000000001</v>
      </c>
      <c r="Y338" s="882">
        <v>-19.873117025362369</v>
      </c>
      <c r="Z338" s="882">
        <v>-0.19999999999999998</v>
      </c>
      <c r="AA338" s="882">
        <v>-17.926309165909256</v>
      </c>
    </row>
    <row r="339" spans="1:27" ht="14.25" customHeight="1">
      <c r="A339" s="776"/>
      <c r="B339" s="777"/>
      <c r="C339" s="778">
        <v>10</v>
      </c>
      <c r="D339" s="347">
        <v>3.0944394223513774</v>
      </c>
      <c r="E339" s="347">
        <v>1.2913026965438577</v>
      </c>
      <c r="F339" s="347">
        <v>-17.982656321314469</v>
      </c>
      <c r="G339" s="347">
        <v>1.6563630001166454</v>
      </c>
      <c r="H339" s="347">
        <v>-9.5867768595041323</v>
      </c>
      <c r="I339" s="347">
        <v>2</v>
      </c>
      <c r="J339" s="347">
        <v>-0.70000000000000284</v>
      </c>
      <c r="K339" s="351"/>
      <c r="L339" s="347">
        <v>0</v>
      </c>
      <c r="M339" s="347">
        <v>7.8391589043614235E-2</v>
      </c>
      <c r="N339" s="347">
        <v>0</v>
      </c>
      <c r="O339" s="347">
        <v>5.359661495063472</v>
      </c>
      <c r="P339" s="347">
        <v>-9.7040271712755283E-2</v>
      </c>
      <c r="Q339" s="882">
        <v>1.2345679012345709</v>
      </c>
      <c r="R339" s="882">
        <v>-0.29999999999999716</v>
      </c>
      <c r="S339" s="1206">
        <v>-15.499548477136523</v>
      </c>
      <c r="T339" s="351"/>
      <c r="U339" s="882">
        <v>8.9086859688190925E-2</v>
      </c>
      <c r="V339" s="882">
        <v>8.484848484848472</v>
      </c>
      <c r="W339" s="882">
        <v>-0.19999999999999973</v>
      </c>
      <c r="X339" s="882">
        <v>4.2</v>
      </c>
      <c r="Y339" s="882">
        <v>17.355292929839269</v>
      </c>
      <c r="Z339" s="882">
        <v>-0.39999999999999997</v>
      </c>
      <c r="AA339" s="882">
        <v>14.914447149126714</v>
      </c>
    </row>
    <row r="340" spans="1:27" ht="14.25" customHeight="1">
      <c r="A340" s="776"/>
      <c r="B340" s="777"/>
      <c r="C340" s="778">
        <v>11</v>
      </c>
      <c r="D340" s="347">
        <v>-4.6647493713580204</v>
      </c>
      <c r="E340" s="347">
        <v>-3.7677816224529068</v>
      </c>
      <c r="F340" s="347">
        <v>-5.2496139989706725</v>
      </c>
      <c r="G340" s="347">
        <v>-1.9390258147412684</v>
      </c>
      <c r="H340" s="347">
        <v>15.384615384615385</v>
      </c>
      <c r="I340" s="347">
        <v>-1</v>
      </c>
      <c r="J340" s="347">
        <v>-0.59999999999999432</v>
      </c>
      <c r="K340" s="351"/>
      <c r="L340" s="347">
        <v>-1.0000000000000009E-2</v>
      </c>
      <c r="M340" s="347">
        <v>0.40481173954045507</v>
      </c>
      <c r="N340" s="347">
        <v>-0.77821011673151463</v>
      </c>
      <c r="O340" s="347">
        <v>-9.5969289827255277</v>
      </c>
      <c r="P340" s="347">
        <v>-3.4567901234567899</v>
      </c>
      <c r="Q340" s="882">
        <v>-5.6782334384857949</v>
      </c>
      <c r="R340" s="882">
        <v>4.1999999999999886</v>
      </c>
      <c r="S340" s="1206">
        <v>12.634694345442796</v>
      </c>
      <c r="T340" s="351"/>
      <c r="U340" s="882">
        <v>-0.35682426404994783</v>
      </c>
      <c r="V340" s="882">
        <v>-15.489749430523913</v>
      </c>
      <c r="W340" s="882">
        <v>9.9999999999999645E-2</v>
      </c>
      <c r="X340" s="882">
        <v>-5.5</v>
      </c>
      <c r="Y340" s="882">
        <v>-5.7581534585956717</v>
      </c>
      <c r="Z340" s="882">
        <v>0.7</v>
      </c>
      <c r="AA340" s="882">
        <v>-6.430692562378403</v>
      </c>
    </row>
    <row r="341" spans="1:27" ht="14.25" customHeight="1">
      <c r="A341" s="874"/>
      <c r="B341" s="875"/>
      <c r="C341" s="876">
        <v>12</v>
      </c>
      <c r="D341" s="347">
        <v>6.1142289211546998</v>
      </c>
      <c r="E341" s="347">
        <v>1.6323357947920674</v>
      </c>
      <c r="F341" s="347">
        <v>-7.5699396599012516</v>
      </c>
      <c r="G341" s="347">
        <v>1.6146016146016147</v>
      </c>
      <c r="H341" s="349">
        <v>11.632796075683251</v>
      </c>
      <c r="I341" s="349">
        <v>1</v>
      </c>
      <c r="J341" s="347">
        <v>-0.70000000000000284</v>
      </c>
      <c r="K341" s="353"/>
      <c r="L341" s="347">
        <v>0</v>
      </c>
      <c r="M341" s="347">
        <v>2.2200027239297269</v>
      </c>
      <c r="N341" s="347">
        <v>3.076923076923066</v>
      </c>
      <c r="O341" s="347">
        <v>3.4670629024269441</v>
      </c>
      <c r="P341" s="347">
        <v>0.9004502251125619</v>
      </c>
      <c r="Q341" s="882">
        <v>4.7543581616481774</v>
      </c>
      <c r="R341" s="882">
        <v>0.10000000000000853</v>
      </c>
      <c r="S341" s="1206">
        <v>30.559707689752532</v>
      </c>
      <c r="T341" s="353"/>
      <c r="U341" s="882">
        <v>0.35682426404994783</v>
      </c>
      <c r="V341" s="882">
        <v>5.7553956834532336</v>
      </c>
      <c r="W341" s="882">
        <v>0</v>
      </c>
      <c r="X341" s="882">
        <v>3.6</v>
      </c>
      <c r="Y341" s="882">
        <v>5.5341209277529639</v>
      </c>
      <c r="Z341" s="882">
        <v>-0.2</v>
      </c>
      <c r="AA341" s="882">
        <v>12.631126823385596</v>
      </c>
    </row>
    <row r="342" spans="1:27" ht="14.25" customHeight="1">
      <c r="A342" s="873" t="s">
        <v>628</v>
      </c>
      <c r="B342" s="759">
        <v>2016</v>
      </c>
      <c r="C342" s="760">
        <v>1</v>
      </c>
      <c r="D342" s="348">
        <v>-0.35884733007416403</v>
      </c>
      <c r="E342" s="348">
        <v>-0.92951200619673791</v>
      </c>
      <c r="F342" s="348">
        <v>0.34149117814456137</v>
      </c>
      <c r="G342" s="348">
        <v>-2.4198284975919182</v>
      </c>
      <c r="H342" s="348">
        <v>-0.26525198938992045</v>
      </c>
      <c r="I342" s="348">
        <v>-2</v>
      </c>
      <c r="J342" s="348">
        <v>0</v>
      </c>
      <c r="K342" s="350"/>
      <c r="L342" s="348">
        <v>1.0000000000000009E-2</v>
      </c>
      <c r="M342" s="348">
        <v>0.69354333527227163</v>
      </c>
      <c r="N342" s="348">
        <v>-2.2988505747126355</v>
      </c>
      <c r="O342" s="348">
        <v>-2.364532019704439</v>
      </c>
      <c r="P342" s="348">
        <v>-0.9004502251125619</v>
      </c>
      <c r="Q342" s="920">
        <v>3.2487309644669935</v>
      </c>
      <c r="R342" s="920">
        <v>2.0999999999999943</v>
      </c>
      <c r="S342" s="1209">
        <v>-13.028466201181615</v>
      </c>
      <c r="T342" s="350"/>
      <c r="U342" s="920">
        <v>0.17793594306050073</v>
      </c>
      <c r="V342" s="920">
        <v>-3.4380557202133866</v>
      </c>
      <c r="W342" s="920">
        <v>-9.9999999999999645E-2</v>
      </c>
      <c r="X342" s="920">
        <v>1.2999999999999998</v>
      </c>
      <c r="Y342" s="920">
        <v>10.142889386599997</v>
      </c>
      <c r="Z342" s="920">
        <v>0.2</v>
      </c>
      <c r="AA342" s="882">
        <v>-13.935243667309365</v>
      </c>
    </row>
    <row r="343" spans="1:27" ht="14.25" customHeight="1">
      <c r="A343" s="776"/>
      <c r="B343" s="777"/>
      <c r="C343" s="778">
        <v>2</v>
      </c>
      <c r="D343" s="347">
        <v>1.9485760405857233</v>
      </c>
      <c r="E343" s="347">
        <v>0.15552099533436131</v>
      </c>
      <c r="F343" s="347">
        <v>-20.137585991244521</v>
      </c>
      <c r="G343" s="347">
        <v>-1.8238540916726662</v>
      </c>
      <c r="H343" s="347">
        <v>7.539936102236422</v>
      </c>
      <c r="I343" s="347">
        <v>0</v>
      </c>
      <c r="J343" s="347">
        <v>0</v>
      </c>
      <c r="K343" s="351"/>
      <c r="L343" s="347">
        <v>4.0000000000000036E-2</v>
      </c>
      <c r="M343" s="347">
        <v>3.1813594277941109</v>
      </c>
      <c r="N343" s="347">
        <v>0.77220077220076955</v>
      </c>
      <c r="O343" s="347">
        <v>7.3931829092654846</v>
      </c>
      <c r="P343" s="347">
        <v>-1.2133468149646136</v>
      </c>
      <c r="Q343" s="882">
        <v>-2.0181634712411705</v>
      </c>
      <c r="R343" s="882">
        <v>1.7000000000000028</v>
      </c>
      <c r="S343" s="1206">
        <v>-16.016878534829701</v>
      </c>
      <c r="T343" s="351"/>
      <c r="U343" s="882">
        <v>-0.35618878005343341</v>
      </c>
      <c r="V343" s="882">
        <v>12.972363226170332</v>
      </c>
      <c r="W343" s="882">
        <v>9.9999999999999645E-2</v>
      </c>
      <c r="X343" s="882">
        <v>-0.29999999999999982</v>
      </c>
      <c r="Y343" s="882">
        <v>6.4550079953481614</v>
      </c>
      <c r="Z343" s="882">
        <v>-0.1</v>
      </c>
      <c r="AA343" s="882">
        <v>0.24268379728765818</v>
      </c>
    </row>
    <row r="344" spans="1:27" ht="14.25" customHeight="1">
      <c r="A344" s="776"/>
      <c r="B344" s="777"/>
      <c r="C344" s="778">
        <v>3</v>
      </c>
      <c r="D344" s="347">
        <v>9.4160615182691046E-2</v>
      </c>
      <c r="E344" s="347">
        <v>-1.3296832225263893</v>
      </c>
      <c r="F344" s="347">
        <v>14.451612903225792</v>
      </c>
      <c r="G344" s="347">
        <v>-2.8992628992628995</v>
      </c>
      <c r="H344" s="347">
        <v>-30.845771144278608</v>
      </c>
      <c r="I344" s="347">
        <v>3</v>
      </c>
      <c r="J344" s="347">
        <v>0</v>
      </c>
      <c r="K344" s="351"/>
      <c r="L344" s="347">
        <v>-1.0000000000000009E-2</v>
      </c>
      <c r="M344" s="347">
        <v>-2.0884024921166584</v>
      </c>
      <c r="N344" s="347">
        <v>0</v>
      </c>
      <c r="O344" s="347">
        <v>-9.7087378640776691</v>
      </c>
      <c r="P344" s="347">
        <v>1.7145738779626856</v>
      </c>
      <c r="Q344" s="882">
        <v>2.2177419354838741</v>
      </c>
      <c r="R344" s="882">
        <v>-1.5</v>
      </c>
      <c r="S344" s="1206">
        <v>2.0826975892584643</v>
      </c>
      <c r="T344" s="351"/>
      <c r="U344" s="882">
        <v>8.916629514044451E-2</v>
      </c>
      <c r="V344" s="882">
        <v>-14.789533560864617</v>
      </c>
      <c r="W344" s="882">
        <v>-9.9999999999999645E-2</v>
      </c>
      <c r="X344" s="882">
        <v>-2.7</v>
      </c>
      <c r="Y344" s="882">
        <v>-2.907446062232204</v>
      </c>
      <c r="Z344" s="882">
        <v>0</v>
      </c>
      <c r="AA344" s="882">
        <v>24.239576480907171</v>
      </c>
    </row>
    <row r="345" spans="1:27" ht="14.25" customHeight="1">
      <c r="A345" s="776"/>
      <c r="B345" s="777"/>
      <c r="C345" s="778">
        <v>4</v>
      </c>
      <c r="D345" s="347">
        <v>-5.7219969050465398</v>
      </c>
      <c r="E345" s="347">
        <v>2.8715560729530374</v>
      </c>
      <c r="F345" s="347">
        <v>9.075244112578984</v>
      </c>
      <c r="G345" s="347">
        <v>6.2552831783601013</v>
      </c>
      <c r="H345" s="347">
        <v>3.3057851239669422</v>
      </c>
      <c r="I345" s="347">
        <v>-1</v>
      </c>
      <c r="J345" s="347">
        <v>-3</v>
      </c>
      <c r="K345" s="351"/>
      <c r="L345" s="347">
        <v>2.0000000000000018E-2</v>
      </c>
      <c r="M345" s="347">
        <v>0.30606290803799663</v>
      </c>
      <c r="N345" s="347">
        <v>-1.5503875968992193</v>
      </c>
      <c r="O345" s="347">
        <v>3.5087719298245612</v>
      </c>
      <c r="P345" s="347">
        <v>1.1928429423459272</v>
      </c>
      <c r="Q345" s="882">
        <v>0.4972650422675286</v>
      </c>
      <c r="R345" s="882">
        <v>-2.2999999999999972</v>
      </c>
      <c r="S345" s="1206">
        <v>-2.3103507532507206</v>
      </c>
      <c r="T345" s="351"/>
      <c r="U345" s="882">
        <v>-0.62583817612874637</v>
      </c>
      <c r="V345" s="882">
        <v>2.9055690072639124</v>
      </c>
      <c r="W345" s="882">
        <v>0</v>
      </c>
      <c r="X345" s="882">
        <v>1.6</v>
      </c>
      <c r="Y345" s="882">
        <v>1.3575898604107328</v>
      </c>
      <c r="Z345" s="882">
        <v>-0.30000000000000004</v>
      </c>
      <c r="AA345" s="882">
        <v>-12.936714508812363</v>
      </c>
    </row>
    <row r="346" spans="1:27" ht="14.25" customHeight="1" thickBot="1">
      <c r="A346" s="776"/>
      <c r="B346" s="777"/>
      <c r="C346" s="778">
        <v>5</v>
      </c>
      <c r="D346" s="347">
        <v>8.2519001085776331</v>
      </c>
      <c r="E346" s="347">
        <v>-4.2985541227041715</v>
      </c>
      <c r="F346" s="347">
        <v>7.3054526204340977</v>
      </c>
      <c r="G346" s="347">
        <v>-7.735344198491851</v>
      </c>
      <c r="H346" s="347">
        <v>25.902335456475583</v>
      </c>
      <c r="I346" s="347">
        <v>-1</v>
      </c>
      <c r="J346" s="347">
        <v>-3</v>
      </c>
      <c r="K346" s="351"/>
      <c r="L346" s="347">
        <v>0</v>
      </c>
      <c r="M346" s="347">
        <v>-1.2610619469026549</v>
      </c>
      <c r="N346" s="347">
        <v>0</v>
      </c>
      <c r="O346" s="347">
        <v>-2.0905923344947679</v>
      </c>
      <c r="P346" s="347">
        <v>-0.79365079365079072</v>
      </c>
      <c r="Q346" s="882">
        <v>-1.0972568578553559</v>
      </c>
      <c r="R346" s="1131">
        <v>2.0999999999999943</v>
      </c>
      <c r="S346" s="1206">
        <v>-7.4911320868153704</v>
      </c>
      <c r="T346" s="351"/>
      <c r="U346" s="1131">
        <v>-0.26942074539739308</v>
      </c>
      <c r="V346" s="882">
        <v>-0.11940298507462008</v>
      </c>
      <c r="W346" s="882">
        <v>0</v>
      </c>
      <c r="X346" s="882">
        <v>-9.9999999999999978E-2</v>
      </c>
      <c r="Y346" s="882">
        <v>2.4784131149949218</v>
      </c>
      <c r="Z346" s="882">
        <v>-0.5</v>
      </c>
      <c r="AA346" s="882">
        <v>11.175834734566413</v>
      </c>
    </row>
    <row r="347" spans="1:27" ht="14.25" customHeight="1" thickTop="1">
      <c r="A347" s="776"/>
      <c r="B347" s="777"/>
      <c r="C347" s="778">
        <v>6</v>
      </c>
      <c r="D347" s="347">
        <v>-3.5128424596971026</v>
      </c>
      <c r="E347" s="347">
        <v>1.4274385408406005</v>
      </c>
      <c r="F347" s="347">
        <v>-16.47318960751797</v>
      </c>
      <c r="G347" s="347">
        <v>2.5974025974025974</v>
      </c>
      <c r="H347" s="347">
        <v>1.1214953271028036</v>
      </c>
      <c r="I347" s="347">
        <v>4</v>
      </c>
      <c r="J347" s="347">
        <v>-3</v>
      </c>
      <c r="K347" s="351"/>
      <c r="L347" s="347">
        <v>2.0000000000000018E-2</v>
      </c>
      <c r="M347" s="347">
        <v>4.0891990622103487</v>
      </c>
      <c r="N347" s="347">
        <v>2.3166023166023084</v>
      </c>
      <c r="O347" s="347">
        <v>-1.3164556962025431</v>
      </c>
      <c r="P347" s="347">
        <v>-2.2155085599194386</v>
      </c>
      <c r="Q347" s="882">
        <v>-1.3124684502776345</v>
      </c>
      <c r="R347" s="885">
        <v>2.1000000000000085</v>
      </c>
      <c r="S347" s="1206">
        <v>1.0150181253236665</v>
      </c>
      <c r="T347" s="351"/>
      <c r="U347" s="885">
        <v>-0.27014858171994338</v>
      </c>
      <c r="V347" s="882">
        <v>-4.1463414634146414</v>
      </c>
      <c r="W347" s="882">
        <v>-0.10000000000000009</v>
      </c>
      <c r="X347" s="882">
        <v>-3.5</v>
      </c>
      <c r="Y347" s="882">
        <v>-10.020673114255951</v>
      </c>
      <c r="Z347" s="882">
        <v>0.5</v>
      </c>
      <c r="AA347" s="882">
        <v>-7.5090359224017114</v>
      </c>
    </row>
    <row r="348" spans="1:27" ht="14.25" customHeight="1">
      <c r="A348" s="776"/>
      <c r="B348" s="777"/>
      <c r="C348" s="778">
        <v>7</v>
      </c>
      <c r="D348" s="347">
        <v>-1.4110549557323229</v>
      </c>
      <c r="E348" s="347">
        <v>0.70615927814829793</v>
      </c>
      <c r="F348" s="347">
        <v>0.95923261390886938</v>
      </c>
      <c r="G348" s="347">
        <v>3.726106944108396</v>
      </c>
      <c r="H348" s="347">
        <v>-9.2028515878159425</v>
      </c>
      <c r="I348" s="347">
        <v>-4</v>
      </c>
      <c r="J348" s="347">
        <v>0</v>
      </c>
      <c r="K348" s="351"/>
      <c r="L348" s="347">
        <v>1.0000000000000009E-2</v>
      </c>
      <c r="M348" s="347">
        <v>-1.2819409790931853</v>
      </c>
      <c r="N348" s="347">
        <v>0</v>
      </c>
      <c r="O348" s="347">
        <v>1.6177957532861562</v>
      </c>
      <c r="P348" s="347">
        <v>-0.10188487009679931</v>
      </c>
      <c r="Q348" s="882">
        <v>-0.71392146863845263</v>
      </c>
      <c r="R348" s="882">
        <v>1</v>
      </c>
      <c r="S348" s="1206">
        <v>-15.256981877065728</v>
      </c>
      <c r="T348" s="351"/>
      <c r="U348" s="882">
        <v>0.18018018018016993</v>
      </c>
      <c r="V348" s="882">
        <v>2.3384615384615453</v>
      </c>
      <c r="W348" s="882">
        <v>-0.10000000000000009</v>
      </c>
      <c r="X348" s="882">
        <v>3.8</v>
      </c>
      <c r="Y348" s="882">
        <v>6.938323367558425</v>
      </c>
      <c r="Z348" s="882">
        <v>-0.19999999999999996</v>
      </c>
      <c r="AA348" s="882">
        <v>2.7692121651853165</v>
      </c>
    </row>
    <row r="349" spans="1:27" ht="14.25" customHeight="1">
      <c r="A349" s="776"/>
      <c r="B349" s="777"/>
      <c r="C349" s="778">
        <v>8</v>
      </c>
      <c r="D349" s="347">
        <v>0.41829112770997601</v>
      </c>
      <c r="E349" s="347">
        <v>-4.5581767293082782</v>
      </c>
      <c r="F349" s="347">
        <v>0.8318478906714234</v>
      </c>
      <c r="G349" s="347">
        <v>0.82791247782377286</v>
      </c>
      <c r="H349" s="347">
        <v>-14.89051094890511</v>
      </c>
      <c r="I349" s="347">
        <v>1</v>
      </c>
      <c r="J349" s="347">
        <v>0</v>
      </c>
      <c r="K349" s="351"/>
      <c r="L349" s="347">
        <v>-1.0000000000000009E-2</v>
      </c>
      <c r="M349" s="347">
        <v>3.7929789538513892</v>
      </c>
      <c r="N349" s="347">
        <v>-3.1007751937984529</v>
      </c>
      <c r="O349" s="347">
        <v>-1.8218623481781346</v>
      </c>
      <c r="P349" s="347">
        <v>2.6156941649899479</v>
      </c>
      <c r="Q349" s="882">
        <v>2.4266936299292126</v>
      </c>
      <c r="R349" s="882">
        <v>-2.8000000000000114</v>
      </c>
      <c r="S349" s="1206">
        <v>23.27752668321769</v>
      </c>
      <c r="T349" s="351"/>
      <c r="U349" s="882">
        <v>8.9968511021150263E-2</v>
      </c>
      <c r="V349" s="882">
        <v>0</v>
      </c>
      <c r="W349" s="882">
        <v>0.10000000000000009</v>
      </c>
      <c r="X349" s="882">
        <v>-4.3</v>
      </c>
      <c r="Y349" s="882">
        <v>-3.2817863635765301</v>
      </c>
      <c r="Z349" s="882">
        <v>0</v>
      </c>
      <c r="AA349" s="882">
        <v>-4.1330614480932448</v>
      </c>
    </row>
    <row r="350" spans="1:27" ht="14.25" customHeight="1">
      <c r="A350" s="776"/>
      <c r="B350" s="777"/>
      <c r="C350" s="778">
        <v>9</v>
      </c>
      <c r="D350" s="347">
        <v>3.8848797740950913</v>
      </c>
      <c r="E350" s="347">
        <v>5.646123260437383</v>
      </c>
      <c r="F350" s="347">
        <v>1.9917984768599917</v>
      </c>
      <c r="G350" s="347">
        <v>2.8561476837338908</v>
      </c>
      <c r="H350" s="347">
        <v>-15.097540288379983</v>
      </c>
      <c r="I350" s="347">
        <v>-1</v>
      </c>
      <c r="J350" s="347">
        <v>0</v>
      </c>
      <c r="K350" s="351"/>
      <c r="L350" s="347">
        <v>1.0000000000000009E-2</v>
      </c>
      <c r="M350" s="347">
        <v>-6.3589346580217807</v>
      </c>
      <c r="N350" s="347">
        <v>6.8441064638783295</v>
      </c>
      <c r="O350" s="347">
        <v>1.4198782961460361</v>
      </c>
      <c r="P350" s="347">
        <v>1.57635467980295</v>
      </c>
      <c r="Q350" s="882">
        <v>1.487357461576599</v>
      </c>
      <c r="R350" s="882">
        <v>-3.5999999999999943</v>
      </c>
      <c r="S350" s="1206">
        <v>36.214491400108962</v>
      </c>
      <c r="T350" s="351"/>
      <c r="U350" s="882">
        <v>0</v>
      </c>
      <c r="V350" s="882">
        <v>-1.4705882352941213</v>
      </c>
      <c r="W350" s="882">
        <v>-0.10000000000000009</v>
      </c>
      <c r="X350" s="882">
        <v>1.1000000000000001</v>
      </c>
      <c r="Y350" s="882">
        <v>6.5912006120112965</v>
      </c>
      <c r="Z350" s="882">
        <v>9.9999999999999978E-2</v>
      </c>
      <c r="AA350" s="882">
        <v>-21.894286797917456</v>
      </c>
    </row>
    <row r="351" spans="1:27" ht="14.25" customHeight="1">
      <c r="A351" s="776"/>
      <c r="B351" s="777"/>
      <c r="C351" s="778">
        <v>10</v>
      </c>
      <c r="D351" s="347">
        <v>-4.1498279235152209</v>
      </c>
      <c r="E351" s="347">
        <v>1.3824884792626599</v>
      </c>
      <c r="F351" s="347">
        <v>-6.962785114045615</v>
      </c>
      <c r="G351" s="347">
        <v>3.8176510217830675</v>
      </c>
      <c r="H351" s="347">
        <v>24.758842443729904</v>
      </c>
      <c r="I351" s="347">
        <v>2</v>
      </c>
      <c r="J351" s="347">
        <v>2.2999999999999972</v>
      </c>
      <c r="K351" s="351"/>
      <c r="L351" s="347">
        <v>2.0000000000000018E-2</v>
      </c>
      <c r="M351" s="347">
        <v>-2.580456473076183</v>
      </c>
      <c r="N351" s="347">
        <v>-0.73800738007379807</v>
      </c>
      <c r="O351" s="347">
        <v>1.0020040080160322</v>
      </c>
      <c r="P351" s="347">
        <v>-0.88365243004417426</v>
      </c>
      <c r="Q351" s="882">
        <v>-0.59230009871667755</v>
      </c>
      <c r="R351" s="882">
        <v>1.9000000000000057</v>
      </c>
      <c r="S351" s="1206">
        <v>-78.078903487072353</v>
      </c>
      <c r="T351" s="351"/>
      <c r="U351" s="882">
        <v>-0.63148398737032285</v>
      </c>
      <c r="V351" s="882">
        <v>-0.86794792312461599</v>
      </c>
      <c r="W351" s="882">
        <v>0</v>
      </c>
      <c r="X351" s="882">
        <v>4.2</v>
      </c>
      <c r="Y351" s="882">
        <v>-14.521959734389721</v>
      </c>
      <c r="Z351" s="882">
        <v>1</v>
      </c>
      <c r="AA351" s="882">
        <v>30.410873454915535</v>
      </c>
    </row>
    <row r="352" spans="1:27" ht="14.25" customHeight="1">
      <c r="A352" s="776"/>
      <c r="B352" s="777"/>
      <c r="C352" s="778">
        <v>11</v>
      </c>
      <c r="D352" s="347">
        <v>2.5184129246852063</v>
      </c>
      <c r="E352" s="347">
        <v>-1.2279355333844928</v>
      </c>
      <c r="F352" s="347">
        <v>-2.6465028355387634</v>
      </c>
      <c r="G352" s="347">
        <v>-0.84089400309803053</v>
      </c>
      <c r="H352" s="347">
        <v>-4.5354791514264816</v>
      </c>
      <c r="I352" s="347">
        <v>-2</v>
      </c>
      <c r="J352" s="347">
        <v>2.4000000000000057</v>
      </c>
      <c r="K352" s="351"/>
      <c r="L352" s="347">
        <v>-2.0000000000000018E-2</v>
      </c>
      <c r="M352" s="347">
        <v>-1.1876103354196799</v>
      </c>
      <c r="N352" s="347">
        <v>0</v>
      </c>
      <c r="O352" s="347">
        <v>4.5786653677545077</v>
      </c>
      <c r="P352" s="347">
        <v>2.0497803806734938</v>
      </c>
      <c r="Q352" s="882">
        <v>2.0578147966682945</v>
      </c>
      <c r="R352" s="882">
        <v>-2.5</v>
      </c>
      <c r="S352" s="1206">
        <v>29.608952854106374</v>
      </c>
      <c r="T352" s="351"/>
      <c r="U352" s="882">
        <v>0.27112516945322834</v>
      </c>
      <c r="V352" s="882">
        <v>11.280846063454771</v>
      </c>
      <c r="W352" s="882">
        <v>0</v>
      </c>
      <c r="X352" s="882">
        <v>-1.1000000000000001</v>
      </c>
      <c r="Y352" s="882">
        <v>4.9758055146470053</v>
      </c>
      <c r="Z352" s="882">
        <v>0</v>
      </c>
      <c r="AA352" s="882">
        <v>-7.0418172431595201</v>
      </c>
    </row>
    <row r="353" spans="1:27" ht="14.25" customHeight="1">
      <c r="A353" s="874"/>
      <c r="B353" s="875"/>
      <c r="C353" s="876">
        <v>12</v>
      </c>
      <c r="D353" s="347">
        <v>3.5862415685617348</v>
      </c>
      <c r="E353" s="347">
        <v>0.38535645472061658</v>
      </c>
      <c r="F353" s="347">
        <v>21.334854535082716</v>
      </c>
      <c r="G353" s="347">
        <v>2.3715415019762847</v>
      </c>
      <c r="H353" s="349">
        <v>3.240058910162003</v>
      </c>
      <c r="I353" s="349">
        <v>1</v>
      </c>
      <c r="J353" s="347">
        <v>2.2999999999999972</v>
      </c>
      <c r="K353" s="353"/>
      <c r="L353" s="347">
        <v>4.0000000000000036E-2</v>
      </c>
      <c r="M353" s="347">
        <v>-1.1108920764869032</v>
      </c>
      <c r="N353" s="347">
        <v>-0.74349442379181896</v>
      </c>
      <c r="O353" s="347">
        <v>-1.9230769230769231</v>
      </c>
      <c r="P353" s="347">
        <v>0.96153846153846156</v>
      </c>
      <c r="Q353" s="882">
        <v>-0.29140359397765631</v>
      </c>
      <c r="R353" s="882">
        <v>-2.4000000000000057</v>
      </c>
      <c r="S353" s="1206">
        <v>12.210702691381297</v>
      </c>
      <c r="T353" s="353"/>
      <c r="U353" s="882">
        <v>0.98787606645712489</v>
      </c>
      <c r="V353" s="882">
        <v>-4.9002849002849134</v>
      </c>
      <c r="W353" s="882">
        <v>0</v>
      </c>
      <c r="X353" s="882">
        <v>-1</v>
      </c>
      <c r="Y353" s="882">
        <v>-7.8531455727943573</v>
      </c>
      <c r="Z353" s="882">
        <v>0</v>
      </c>
      <c r="AA353" s="882">
        <v>-5.8085019351184641</v>
      </c>
    </row>
    <row r="354" spans="1:27" ht="14.25" customHeight="1">
      <c r="A354" s="873" t="s">
        <v>641</v>
      </c>
      <c r="B354" s="759">
        <v>2017</v>
      </c>
      <c r="C354" s="760">
        <v>1</v>
      </c>
      <c r="D354" s="348">
        <v>-5.0826832853857047</v>
      </c>
      <c r="E354" s="348">
        <v>-1.0050251256281495</v>
      </c>
      <c r="F354" s="348">
        <v>0.82135523613962746</v>
      </c>
      <c r="G354" s="348">
        <v>-2.4382207578253707</v>
      </c>
      <c r="H354" s="348">
        <v>-23.481781376518217</v>
      </c>
      <c r="I354" s="348">
        <v>1</v>
      </c>
      <c r="J354" s="348">
        <v>-4</v>
      </c>
      <c r="K354" s="350"/>
      <c r="L354" s="348">
        <v>2.0000000000000018E-2</v>
      </c>
      <c r="M354" s="348">
        <v>-0.77258041859811777</v>
      </c>
      <c r="N354" s="348">
        <v>-1.5037593984962485</v>
      </c>
      <c r="O354" s="348">
        <v>0.8699855002416681</v>
      </c>
      <c r="P354" s="348">
        <v>0.76263107721639378</v>
      </c>
      <c r="Q354" s="920">
        <v>-2.4618414574101428</v>
      </c>
      <c r="R354" s="920">
        <v>-0.90000000000000568</v>
      </c>
      <c r="S354" s="1209">
        <v>41.51911405868735</v>
      </c>
      <c r="T354" s="350"/>
      <c r="U354" s="920">
        <v>-1.7124831004957239</v>
      </c>
      <c r="V354" s="920">
        <v>3.894616265750293</v>
      </c>
      <c r="W354" s="920">
        <v>0</v>
      </c>
      <c r="X354" s="920">
        <v>-1.2000000000000002</v>
      </c>
      <c r="Y354" s="920">
        <v>3.3083873322989867</v>
      </c>
      <c r="Z354" s="920">
        <v>0.30000000000000004</v>
      </c>
      <c r="AA354" s="882">
        <v>24.23353506585973</v>
      </c>
    </row>
    <row r="355" spans="1:27" ht="14.25" customHeight="1">
      <c r="A355" s="776"/>
      <c r="B355" s="777"/>
      <c r="C355" s="778">
        <v>2</v>
      </c>
      <c r="D355" s="347">
        <v>2.9860084176999204</v>
      </c>
      <c r="E355" s="347">
        <v>-0.23337222870477084</v>
      </c>
      <c r="F355" s="347">
        <v>2.3244062657908007</v>
      </c>
      <c r="G355" s="347">
        <v>-1.9988770353733858</v>
      </c>
      <c r="H355" s="347">
        <v>24.899598393574298</v>
      </c>
      <c r="I355" s="347">
        <v>-4</v>
      </c>
      <c r="J355" s="347">
        <v>-4</v>
      </c>
      <c r="K355" s="351"/>
      <c r="L355" s="347">
        <v>1.9999999999999796E-2</v>
      </c>
      <c r="M355" s="347">
        <v>0.73992553913879144</v>
      </c>
      <c r="N355" s="347">
        <v>0</v>
      </c>
      <c r="O355" s="347">
        <v>3.2196969696969617</v>
      </c>
      <c r="P355" s="347">
        <v>2.0676691729323333</v>
      </c>
      <c r="Q355" s="882">
        <v>1.6806722689075657</v>
      </c>
      <c r="R355" s="882">
        <v>-2</v>
      </c>
      <c r="S355" s="1206">
        <v>-33.78857160161099</v>
      </c>
      <c r="T355" s="351"/>
      <c r="U355" s="882">
        <v>0</v>
      </c>
      <c r="V355" s="882">
        <v>5.3581191908146586</v>
      </c>
      <c r="W355" s="882">
        <v>-0.10000000000000009</v>
      </c>
      <c r="X355" s="882">
        <v>-0.79999999999999982</v>
      </c>
      <c r="Y355" s="882">
        <v>-3.0591931243845072</v>
      </c>
      <c r="Z355" s="882">
        <v>0.39999999999999991</v>
      </c>
      <c r="AA355" s="882">
        <v>-17.858328721638063</v>
      </c>
    </row>
    <row r="356" spans="1:27" ht="14.25" customHeight="1">
      <c r="A356" s="776"/>
      <c r="B356" s="777"/>
      <c r="C356" s="778">
        <v>3</v>
      </c>
      <c r="D356" s="347">
        <v>-2.262696675380242</v>
      </c>
      <c r="E356" s="347">
        <v>0.54368932038834072</v>
      </c>
      <c r="F356" s="347">
        <v>-2.3244062657908007</v>
      </c>
      <c r="G356" s="347">
        <v>2.2653358752943817</v>
      </c>
      <c r="H356" s="347">
        <v>-14.723926380368098</v>
      </c>
      <c r="I356" s="347">
        <v>0</v>
      </c>
      <c r="J356" s="347">
        <v>-4</v>
      </c>
      <c r="K356" s="351"/>
      <c r="L356" s="347">
        <v>0</v>
      </c>
      <c r="M356" s="347">
        <v>9.0941948722723515E-2</v>
      </c>
      <c r="N356" s="347">
        <v>1.5037593984962485</v>
      </c>
      <c r="O356" s="347">
        <v>-1.9764705882352889</v>
      </c>
      <c r="P356" s="347">
        <v>-1.6885553470919299</v>
      </c>
      <c r="Q356" s="882">
        <v>-0.88626292466765699</v>
      </c>
      <c r="R356" s="882">
        <v>1.9000000000000057</v>
      </c>
      <c r="S356" s="1206">
        <v>-4.2572194105388546</v>
      </c>
      <c r="T356" s="351"/>
      <c r="U356" s="882">
        <v>-9.0950432014546903E-2</v>
      </c>
      <c r="V356" s="882">
        <v>-3.2467532467532467</v>
      </c>
      <c r="W356" s="882">
        <v>-0.10000000000000009</v>
      </c>
      <c r="X356" s="882">
        <v>0.39999999999999991</v>
      </c>
      <c r="Y356" s="882">
        <v>-3.3165288700678901</v>
      </c>
      <c r="Z356" s="882">
        <v>-0.39999999999999991</v>
      </c>
      <c r="AA356" s="882">
        <v>3.1666292890782577</v>
      </c>
    </row>
    <row r="357" spans="1:27" ht="14.25" customHeight="1">
      <c r="A357" s="776"/>
      <c r="B357" s="777"/>
      <c r="C357" s="778">
        <v>4</v>
      </c>
      <c r="D357" s="347">
        <v>6.8412857686585138</v>
      </c>
      <c r="E357" s="347">
        <v>-1.168679392286716</v>
      </c>
      <c r="F357" s="347">
        <v>2.6236125126135303</v>
      </c>
      <c r="G357" s="347">
        <v>1.2342957901697156</v>
      </c>
      <c r="H357" s="347">
        <v>13.436293436293436</v>
      </c>
      <c r="I357" s="347">
        <v>2</v>
      </c>
      <c r="J357" s="347">
        <v>2.7000000000000028</v>
      </c>
      <c r="K357" s="351"/>
      <c r="L357" s="347">
        <v>2.0000000000000018E-2</v>
      </c>
      <c r="M357" s="347">
        <v>-2.867781783793351</v>
      </c>
      <c r="N357" s="347">
        <v>-0.7490636704119823</v>
      </c>
      <c r="O357" s="347">
        <v>3.0884417407580695</v>
      </c>
      <c r="P357" s="347">
        <v>3.5315985130111498</v>
      </c>
      <c r="Q357" s="882">
        <v>8.7038789025544023</v>
      </c>
      <c r="R357" s="882">
        <v>-3.4000000000000057</v>
      </c>
      <c r="S357" s="1206">
        <v>-6.7772623633933513</v>
      </c>
      <c r="T357" s="351"/>
      <c r="U357" s="882">
        <v>-9.1033227127909455E-2</v>
      </c>
      <c r="V357" s="882">
        <v>6.0799999999999876</v>
      </c>
      <c r="W357" s="882">
        <v>0</v>
      </c>
      <c r="X357" s="882">
        <v>3.4</v>
      </c>
      <c r="Y357" s="882">
        <v>1.9463147439010564</v>
      </c>
      <c r="Z357" s="882">
        <v>0.5</v>
      </c>
      <c r="AA357" s="882">
        <v>-7.938791124713072</v>
      </c>
    </row>
    <row r="358" spans="1:27" ht="14.25" customHeight="1">
      <c r="A358" s="776"/>
      <c r="B358" s="777"/>
      <c r="C358" s="778">
        <v>5</v>
      </c>
      <c r="D358" s="347">
        <v>-5.5695018535203085</v>
      </c>
      <c r="E358" s="347">
        <v>-1.420678768745065</v>
      </c>
      <c r="F358" s="347">
        <v>-13.958444326052222</v>
      </c>
      <c r="G358" s="347">
        <v>0.95923261390887293</v>
      </c>
      <c r="H358" s="347">
        <v>-1.4577259475218658</v>
      </c>
      <c r="I358" s="347">
        <v>0</v>
      </c>
      <c r="J358" s="347">
        <v>2.5999999999999943</v>
      </c>
      <c r="K358" s="351"/>
      <c r="L358" s="347">
        <v>1.0000000000000009E-2</v>
      </c>
      <c r="M358" s="347">
        <v>-0.77776038719464902</v>
      </c>
      <c r="N358" s="347">
        <v>0.7490636704119823</v>
      </c>
      <c r="O358" s="347">
        <v>-5.2980132450331068</v>
      </c>
      <c r="P358" s="347">
        <v>-0.18281535648994773</v>
      </c>
      <c r="Q358" s="882">
        <v>-2.0146520146520173</v>
      </c>
      <c r="R358" s="882">
        <v>-0.39999999999999147</v>
      </c>
      <c r="S358" s="1206">
        <v>16.965815148581218</v>
      </c>
      <c r="T358" s="351"/>
      <c r="U358" s="882">
        <v>-0.63956144358154676</v>
      </c>
      <c r="V358" s="882">
        <v>-8.5267134376686347</v>
      </c>
      <c r="W358" s="882">
        <v>0.20000000000000018</v>
      </c>
      <c r="X358" s="882">
        <v>-2.7</v>
      </c>
      <c r="Y358" s="882">
        <v>-2.1714198592253156</v>
      </c>
      <c r="Z358" s="882">
        <v>0.19999999999999996</v>
      </c>
      <c r="AA358" s="882">
        <v>-1.4347847020494719</v>
      </c>
    </row>
    <row r="359" spans="1:27" ht="14.25" customHeight="1">
      <c r="A359" s="776"/>
      <c r="B359" s="777"/>
      <c r="C359" s="778">
        <v>6</v>
      </c>
      <c r="D359" s="347">
        <v>3.4976992479112559</v>
      </c>
      <c r="E359" s="347">
        <v>0.3966679888932963</v>
      </c>
      <c r="F359" s="347">
        <v>7.0718232044198954</v>
      </c>
      <c r="G359" s="347">
        <v>3.3703071672354947</v>
      </c>
      <c r="H359" s="347">
        <v>-16.19047619047619</v>
      </c>
      <c r="I359" s="347">
        <v>3</v>
      </c>
      <c r="J359" s="347">
        <v>2.7000000000000028</v>
      </c>
      <c r="K359" s="351"/>
      <c r="L359" s="347">
        <v>0</v>
      </c>
      <c r="M359" s="347">
        <v>1.2300595810109509</v>
      </c>
      <c r="N359" s="347">
        <v>0</v>
      </c>
      <c r="O359" s="347">
        <v>2.4952015355086319</v>
      </c>
      <c r="P359" s="347">
        <v>1.9927536231884082</v>
      </c>
      <c r="Q359" s="882">
        <v>2.9170464904284441</v>
      </c>
      <c r="R359" s="882">
        <v>-1.1000000000000085</v>
      </c>
      <c r="S359" s="1206">
        <v>-11.407837445573282</v>
      </c>
      <c r="T359" s="351"/>
      <c r="U359" s="882">
        <v>0</v>
      </c>
      <c r="V359" s="882">
        <v>4.5179063360881484</v>
      </c>
      <c r="W359" s="882">
        <v>-0.20000000000000018</v>
      </c>
      <c r="X359" s="882">
        <v>-0.7</v>
      </c>
      <c r="Y359" s="882">
        <v>13.464570325041571</v>
      </c>
      <c r="Z359" s="882">
        <v>-0.19999999999999996</v>
      </c>
      <c r="AA359" s="882">
        <v>-4.1313314634548695</v>
      </c>
    </row>
    <row r="360" spans="1:27" ht="14.25" customHeight="1">
      <c r="A360" s="776"/>
      <c r="B360" s="777"/>
      <c r="C360" s="778">
        <v>7</v>
      </c>
      <c r="D360" s="347">
        <v>3.9233546088365845</v>
      </c>
      <c r="E360" s="347">
        <v>-1.918465227817739</v>
      </c>
      <c r="F360" s="347">
        <v>3.9748953974895369</v>
      </c>
      <c r="G360" s="347">
        <v>-6.901041666666667</v>
      </c>
      <c r="H360" s="347">
        <v>20.325833979829326</v>
      </c>
      <c r="I360" s="347">
        <v>-1</v>
      </c>
      <c r="J360" s="347">
        <v>-1.2999999999999972</v>
      </c>
      <c r="K360" s="351"/>
      <c r="L360" s="347">
        <v>1.0000000000000009E-2</v>
      </c>
      <c r="M360" s="347">
        <v>-1.6102827020976913</v>
      </c>
      <c r="N360" s="347">
        <v>0</v>
      </c>
      <c r="O360" s="347">
        <v>0.28395646000946251</v>
      </c>
      <c r="P360" s="347">
        <v>-0.35938903863432675</v>
      </c>
      <c r="Q360" s="882">
        <v>-0.72137060414787835</v>
      </c>
      <c r="R360" s="882">
        <v>-1.7999999999999972</v>
      </c>
      <c r="S360" s="1206">
        <v>9.5384671760200703</v>
      </c>
      <c r="T360" s="351"/>
      <c r="U360" s="882">
        <v>-0.73597056117755033</v>
      </c>
      <c r="V360" s="882">
        <v>1.7094017094017186</v>
      </c>
      <c r="W360" s="882">
        <v>0</v>
      </c>
      <c r="X360" s="882">
        <v>3.2</v>
      </c>
      <c r="Y360" s="882">
        <v>-6.2735001574394786</v>
      </c>
      <c r="Z360" s="882">
        <v>0</v>
      </c>
      <c r="AA360" s="882">
        <v>11.226307085612516</v>
      </c>
    </row>
    <row r="361" spans="1:27" ht="14.25" customHeight="1">
      <c r="A361" s="776"/>
      <c r="B361" s="777"/>
      <c r="C361" s="778">
        <v>8</v>
      </c>
      <c r="D361" s="347">
        <v>-11.088233051170592</v>
      </c>
      <c r="E361" s="347">
        <v>0.56338028169013166</v>
      </c>
      <c r="F361" s="347">
        <v>-16.066481994459835</v>
      </c>
      <c r="G361" s="347">
        <v>1.8704074816299265</v>
      </c>
      <c r="H361" s="347">
        <v>-13.373403456048084</v>
      </c>
      <c r="I361" s="347">
        <v>4</v>
      </c>
      <c r="J361" s="347">
        <v>-1.4000000000000057</v>
      </c>
      <c r="K361" s="351"/>
      <c r="L361" s="347">
        <v>-1.0000000000000009E-2</v>
      </c>
      <c r="M361" s="347">
        <v>1.3496902942806872</v>
      </c>
      <c r="N361" s="347">
        <v>-0.7490636704119823</v>
      </c>
      <c r="O361" s="347">
        <v>-1.6198189614101983</v>
      </c>
      <c r="P361" s="347">
        <v>-1.5419501133786746</v>
      </c>
      <c r="Q361" s="882">
        <v>2.4139472507823005</v>
      </c>
      <c r="R361" s="882">
        <v>1.7000000000000028</v>
      </c>
      <c r="S361" s="1206">
        <v>-11.389807951793864</v>
      </c>
      <c r="T361" s="351"/>
      <c r="U361" s="882">
        <v>0.18450184501845279</v>
      </c>
      <c r="V361" s="882">
        <v>-3.8876889848812191</v>
      </c>
      <c r="W361" s="882">
        <v>0</v>
      </c>
      <c r="X361" s="882">
        <v>-2.1</v>
      </c>
      <c r="Y361" s="882">
        <v>-1.0559871846215458</v>
      </c>
      <c r="Z361" s="882">
        <v>0.30000000000000004</v>
      </c>
      <c r="AA361" s="882">
        <v>1.8999328909104412</v>
      </c>
    </row>
    <row r="362" spans="1:27" ht="14.25" customHeight="1">
      <c r="A362" s="776"/>
      <c r="B362" s="777"/>
      <c r="C362" s="778">
        <v>9</v>
      </c>
      <c r="D362" s="347">
        <v>11.766818869462499</v>
      </c>
      <c r="E362" s="347">
        <v>-2.2727272727272707</v>
      </c>
      <c r="F362" s="347">
        <v>-1.3341419041843472</v>
      </c>
      <c r="G362" s="347">
        <v>-5.6481796529431776</v>
      </c>
      <c r="H362" s="347">
        <v>3.6363636363636362</v>
      </c>
      <c r="I362" s="347">
        <v>-4</v>
      </c>
      <c r="J362" s="347">
        <v>-1.2999999999999972</v>
      </c>
      <c r="K362" s="351"/>
      <c r="L362" s="347">
        <v>-1.0000000000000009E-2</v>
      </c>
      <c r="M362" s="347">
        <v>-0.44387393980109646</v>
      </c>
      <c r="N362" s="347">
        <v>-0.75471698113208618</v>
      </c>
      <c r="O362" s="347">
        <v>3.1205673758865355</v>
      </c>
      <c r="P362" s="347">
        <v>-2.4988431281814001</v>
      </c>
      <c r="Q362" s="882">
        <v>-0.88731144631765746</v>
      </c>
      <c r="R362" s="882">
        <v>3.7999999999999972</v>
      </c>
      <c r="S362" s="1206">
        <v>-18.146057807422611</v>
      </c>
      <c r="T362" s="351"/>
      <c r="U362" s="882">
        <v>-9.2208390963572445E-2</v>
      </c>
      <c r="V362" s="882">
        <v>7.8306878306878369</v>
      </c>
      <c r="W362" s="882">
        <v>0</v>
      </c>
      <c r="X362" s="882">
        <v>1.7000000000000002</v>
      </c>
      <c r="Y362" s="882">
        <v>-8.7468378898535128</v>
      </c>
      <c r="Z362" s="882">
        <v>0.19999999999999996</v>
      </c>
      <c r="AA362" s="882">
        <v>-1.7224424114193679</v>
      </c>
    </row>
    <row r="363" spans="1:27" ht="14.25" customHeight="1">
      <c r="A363" s="776"/>
      <c r="B363" s="777"/>
      <c r="C363" s="778">
        <v>10</v>
      </c>
      <c r="D363" s="347">
        <v>-6.3446121951712042</v>
      </c>
      <c r="E363" s="347">
        <v>-1.4888337468982606</v>
      </c>
      <c r="F363" s="347">
        <v>-0.36697247706423408</v>
      </c>
      <c r="G363" s="347">
        <v>-1.4577944980014108</v>
      </c>
      <c r="H363" s="347">
        <v>-0.31104199066874028</v>
      </c>
      <c r="I363" s="347">
        <v>1</v>
      </c>
      <c r="J363" s="347">
        <v>0.70000000000000284</v>
      </c>
      <c r="K363" s="351"/>
      <c r="L363" s="347">
        <v>1.0000000000000009E-2</v>
      </c>
      <c r="M363" s="347">
        <v>2.9683150725495828</v>
      </c>
      <c r="N363" s="347">
        <v>0</v>
      </c>
      <c r="O363" s="347">
        <v>-6.9364161849711001</v>
      </c>
      <c r="P363" s="347">
        <v>4.5787545787545785</v>
      </c>
      <c r="Q363" s="882">
        <v>4.1884816753926675</v>
      </c>
      <c r="R363" s="882">
        <v>-6.5</v>
      </c>
      <c r="S363" s="1206">
        <v>24.508994883644167</v>
      </c>
      <c r="T363" s="351"/>
      <c r="U363" s="882">
        <v>9.2208390963572445E-2</v>
      </c>
      <c r="V363" s="882">
        <v>-11.069317571198276</v>
      </c>
      <c r="W363" s="882">
        <v>-9.9999999999999645E-2</v>
      </c>
      <c r="X363" s="882">
        <v>-3.3</v>
      </c>
      <c r="Y363" s="882">
        <v>10.663010270302651</v>
      </c>
      <c r="Z363" s="882">
        <v>-0.60000000000000009</v>
      </c>
      <c r="AA363" s="882">
        <v>-1.6975870013338183</v>
      </c>
    </row>
    <row r="364" spans="1:27" ht="14.25" customHeight="1">
      <c r="A364" s="776"/>
      <c r="B364" s="777"/>
      <c r="C364" s="778">
        <v>11</v>
      </c>
      <c r="D364" s="347">
        <v>-2.2864696121719978</v>
      </c>
      <c r="E364" s="347">
        <v>3.1173092698933527</v>
      </c>
      <c r="F364" s="347">
        <v>1.8214936247723135</v>
      </c>
      <c r="G364" s="347">
        <v>-1.6477611940298507</v>
      </c>
      <c r="H364" s="347">
        <v>15.118790496760258</v>
      </c>
      <c r="I364" s="347">
        <v>-4</v>
      </c>
      <c r="J364" s="347">
        <v>0.59999999999999432</v>
      </c>
      <c r="K364" s="351"/>
      <c r="L364" s="347">
        <v>2.0000000000000018E-2</v>
      </c>
      <c r="M364" s="347">
        <v>-2.5317054144456002</v>
      </c>
      <c r="N364" s="347">
        <v>0</v>
      </c>
      <c r="O364" s="347">
        <v>3.3366045142296286</v>
      </c>
      <c r="P364" s="347">
        <v>0.97995545657015082</v>
      </c>
      <c r="Q364" s="882">
        <v>8.543357539512543E-2</v>
      </c>
      <c r="R364" s="882">
        <v>-1.7000000000000028</v>
      </c>
      <c r="S364" s="1206">
        <v>12.943259363666053</v>
      </c>
      <c r="T364" s="351"/>
      <c r="U364" s="882">
        <v>0</v>
      </c>
      <c r="V364" s="882">
        <v>3.6850921273031791</v>
      </c>
      <c r="W364" s="882">
        <v>0</v>
      </c>
      <c r="X364" s="882">
        <v>0.89999999999999991</v>
      </c>
      <c r="Y364" s="882">
        <v>1.4189381022369529</v>
      </c>
      <c r="Z364" s="882">
        <v>0.19999999999999996</v>
      </c>
      <c r="AA364" s="882">
        <v>5.2573606025423452</v>
      </c>
    </row>
    <row r="365" spans="1:27" ht="14.25" customHeight="1">
      <c r="A365" s="874"/>
      <c r="B365" s="875"/>
      <c r="C365" s="876">
        <v>12</v>
      </c>
      <c r="D365" s="347">
        <v>10.101228381764031</v>
      </c>
      <c r="E365" s="347">
        <v>-2.8676771814829989</v>
      </c>
      <c r="F365" s="347">
        <v>-3.6764705882352944</v>
      </c>
      <c r="G365" s="347">
        <v>3.3151787828557899</v>
      </c>
      <c r="H365" s="349">
        <v>-14.193548387096774</v>
      </c>
      <c r="I365" s="349">
        <v>-1</v>
      </c>
      <c r="J365" s="347">
        <v>0.70000000000000284</v>
      </c>
      <c r="K365" s="353"/>
      <c r="L365" s="347">
        <v>0</v>
      </c>
      <c r="M365" s="347">
        <v>0.84158828928703822</v>
      </c>
      <c r="N365" s="347">
        <v>2.9850746268656745</v>
      </c>
      <c r="O365" s="347">
        <v>-2.5415444770283426</v>
      </c>
      <c r="P365" s="347">
        <v>-0.53333333333332833</v>
      </c>
      <c r="Q365" s="882">
        <v>1.4412886816447672</v>
      </c>
      <c r="R365" s="882">
        <v>0</v>
      </c>
      <c r="S365" s="1206">
        <v>12.072025606407671</v>
      </c>
      <c r="T365" s="353"/>
      <c r="U365" s="882">
        <v>1.1910215300045781</v>
      </c>
      <c r="V365" s="882">
        <v>-2.4417314095449534</v>
      </c>
      <c r="W365" s="882">
        <v>0</v>
      </c>
      <c r="X365" s="882">
        <v>0.90000000000000013</v>
      </c>
      <c r="Y365" s="882">
        <v>11.638898423679137</v>
      </c>
      <c r="Z365" s="882">
        <v>-9.9999999999999867E-2</v>
      </c>
      <c r="AA365" s="882">
        <v>-12.769634315692027</v>
      </c>
    </row>
    <row r="366" spans="1:27" ht="14.25" customHeight="1">
      <c r="A366" s="873" t="s">
        <v>651</v>
      </c>
      <c r="B366" s="759">
        <v>2018</v>
      </c>
      <c r="C366" s="760">
        <v>1</v>
      </c>
      <c r="D366" s="348">
        <v>-8.158540909790382</v>
      </c>
      <c r="E366" s="348">
        <v>-1.4231896190874869</v>
      </c>
      <c r="F366" s="348">
        <v>7.5675675675675809</v>
      </c>
      <c r="G366" s="348">
        <v>0.90434782608695652</v>
      </c>
      <c r="H366" s="348">
        <v>21.855670103092784</v>
      </c>
      <c r="I366" s="348">
        <v>2</v>
      </c>
      <c r="J366" s="348">
        <v>1.2999999999999972</v>
      </c>
      <c r="K366" s="350"/>
      <c r="L366" s="348">
        <v>1.0000000000000009E-2</v>
      </c>
      <c r="M366" s="348">
        <v>-2.1694785092034978</v>
      </c>
      <c r="N366" s="348">
        <v>-5.2830188679245227</v>
      </c>
      <c r="O366" s="348">
        <v>11.39122315592904</v>
      </c>
      <c r="P366" s="348">
        <v>0.26702269692923647</v>
      </c>
      <c r="Q366" s="920">
        <v>-4.6511627906976667</v>
      </c>
      <c r="R366" s="920">
        <v>-4.6999999999999886</v>
      </c>
      <c r="S366" s="1209">
        <v>-41.271594498041175</v>
      </c>
      <c r="T366" s="350"/>
      <c r="U366" s="920">
        <v>-6.0037523452157515</v>
      </c>
      <c r="V366" s="920">
        <v>22.088955522238876</v>
      </c>
      <c r="W366" s="920">
        <v>-0.30000000000000027</v>
      </c>
      <c r="X366" s="920">
        <v>-1.8</v>
      </c>
      <c r="Y366" s="920">
        <v>-4.5585629014192337</v>
      </c>
      <c r="Z366" s="920">
        <v>0.30000000000000004</v>
      </c>
      <c r="AA366" s="882">
        <v>6.863182020755076</v>
      </c>
    </row>
    <row r="367" spans="1:27" ht="14.25" customHeight="1">
      <c r="A367" s="776"/>
      <c r="B367" s="777"/>
      <c r="C367" s="778">
        <v>2</v>
      </c>
      <c r="D367" s="347">
        <v>-2.9860467091896408</v>
      </c>
      <c r="E367" s="347">
        <v>-1.0169491525423633</v>
      </c>
      <c r="F367" s="347">
        <v>2.5142857142857014</v>
      </c>
      <c r="G367" s="347">
        <v>0.27662517289073307</v>
      </c>
      <c r="H367" s="347">
        <v>-10.980392156862745</v>
      </c>
      <c r="I367" s="347">
        <v>-1</v>
      </c>
      <c r="J367" s="347">
        <v>1.4000000000000057</v>
      </c>
      <c r="K367" s="351"/>
      <c r="L367" s="347">
        <v>-1.0000000000000009E-2</v>
      </c>
      <c r="M367" s="347">
        <v>0.10427149387102298</v>
      </c>
      <c r="N367" s="347">
        <v>-2.3529411764705936</v>
      </c>
      <c r="O367" s="347">
        <v>-6.2870159453303014</v>
      </c>
      <c r="P367" s="347">
        <v>-0.80321285140562759</v>
      </c>
      <c r="Q367" s="882">
        <v>-2.048997772828518</v>
      </c>
      <c r="R367" s="882">
        <v>0.39999999999999147</v>
      </c>
      <c r="S367" s="1206">
        <v>12.213896318680192</v>
      </c>
      <c r="T367" s="351"/>
      <c r="U367" s="882">
        <v>-0.19361084220716634</v>
      </c>
      <c r="V367" s="882">
        <v>-12.225405921680993</v>
      </c>
      <c r="W367" s="882">
        <v>0.10000000000000009</v>
      </c>
      <c r="X367" s="882">
        <v>-0.60000000000000009</v>
      </c>
      <c r="Y367" s="882">
        <v>-2.1335593488758122</v>
      </c>
      <c r="Z367" s="882">
        <v>0</v>
      </c>
      <c r="AA367" s="882">
        <v>8.8452883469871093</v>
      </c>
    </row>
    <row r="368" spans="1:27" ht="14.25" customHeight="1">
      <c r="A368" s="776"/>
      <c r="B368" s="777"/>
      <c r="C368" s="778">
        <v>3</v>
      </c>
      <c r="D368" s="347">
        <v>6.276104026285017</v>
      </c>
      <c r="E368" s="347">
        <v>2.1070375052675936</v>
      </c>
      <c r="F368" s="347">
        <v>2.5626740947075337</v>
      </c>
      <c r="G368" s="347">
        <v>1.9603373603829497</v>
      </c>
      <c r="H368" s="347">
        <v>-8.9595375722543356</v>
      </c>
      <c r="I368" s="347">
        <v>1</v>
      </c>
      <c r="J368" s="347">
        <v>1.2999999999999972</v>
      </c>
      <c r="K368" s="351"/>
      <c r="L368" s="347">
        <v>1.0000000000000009E-2</v>
      </c>
      <c r="M368" s="347">
        <v>-1.0133489233167667</v>
      </c>
      <c r="N368" s="347">
        <v>1.5748031496063077</v>
      </c>
      <c r="O368" s="347">
        <v>0.18796992481203273</v>
      </c>
      <c r="P368" s="347">
        <v>0.62527914247432148</v>
      </c>
      <c r="Q368" s="882">
        <v>2.6642984014209592</v>
      </c>
      <c r="R368" s="882">
        <v>-2.2000000000000028</v>
      </c>
      <c r="S368" s="1206">
        <v>10.314997992480926</v>
      </c>
      <c r="T368" s="351"/>
      <c r="U368" s="882">
        <v>-0.6806028196402556</v>
      </c>
      <c r="V368" s="882">
        <v>-0.61224489795917791</v>
      </c>
      <c r="W368" s="882">
        <v>0</v>
      </c>
      <c r="X368" s="882">
        <v>3.4</v>
      </c>
      <c r="Y368" s="882">
        <v>22.07794262688488</v>
      </c>
      <c r="Z368" s="882">
        <v>-0.60000000000000009</v>
      </c>
      <c r="AA368" s="882">
        <v>-15.099827309358623</v>
      </c>
    </row>
    <row r="369" spans="1:27" ht="14.25" customHeight="1">
      <c r="A369" s="776"/>
      <c r="B369" s="777"/>
      <c r="C369" s="778">
        <v>4</v>
      </c>
      <c r="D369" s="347">
        <v>-1.6550072134360381</v>
      </c>
      <c r="E369" s="347">
        <v>1.7362546506820953</v>
      </c>
      <c r="F369" s="347">
        <v>1.5283842794759732</v>
      </c>
      <c r="G369" s="347">
        <v>0.20295410982072387</v>
      </c>
      <c r="H369" s="347">
        <v>37.392373923739235</v>
      </c>
      <c r="I369" s="347">
        <v>-1</v>
      </c>
      <c r="J369" s="347">
        <v>-1.7000000000000028</v>
      </c>
      <c r="K369" s="351"/>
      <c r="L369" s="347">
        <v>1.0000000000000009E-2</v>
      </c>
      <c r="M369" s="347">
        <v>0.97456388266249749</v>
      </c>
      <c r="N369" s="347">
        <v>0</v>
      </c>
      <c r="O369" s="347">
        <v>-0.56497175141242406</v>
      </c>
      <c r="P369" s="347">
        <v>3.0688294607628235</v>
      </c>
      <c r="Q369" s="882">
        <v>3.3606204222318015</v>
      </c>
      <c r="R369" s="882">
        <v>-1.6999999999999886</v>
      </c>
      <c r="S369" s="1206">
        <v>-2.4667064900382942</v>
      </c>
      <c r="T369" s="351"/>
      <c r="U369" s="882">
        <v>0.19493177387914509</v>
      </c>
      <c r="V369" s="882">
        <v>-1.3395157135497135</v>
      </c>
      <c r="W369" s="882">
        <v>0</v>
      </c>
      <c r="X369" s="882">
        <v>-3.5999999999999996</v>
      </c>
      <c r="Y369" s="882">
        <v>-10.874197756849272</v>
      </c>
      <c r="Z369" s="882">
        <v>-0.19999999999999996</v>
      </c>
      <c r="AA369" s="882">
        <v>-34.902428697894621</v>
      </c>
    </row>
    <row r="370" spans="1:27" ht="14.25" customHeight="1">
      <c r="A370" s="776"/>
      <c r="B370" s="777"/>
      <c r="C370" s="778">
        <v>5</v>
      </c>
      <c r="D370" s="347">
        <v>1.1733246016153678</v>
      </c>
      <c r="E370" s="347">
        <v>-8.2000820008195419E-2</v>
      </c>
      <c r="F370" s="347">
        <v>3.4078807241746567</v>
      </c>
      <c r="G370" s="347">
        <v>2.2276676319893074</v>
      </c>
      <c r="H370" s="347">
        <v>-31.137724550898202</v>
      </c>
      <c r="I370" s="347">
        <v>1</v>
      </c>
      <c r="J370" s="347">
        <v>-1.5999999999999943</v>
      </c>
      <c r="K370" s="351"/>
      <c r="L370" s="347">
        <v>1.0000000000000009E-2</v>
      </c>
      <c r="M370" s="347">
        <v>0.91712120480764603</v>
      </c>
      <c r="N370" s="347">
        <v>-3.1746031746031771</v>
      </c>
      <c r="O370" s="347">
        <v>4.0703052728954594</v>
      </c>
      <c r="P370" s="347">
        <v>-0.86730268863833482</v>
      </c>
      <c r="Q370" s="882">
        <v>-0.42462845010615713</v>
      </c>
      <c r="R370" s="882">
        <v>1</v>
      </c>
      <c r="S370" s="1206">
        <v>-0.87904234411293058</v>
      </c>
      <c r="T370" s="351"/>
      <c r="U370" s="882">
        <v>0.19455252918288213</v>
      </c>
      <c r="V370" s="882">
        <v>6.7167919799498632</v>
      </c>
      <c r="W370" s="882">
        <v>-0.29999999999999982</v>
      </c>
      <c r="X370" s="882">
        <v>-0.5</v>
      </c>
      <c r="Y370" s="882">
        <v>-7.5884028733081115</v>
      </c>
      <c r="Z370" s="882">
        <v>0.19999999999999996</v>
      </c>
      <c r="AA370" s="882">
        <v>38.431549805073743</v>
      </c>
    </row>
    <row r="371" spans="1:27" ht="14.25" customHeight="1">
      <c r="A371" s="776"/>
      <c r="B371" s="777"/>
      <c r="C371" s="778">
        <v>6</v>
      </c>
      <c r="D371" s="347">
        <v>0.44390309920150595</v>
      </c>
      <c r="E371" s="347">
        <v>1.5466015466015397</v>
      </c>
      <c r="F371" s="347">
        <v>1.8672199170124451</v>
      </c>
      <c r="G371" s="347">
        <v>1.051939513477975</v>
      </c>
      <c r="H371" s="347">
        <v>-10.919970082273748</v>
      </c>
      <c r="I371" s="347">
        <v>0</v>
      </c>
      <c r="J371" s="347">
        <v>-1.7000000000000028</v>
      </c>
      <c r="K371" s="351"/>
      <c r="L371" s="347">
        <v>1.0000000000000009E-2</v>
      </c>
      <c r="M371" s="347">
        <v>-3.931751650478291</v>
      </c>
      <c r="N371" s="347">
        <v>-0.80971659919028038</v>
      </c>
      <c r="O371" s="347">
        <v>0.6326253953908747</v>
      </c>
      <c r="P371" s="347">
        <v>0.17406440382941935</v>
      </c>
      <c r="Q371" s="882">
        <v>0</v>
      </c>
      <c r="R371" s="882">
        <v>-1.1000000000000085</v>
      </c>
      <c r="S371" s="1206">
        <v>22.679034542012069</v>
      </c>
      <c r="T371" s="351"/>
      <c r="U371" s="882">
        <v>-0.29197080291971911</v>
      </c>
      <c r="V371" s="882">
        <v>-0.48614487117160915</v>
      </c>
      <c r="W371" s="882">
        <v>0.19999999999999973</v>
      </c>
      <c r="X371" s="882">
        <v>5.1999999999999993</v>
      </c>
      <c r="Y371" s="882">
        <v>-8.636279646418588</v>
      </c>
      <c r="Z371" s="882">
        <v>0</v>
      </c>
      <c r="AA371" s="882">
        <v>14.383109742687486</v>
      </c>
    </row>
    <row r="372" spans="1:27" ht="14.25" customHeight="1">
      <c r="A372" s="776"/>
      <c r="B372" s="777"/>
      <c r="C372" s="778">
        <v>7</v>
      </c>
      <c r="D372" s="347">
        <v>-5.9587131404573679</v>
      </c>
      <c r="E372" s="347">
        <v>0.80450522928399038</v>
      </c>
      <c r="F372" s="347">
        <v>0.41025641025641607</v>
      </c>
      <c r="G372" s="347">
        <v>2.1778975741239894</v>
      </c>
      <c r="H372" s="347">
        <v>21.468926553672315</v>
      </c>
      <c r="I372" s="347">
        <v>-1</v>
      </c>
      <c r="J372" s="347">
        <v>3.2999999999999972</v>
      </c>
      <c r="K372" s="351"/>
      <c r="L372" s="347">
        <v>-1.0000000000000009E-2</v>
      </c>
      <c r="M372" s="347">
        <v>-1.0727160819484813</v>
      </c>
      <c r="N372" s="347">
        <v>-1.6393442622950909</v>
      </c>
      <c r="O372" s="347">
        <v>2.0508247882300465</v>
      </c>
      <c r="P372" s="347">
        <v>0</v>
      </c>
      <c r="Q372" s="882">
        <v>0.25499362515936858</v>
      </c>
      <c r="R372" s="882">
        <v>0.5</v>
      </c>
      <c r="S372" s="1206">
        <v>9.9689065703539743</v>
      </c>
      <c r="T372" s="351"/>
      <c r="U372" s="882">
        <v>0</v>
      </c>
      <c r="V372" s="882">
        <v>3.071017274472172</v>
      </c>
      <c r="W372" s="882">
        <v>0.10000000000000009</v>
      </c>
      <c r="X372" s="882">
        <v>-2.5999999999999996</v>
      </c>
      <c r="Y372" s="882">
        <v>5.1695024539737684</v>
      </c>
      <c r="Z372" s="882">
        <v>0.39999999999999991</v>
      </c>
      <c r="AA372" s="882">
        <v>25.901627632847934</v>
      </c>
    </row>
    <row r="373" spans="1:27" ht="14.25" customHeight="1">
      <c r="A373" s="776"/>
      <c r="B373" s="777"/>
      <c r="C373" s="778">
        <v>8</v>
      </c>
      <c r="D373" s="347">
        <v>1.7250198931453982</v>
      </c>
      <c r="E373" s="347">
        <v>-3.009353395689307</v>
      </c>
      <c r="F373" s="347">
        <v>9.2728160078086876</v>
      </c>
      <c r="G373" s="347">
        <v>-5.7945566286215975</v>
      </c>
      <c r="H373" s="347">
        <v>-13.4785568413887</v>
      </c>
      <c r="I373" s="347">
        <v>2</v>
      </c>
      <c r="J373" s="347">
        <v>3.4000000000000057</v>
      </c>
      <c r="K373" s="351"/>
      <c r="L373" s="347">
        <v>0</v>
      </c>
      <c r="M373" s="347">
        <v>2.366095941696206</v>
      </c>
      <c r="N373" s="347">
        <v>4.048582995951417</v>
      </c>
      <c r="O373" s="347">
        <v>0.52816901408451455</v>
      </c>
      <c r="P373" s="347">
        <v>8.6918730986522655E-2</v>
      </c>
      <c r="Q373" s="882">
        <v>-4.2479410489813541</v>
      </c>
      <c r="R373" s="882">
        <v>-1.0999999999999943</v>
      </c>
      <c r="S373" s="1206">
        <v>-31.58020845812867</v>
      </c>
      <c r="T373" s="351"/>
      <c r="U373" s="882">
        <v>-0.48851978505129462</v>
      </c>
      <c r="V373" s="882">
        <v>2.7958993476234855</v>
      </c>
      <c r="W373" s="882">
        <v>0</v>
      </c>
      <c r="X373" s="882">
        <v>-1.2</v>
      </c>
      <c r="Y373" s="882">
        <v>-7.0647463948969689</v>
      </c>
      <c r="Z373" s="882">
        <v>0.10000000000000009</v>
      </c>
      <c r="AA373" s="882">
        <v>-38.639565304890318</v>
      </c>
    </row>
    <row r="374" spans="1:27" ht="14.25" customHeight="1">
      <c r="A374" s="776"/>
      <c r="B374" s="777"/>
      <c r="C374" s="778">
        <v>9</v>
      </c>
      <c r="D374" s="347">
        <v>-1.2759984688018373</v>
      </c>
      <c r="E374" s="347">
        <v>1.0677618069815289</v>
      </c>
      <c r="F374" s="347">
        <v>-20.236260914227021</v>
      </c>
      <c r="G374" s="347">
        <v>1.8143129129801769</v>
      </c>
      <c r="H374" s="347">
        <v>-6.0150375939849621</v>
      </c>
      <c r="I374" s="347">
        <v>-2</v>
      </c>
      <c r="J374" s="347">
        <v>3.2999999999999972</v>
      </c>
      <c r="K374" s="351"/>
      <c r="L374" s="347">
        <v>0</v>
      </c>
      <c r="M374" s="347">
        <v>-2.4646348619729519</v>
      </c>
      <c r="N374" s="347">
        <v>-1.5999999999999943</v>
      </c>
      <c r="O374" s="347">
        <v>0.26304252520823951</v>
      </c>
      <c r="P374" s="347">
        <v>-1.9298245614034988</v>
      </c>
      <c r="Q374" s="882">
        <v>0</v>
      </c>
      <c r="R374" s="882">
        <v>0.59999999999999432</v>
      </c>
      <c r="S374" s="1206">
        <v>-1.9464894954210745</v>
      </c>
      <c r="T374" s="351"/>
      <c r="U374" s="882">
        <v>-2.8812717337307414</v>
      </c>
      <c r="V374" s="882">
        <v>-1.4814814814814763</v>
      </c>
      <c r="W374" s="882">
        <v>-0.20000000000000018</v>
      </c>
      <c r="X374" s="882">
        <v>3.2</v>
      </c>
      <c r="Y374" s="882">
        <v>-13.78685515149253</v>
      </c>
      <c r="Z374" s="882">
        <v>-0.19999999999999996</v>
      </c>
      <c r="AA374" s="882">
        <v>6.6991125107357625</v>
      </c>
    </row>
    <row r="375" spans="1:27" ht="14.25" customHeight="1">
      <c r="A375" s="776"/>
      <c r="B375" s="777"/>
      <c r="C375" s="778">
        <v>10</v>
      </c>
      <c r="D375" s="347">
        <v>0.47828500661911505</v>
      </c>
      <c r="E375" s="347">
        <v>1.1372867587327307</v>
      </c>
      <c r="F375" s="347">
        <v>35.061262959472202</v>
      </c>
      <c r="G375" s="347">
        <v>-1.2508376144739781</v>
      </c>
      <c r="H375" s="347">
        <v>-37.350505979760811</v>
      </c>
      <c r="I375" s="347">
        <v>0</v>
      </c>
      <c r="J375" s="347">
        <v>0.29999999999999716</v>
      </c>
      <c r="K375" s="351"/>
      <c r="L375" s="347">
        <v>1.0000000000000009E-2</v>
      </c>
      <c r="M375" s="347">
        <v>4.2100313091687465</v>
      </c>
      <c r="N375" s="347">
        <v>0</v>
      </c>
      <c r="O375" s="347">
        <v>-9.5412844036697297</v>
      </c>
      <c r="P375" s="347">
        <v>1.0572687224669504</v>
      </c>
      <c r="Q375" s="882">
        <v>2.794759825327501</v>
      </c>
      <c r="R375" s="882">
        <v>0.10000000000000853</v>
      </c>
      <c r="S375" s="1206">
        <v>34.663468745315541</v>
      </c>
      <c r="T375" s="351"/>
      <c r="U375" s="882">
        <v>0.60301507537687871</v>
      </c>
      <c r="V375" s="882">
        <v>-17.996949669547536</v>
      </c>
      <c r="W375" s="882">
        <v>0.10000000000000009</v>
      </c>
      <c r="X375" s="882">
        <v>-7</v>
      </c>
      <c r="Y375" s="882">
        <v>23.174989326480798</v>
      </c>
      <c r="Z375" s="882">
        <v>0</v>
      </c>
      <c r="AA375" s="882">
        <v>-7.3552307389996576</v>
      </c>
    </row>
    <row r="376" spans="1:27" ht="14.25" customHeight="1">
      <c r="A376" s="776"/>
      <c r="B376" s="777"/>
      <c r="C376" s="778">
        <v>11</v>
      </c>
      <c r="D376" s="347">
        <v>-1.4345478599778205</v>
      </c>
      <c r="E376" s="347">
        <v>-1.4646053702196884</v>
      </c>
      <c r="F376" s="347">
        <v>8.016032064127801E-2</v>
      </c>
      <c r="G376" s="347">
        <v>2.1127543645057267</v>
      </c>
      <c r="H376" s="347">
        <v>59.571088165210483</v>
      </c>
      <c r="I376" s="347">
        <v>0</v>
      </c>
      <c r="J376" s="347">
        <v>0.40000000000000568</v>
      </c>
      <c r="K376" s="351"/>
      <c r="L376" s="347">
        <v>0</v>
      </c>
      <c r="M376" s="347">
        <v>-2.4711353234929589</v>
      </c>
      <c r="N376" s="347">
        <v>-3.2786885245901671</v>
      </c>
      <c r="O376" s="347">
        <v>3.036053130929794</v>
      </c>
      <c r="P376" s="347">
        <v>-1.7683465959328029</v>
      </c>
      <c r="Q376" s="882">
        <v>-4.0421792618629127</v>
      </c>
      <c r="R376" s="882">
        <v>0.89999999999999147</v>
      </c>
      <c r="S376" s="1206">
        <v>-40.127623021229603</v>
      </c>
      <c r="T376" s="351"/>
      <c r="U376" s="882">
        <v>-0.30105368790767401</v>
      </c>
      <c r="V376" s="882">
        <v>7.8368223295759503</v>
      </c>
      <c r="W376" s="882">
        <v>0.10000000000000009</v>
      </c>
      <c r="X376" s="882">
        <v>3.2</v>
      </c>
      <c r="Y376" s="882">
        <v>-15.864338741748686</v>
      </c>
      <c r="Z376" s="882">
        <v>-0.10000000000000009</v>
      </c>
      <c r="AA376" s="882">
        <v>10.356526397238261</v>
      </c>
    </row>
    <row r="377" spans="1:27" ht="14.25" customHeight="1">
      <c r="A377" s="874"/>
      <c r="B377" s="875"/>
      <c r="C377" s="876">
        <v>12</v>
      </c>
      <c r="D377" s="347">
        <v>-3.2649595174301984</v>
      </c>
      <c r="E377" s="347">
        <v>0.57212913771965912</v>
      </c>
      <c r="F377" s="347">
        <v>-8.4342379958246294</v>
      </c>
      <c r="G377" s="347">
        <v>-3.858232391206819</v>
      </c>
      <c r="H377" s="349">
        <v>-26.159169550173011</v>
      </c>
      <c r="I377" s="349">
        <v>-1</v>
      </c>
      <c r="J377" s="347">
        <v>0.29999999999999716</v>
      </c>
      <c r="K377" s="353"/>
      <c r="L377" s="347">
        <v>-1.0000000000000009E-2</v>
      </c>
      <c r="M377" s="347">
        <v>1.1339913283016094</v>
      </c>
      <c r="N377" s="347">
        <v>0</v>
      </c>
      <c r="O377" s="347">
        <v>2.674043337943758</v>
      </c>
      <c r="P377" s="347">
        <v>1.9434628975265045</v>
      </c>
      <c r="Q377" s="882">
        <v>2.5675077467906204</v>
      </c>
      <c r="R377" s="882">
        <v>-0.39999999999999147</v>
      </c>
      <c r="S377" s="1206">
        <v>16.406841762229398</v>
      </c>
      <c r="T377" s="353"/>
      <c r="U377" s="882">
        <v>0.30105368790767401</v>
      </c>
      <c r="V377" s="882">
        <v>2.9516539440203622</v>
      </c>
      <c r="W377" s="882">
        <v>0</v>
      </c>
      <c r="X377" s="882">
        <v>1.6</v>
      </c>
      <c r="Y377" s="882">
        <v>7.9584201476357794</v>
      </c>
      <c r="Z377" s="882">
        <v>-0.89999999999999991</v>
      </c>
      <c r="AA377" s="882">
        <v>5.0526780296762173</v>
      </c>
    </row>
    <row r="378" spans="1:27" ht="14.25" customHeight="1">
      <c r="A378" s="873" t="s">
        <v>652</v>
      </c>
      <c r="B378" s="759">
        <v>2019</v>
      </c>
      <c r="C378" s="760">
        <v>1</v>
      </c>
      <c r="D378" s="348">
        <v>2.4318880214076666</v>
      </c>
      <c r="E378" s="348">
        <v>-8.1532816958832882E-2</v>
      </c>
      <c r="F378" s="348">
        <v>-1.139850942569046</v>
      </c>
      <c r="G378" s="348">
        <v>2.0375820692777902</v>
      </c>
      <c r="H378" s="348">
        <v>20.443173695496782</v>
      </c>
      <c r="I378" s="348">
        <v>2</v>
      </c>
      <c r="J378" s="348">
        <v>-4</v>
      </c>
      <c r="K378" s="350"/>
      <c r="L378" s="348">
        <v>-3.0000000000000027E-2</v>
      </c>
      <c r="M378" s="348">
        <v>-0.32233855390558452</v>
      </c>
      <c r="N378" s="348">
        <v>6.4516129032258123</v>
      </c>
      <c r="O378" s="348">
        <v>-12.675374939525893</v>
      </c>
      <c r="P378" s="348">
        <v>-7.1590394200271783</v>
      </c>
      <c r="Q378" s="920">
        <v>-8.0945884492951397</v>
      </c>
      <c r="R378" s="920">
        <v>0.79999999999999716</v>
      </c>
      <c r="S378" s="1209">
        <v>-17.985024308882505</v>
      </c>
      <c r="T378" s="350"/>
      <c r="U378" s="920">
        <v>-1.2096774193548416</v>
      </c>
      <c r="V378" s="920">
        <v>-18.400876232201529</v>
      </c>
      <c r="W378" s="920">
        <v>0</v>
      </c>
      <c r="X378" s="920">
        <v>-1.7000000000000002</v>
      </c>
      <c r="Y378" s="920">
        <v>-2.693253875849265</v>
      </c>
      <c r="Z378" s="920">
        <v>-9.9999999999999978E-2</v>
      </c>
      <c r="AA378" s="882">
        <v>0.67560321715817206</v>
      </c>
    </row>
    <row r="379" spans="1:27" ht="14.25" customHeight="1">
      <c r="A379" s="776"/>
      <c r="B379" s="777"/>
      <c r="C379" s="778">
        <v>2</v>
      </c>
      <c r="D379" s="347">
        <v>3.2482333354769128</v>
      </c>
      <c r="E379" s="347">
        <v>-0.32679738562090804</v>
      </c>
      <c r="F379" s="347">
        <v>5.1546391752577314</v>
      </c>
      <c r="G379" s="347">
        <v>3.1977064725989637</v>
      </c>
      <c r="H379" s="347">
        <v>-8.6603518267929633</v>
      </c>
      <c r="I379" s="347">
        <v>3</v>
      </c>
      <c r="J379" s="347">
        <v>-4</v>
      </c>
      <c r="K379" s="351"/>
      <c r="L379" s="347">
        <v>-1.0000000000000009E-2</v>
      </c>
      <c r="M379" s="347">
        <v>0.74643356986765763</v>
      </c>
      <c r="N379" s="347">
        <v>-2.37154150197629</v>
      </c>
      <c r="O379" s="347">
        <v>14.114258281325013</v>
      </c>
      <c r="P379" s="347">
        <v>5.4844606946983543</v>
      </c>
      <c r="Q379" s="882">
        <v>-0.47505938242280282</v>
      </c>
      <c r="R379" s="882">
        <v>-12</v>
      </c>
      <c r="S379" s="1206">
        <v>-0.32808655235714917</v>
      </c>
      <c r="T379" s="351"/>
      <c r="U379" s="882">
        <v>-2.6721479958889973</v>
      </c>
      <c r="V379" s="882">
        <v>22.293676312968909</v>
      </c>
      <c r="W379" s="882">
        <v>-0.10000000000000009</v>
      </c>
      <c r="X379" s="882">
        <v>4.2</v>
      </c>
      <c r="Y379" s="882">
        <v>2.2939464068596171</v>
      </c>
      <c r="Z379" s="882">
        <v>-0.2</v>
      </c>
      <c r="AA379" s="882">
        <v>-4.2848175541060565</v>
      </c>
    </row>
    <row r="380" spans="1:27" ht="14.25" customHeight="1">
      <c r="A380" s="776"/>
      <c r="B380" s="777"/>
      <c r="C380" s="778">
        <v>3</v>
      </c>
      <c r="D380" s="347">
        <v>-9.072868125891187</v>
      </c>
      <c r="E380" s="347">
        <v>-2.0669698222405954</v>
      </c>
      <c r="F380" s="347">
        <v>-8.3787180561381264E-2</v>
      </c>
      <c r="G380" s="347">
        <v>-3.5568319893957803</v>
      </c>
      <c r="H380" s="347">
        <v>16.839378238341968</v>
      </c>
      <c r="I380" s="347">
        <v>-1</v>
      </c>
      <c r="J380" s="347">
        <v>-4</v>
      </c>
      <c r="K380" s="351"/>
      <c r="L380" s="347">
        <v>2.0000000000000018E-2</v>
      </c>
      <c r="M380" s="347">
        <v>-1.7196925771949585</v>
      </c>
      <c r="N380" s="347">
        <v>-4.9180327868852434</v>
      </c>
      <c r="O380" s="347">
        <v>-2.0842772995015832</v>
      </c>
      <c r="P380" s="347">
        <v>-0.7142857142857244</v>
      </c>
      <c r="Q380" s="882">
        <v>1.0421601136901888</v>
      </c>
      <c r="R380" s="882">
        <v>0.59999999999999432</v>
      </c>
      <c r="S380" s="1206">
        <v>-5.1238840405256223</v>
      </c>
      <c r="T380" s="351"/>
      <c r="U380" s="882">
        <v>0.31201248049921698</v>
      </c>
      <c r="V380" s="882">
        <v>-0.67731011127237817</v>
      </c>
      <c r="W380" s="882">
        <v>0.10000000000000009</v>
      </c>
      <c r="X380" s="882">
        <v>-2.8</v>
      </c>
      <c r="Y380" s="882">
        <v>3.4587305650740388</v>
      </c>
      <c r="Z380" s="882">
        <v>0.5</v>
      </c>
      <c r="AA380" s="882">
        <v>-2.5562444391091277</v>
      </c>
    </row>
    <row r="381" spans="1:27" ht="14.25" customHeight="1">
      <c r="A381" s="776"/>
      <c r="B381" s="777"/>
      <c r="C381" s="778">
        <v>4</v>
      </c>
      <c r="D381" s="347">
        <v>6.2951611820764555</v>
      </c>
      <c r="E381" s="347">
        <v>-1.0919781604367889</v>
      </c>
      <c r="F381" s="347">
        <v>-7.2079895788102455</v>
      </c>
      <c r="G381" s="347">
        <v>4.097818902842036</v>
      </c>
      <c r="H381" s="347">
        <v>-57.736720554272516</v>
      </c>
      <c r="I381" s="347">
        <v>-4</v>
      </c>
      <c r="J381" s="347">
        <v>2</v>
      </c>
      <c r="K381" s="351"/>
      <c r="L381" s="347">
        <v>-1.0000000000000009E-2</v>
      </c>
      <c r="M381" s="347">
        <v>5.5929169287338496</v>
      </c>
      <c r="N381" s="347">
        <v>6.5040650406503966</v>
      </c>
      <c r="O381" s="347">
        <v>-1.5689893862482722</v>
      </c>
      <c r="P381" s="347">
        <v>-2.6327734906944995</v>
      </c>
      <c r="Q381" s="882">
        <v>-5.3217223028543783</v>
      </c>
      <c r="R381" s="882">
        <v>1.6000000000000085</v>
      </c>
      <c r="S381" s="1206">
        <v>12.572839887315235</v>
      </c>
      <c r="T381" s="351"/>
      <c r="U381" s="882">
        <v>0.4145077720207313</v>
      </c>
      <c r="V381" s="882">
        <v>-2.2582228767795751</v>
      </c>
      <c r="W381" s="882">
        <v>-0.10000000000000009</v>
      </c>
      <c r="X381" s="882">
        <v>0.59999999999999987</v>
      </c>
      <c r="Y381" s="882">
        <v>-24.771322115097938</v>
      </c>
      <c r="Z381" s="882">
        <v>0.30000000000000004</v>
      </c>
      <c r="AA381" s="882">
        <v>-39.001624070433365</v>
      </c>
    </row>
    <row r="382" spans="1:27" ht="14.25" customHeight="1">
      <c r="A382" s="776"/>
      <c r="B382" s="777"/>
      <c r="C382" s="778">
        <v>5</v>
      </c>
      <c r="D382" s="347">
        <v>-4.3613154862157577</v>
      </c>
      <c r="E382" s="347">
        <v>1.675041876046901</v>
      </c>
      <c r="F382" s="347">
        <v>12.103258569614894</v>
      </c>
      <c r="G382" s="347">
        <v>1.6061676839061998</v>
      </c>
      <c r="H382" s="347">
        <v>42.18616567036721</v>
      </c>
      <c r="I382" s="347">
        <v>3</v>
      </c>
      <c r="J382" s="347">
        <v>2</v>
      </c>
      <c r="K382" s="351"/>
      <c r="L382" s="347">
        <v>-1.0000000000000009E-2</v>
      </c>
      <c r="M382" s="347">
        <v>-3.6079633933063282</v>
      </c>
      <c r="N382" s="347">
        <v>3.8610038610038613</v>
      </c>
      <c r="O382" s="347">
        <v>3.023362345396241</v>
      </c>
      <c r="P382" s="347">
        <v>2.0937642239417364</v>
      </c>
      <c r="Q382" s="882">
        <v>7.4641148325358957</v>
      </c>
      <c r="R382" s="882">
        <v>4.2999999999999972</v>
      </c>
      <c r="S382" s="1206">
        <v>-17.371058758533596</v>
      </c>
      <c r="T382" s="351"/>
      <c r="U382" s="882">
        <v>2.4514811031664876</v>
      </c>
      <c r="V382" s="882">
        <v>3.031784841075789</v>
      </c>
      <c r="W382" s="882">
        <v>-0.10000000000000009</v>
      </c>
      <c r="X382" s="882">
        <v>1</v>
      </c>
      <c r="Y382" s="882">
        <v>29.670859243680084</v>
      </c>
      <c r="Z382" s="882">
        <v>-0.5</v>
      </c>
      <c r="AA382" s="882">
        <v>9.128496149169024</v>
      </c>
    </row>
    <row r="383" spans="1:27" ht="14.25" customHeight="1">
      <c r="A383" s="776"/>
      <c r="B383" s="777"/>
      <c r="C383" s="778">
        <v>6</v>
      </c>
      <c r="D383" s="347">
        <v>-7.6313375616410415</v>
      </c>
      <c r="E383" s="347">
        <v>-4.2408821034775235</v>
      </c>
      <c r="F383" s="347">
        <v>-4.7385620915032662</v>
      </c>
      <c r="G383" s="347">
        <v>-1.4551679863043012</v>
      </c>
      <c r="H383" s="347">
        <v>20.733249051833123</v>
      </c>
      <c r="I383" s="347">
        <v>-1</v>
      </c>
      <c r="J383" s="347">
        <v>2</v>
      </c>
      <c r="K383" s="351"/>
      <c r="L383" s="347">
        <v>-3.0000000000000027E-2</v>
      </c>
      <c r="M383" s="347">
        <v>-0.41806735529613992</v>
      </c>
      <c r="N383" s="347">
        <v>-0.76045627376425595</v>
      </c>
      <c r="O383" s="347">
        <v>-1.8214936247723132</v>
      </c>
      <c r="P383" s="347">
        <v>-2.9250457038391251</v>
      </c>
      <c r="Q383" s="882">
        <v>-5.4002842254855539</v>
      </c>
      <c r="R383" s="882">
        <v>3.3999999999999915</v>
      </c>
      <c r="S383" s="1206">
        <v>21.198833233527147</v>
      </c>
      <c r="T383" s="351"/>
      <c r="U383" s="882">
        <v>-0.10095911155981253</v>
      </c>
      <c r="V383" s="882">
        <v>0.86330935251799101</v>
      </c>
      <c r="W383" s="882">
        <v>0</v>
      </c>
      <c r="X383" s="882">
        <v>0</v>
      </c>
      <c r="Y383" s="882">
        <v>13.875311693923948</v>
      </c>
      <c r="Z383" s="882">
        <v>-0.3</v>
      </c>
      <c r="AA383" s="882">
        <v>37.689548857987795</v>
      </c>
    </row>
    <row r="384" spans="1:27" ht="14.25" customHeight="1">
      <c r="A384" s="776"/>
      <c r="B384" s="777"/>
      <c r="C384" s="778">
        <v>7</v>
      </c>
      <c r="D384" s="347">
        <v>10.30236028109997</v>
      </c>
      <c r="E384" s="347">
        <v>-0.8703220191470844</v>
      </c>
      <c r="F384" s="347">
        <v>-6.7474048442906556</v>
      </c>
      <c r="G384" s="347">
        <v>0.49457047629287171</v>
      </c>
      <c r="H384" s="347">
        <v>-33.422459893048128</v>
      </c>
      <c r="I384" s="347">
        <v>0</v>
      </c>
      <c r="J384" s="347">
        <v>-3.2999999999999972</v>
      </c>
      <c r="K384" s="351"/>
      <c r="L384" s="347">
        <v>-1.0000000000000009E-2</v>
      </c>
      <c r="M384" s="347">
        <v>3.1824866793644673</v>
      </c>
      <c r="N384" s="347">
        <v>-2.3166023166023084</v>
      </c>
      <c r="O384" s="347">
        <v>1.2785388127853934</v>
      </c>
      <c r="P384" s="347">
        <v>-0.18570102135562011</v>
      </c>
      <c r="Q384" s="882">
        <v>0.29168692270296276</v>
      </c>
      <c r="R384" s="882">
        <v>-4.0999999999999943</v>
      </c>
      <c r="S384" s="1206">
        <v>-24.701726844583973</v>
      </c>
      <c r="T384" s="351"/>
      <c r="U384" s="882">
        <v>-1.2195121951219541</v>
      </c>
      <c r="V384" s="882">
        <v>3.1954887218045029</v>
      </c>
      <c r="W384" s="882">
        <v>0</v>
      </c>
      <c r="X384" s="882">
        <v>-5.7</v>
      </c>
      <c r="Y384" s="882">
        <v>-19.084855183639352</v>
      </c>
      <c r="Z384" s="882">
        <v>-0.2</v>
      </c>
      <c r="AA384" s="882">
        <v>-24.236488291336475</v>
      </c>
    </row>
    <row r="385" spans="1:27" ht="14.25" customHeight="1">
      <c r="A385" s="776"/>
      <c r="B385" s="777"/>
      <c r="C385" s="778">
        <v>8</v>
      </c>
      <c r="D385" s="347">
        <v>-4.6539621874976511</v>
      </c>
      <c r="E385" s="347">
        <v>-2.3883237505528552</v>
      </c>
      <c r="F385" s="347">
        <v>-18.590998043052839</v>
      </c>
      <c r="G385" s="347">
        <v>-0.15026296018031554</v>
      </c>
      <c r="H385" s="347">
        <v>4.8551292090837901</v>
      </c>
      <c r="I385" s="347">
        <v>-1</v>
      </c>
      <c r="J385" s="347">
        <v>-3.4000000000000057</v>
      </c>
      <c r="K385" s="351"/>
      <c r="L385" s="347">
        <v>1.0000000000000009E-2</v>
      </c>
      <c r="M385" s="347">
        <v>-2.6353122219817613</v>
      </c>
      <c r="N385" s="347">
        <v>-0.78431372549020717</v>
      </c>
      <c r="O385" s="347">
        <v>0.63319764812302382</v>
      </c>
      <c r="P385" s="347">
        <v>-2.6365348399246682</v>
      </c>
      <c r="Q385" s="882">
        <v>-4.9751243781094523</v>
      </c>
      <c r="R385" s="882">
        <v>6.4000000000000057</v>
      </c>
      <c r="S385" s="1206">
        <v>0.61601642710471072</v>
      </c>
      <c r="T385" s="351"/>
      <c r="U385" s="882">
        <v>1.1184544992374261</v>
      </c>
      <c r="V385" s="882">
        <v>1.4692378328742042</v>
      </c>
      <c r="W385" s="882">
        <v>0</v>
      </c>
      <c r="X385" s="882">
        <v>8.1</v>
      </c>
      <c r="Y385" s="882">
        <v>-0.42186574313097486</v>
      </c>
      <c r="Z385" s="882">
        <v>0.1</v>
      </c>
      <c r="AA385" s="882">
        <v>20.447516827360385</v>
      </c>
    </row>
    <row r="386" spans="1:27" ht="14.25" customHeight="1">
      <c r="A386" s="776"/>
      <c r="B386" s="777"/>
      <c r="C386" s="778">
        <v>9</v>
      </c>
      <c r="D386" s="347">
        <v>-7.098647269014803</v>
      </c>
      <c r="E386" s="347">
        <v>-0.17921146953405273</v>
      </c>
      <c r="F386" s="347">
        <v>1.7112299465240581</v>
      </c>
      <c r="G386" s="347">
        <v>3.2752245113576333</v>
      </c>
      <c r="H386" s="347">
        <v>18.585298196948681</v>
      </c>
      <c r="I386" s="347">
        <v>2</v>
      </c>
      <c r="J386" s="347">
        <v>-3.2999999999999972</v>
      </c>
      <c r="K386" s="351"/>
      <c r="L386" s="347">
        <v>-1.0000000000000009E-2</v>
      </c>
      <c r="M386" s="347">
        <v>1.6073090263091108</v>
      </c>
      <c r="N386" s="347">
        <v>0.78431372549020717</v>
      </c>
      <c r="O386" s="347">
        <v>1.7873100983020553</v>
      </c>
      <c r="P386" s="347">
        <v>1.5151515151515234</v>
      </c>
      <c r="Q386" s="882">
        <v>3.0150753768844223</v>
      </c>
      <c r="R386" s="882">
        <v>-1</v>
      </c>
      <c r="S386" s="1206">
        <v>41.895481170076167</v>
      </c>
      <c r="T386" s="351"/>
      <c r="U386" s="882">
        <v>-0.10116337885686245</v>
      </c>
      <c r="V386" s="882">
        <v>1.8066847335140017</v>
      </c>
      <c r="W386" s="882">
        <v>0.10000000000000009</v>
      </c>
      <c r="X386" s="882">
        <v>4.2</v>
      </c>
      <c r="Y386" s="882">
        <v>4.2699502327054173</v>
      </c>
      <c r="Z386" s="882">
        <v>-0.19999999999999998</v>
      </c>
      <c r="AA386" s="882">
        <v>-3.1318535488286949</v>
      </c>
    </row>
    <row r="387" spans="1:27" ht="14.25" customHeight="1">
      <c r="A387" s="776"/>
      <c r="B387" s="777"/>
      <c r="C387" s="778">
        <v>10</v>
      </c>
      <c r="D387" s="347">
        <v>4.7911924709832618</v>
      </c>
      <c r="E387" s="347">
        <v>-2.543142597638508</v>
      </c>
      <c r="F387" s="347">
        <v>-4.2230644288034558</v>
      </c>
      <c r="G387" s="347">
        <v>-32.142857142857146</v>
      </c>
      <c r="H387" s="347">
        <v>-1.277139208173691</v>
      </c>
      <c r="I387" s="347">
        <v>0</v>
      </c>
      <c r="J387" s="347">
        <v>0.29999999999999716</v>
      </c>
      <c r="K387" s="351"/>
      <c r="L387" s="347">
        <v>-9.9999999999997868E-3</v>
      </c>
      <c r="M387" s="347">
        <v>-1.5634628164079194</v>
      </c>
      <c r="N387" s="347">
        <v>0.77821011673151463</v>
      </c>
      <c r="O387" s="347">
        <v>-0.71111111111112124</v>
      </c>
      <c r="P387" s="347">
        <v>-0.47103155911446065</v>
      </c>
      <c r="Q387" s="882">
        <v>1.3765978367748335</v>
      </c>
      <c r="R387" s="882">
        <v>-5.2000000000000028</v>
      </c>
      <c r="S387" s="1206">
        <v>-39.96230958488195</v>
      </c>
      <c r="T387" s="351"/>
      <c r="U387" s="882">
        <v>-0.81300813008129791</v>
      </c>
      <c r="V387" s="882">
        <v>2.3883237505528552</v>
      </c>
      <c r="W387" s="882">
        <v>0</v>
      </c>
      <c r="X387" s="882">
        <v>-13.3</v>
      </c>
      <c r="Y387" s="882">
        <v>-2.0989850866252504</v>
      </c>
      <c r="Z387" s="882">
        <v>0.6</v>
      </c>
      <c r="AA387" s="882">
        <v>-18.580557106520253</v>
      </c>
    </row>
    <row r="388" spans="1:27" ht="14.25" customHeight="1">
      <c r="A388" s="776"/>
      <c r="B388" s="777"/>
      <c r="C388" s="778">
        <v>11</v>
      </c>
      <c r="D388" s="347">
        <v>12.675162057203604</v>
      </c>
      <c r="E388" s="347">
        <v>-0.55350553505535838</v>
      </c>
      <c r="F388" s="347">
        <v>5.3821313240043054</v>
      </c>
      <c r="G388" s="347">
        <v>8.2690187431091502</v>
      </c>
      <c r="H388" s="347">
        <v>-10.27027027027027</v>
      </c>
      <c r="I388" s="347">
        <v>-2</v>
      </c>
      <c r="J388" s="347">
        <v>0.40000000000000568</v>
      </c>
      <c r="K388" s="351"/>
      <c r="L388" s="347">
        <v>-5.0000000000000044E-2</v>
      </c>
      <c r="M388" s="347">
        <v>3.3690511822807716</v>
      </c>
      <c r="N388" s="347">
        <v>0.77220077220076955</v>
      </c>
      <c r="O388" s="347">
        <v>-4.8423937871174036</v>
      </c>
      <c r="P388" s="347">
        <v>-2.2922636103151914</v>
      </c>
      <c r="Q388" s="882">
        <v>-2.6719445818901559</v>
      </c>
      <c r="R388" s="882">
        <v>2.5</v>
      </c>
      <c r="S388" s="1206">
        <v>10.914338727966182</v>
      </c>
      <c r="T388" s="351"/>
      <c r="U388" s="882">
        <v>-0.40899795501023078</v>
      </c>
      <c r="V388" s="882">
        <v>-6.965174129353235</v>
      </c>
      <c r="W388" s="882">
        <v>-0.10000000000000009</v>
      </c>
      <c r="X388" s="882">
        <v>5.4</v>
      </c>
      <c r="Y388" s="882">
        <v>-5.6965388856975219</v>
      </c>
      <c r="Z388" s="882">
        <v>0</v>
      </c>
      <c r="AA388" s="882">
        <v>19.579535113291065</v>
      </c>
    </row>
    <row r="389" spans="1:27" ht="14.25" customHeight="1">
      <c r="A389" s="874"/>
      <c r="B389" s="875"/>
      <c r="C389" s="876">
        <v>12</v>
      </c>
      <c r="D389" s="347">
        <v>-17.234904187688059</v>
      </c>
      <c r="E389" s="347">
        <v>-3.1000469704086404</v>
      </c>
      <c r="F389" s="347">
        <v>-1.7979904812268668</v>
      </c>
      <c r="G389" s="347">
        <v>-6.3916962578530452</v>
      </c>
      <c r="H389" s="349">
        <v>0.14234875444839859</v>
      </c>
      <c r="I389" s="349">
        <v>3</v>
      </c>
      <c r="J389" s="347">
        <v>0.29999999999999716</v>
      </c>
      <c r="K389" s="353"/>
      <c r="L389" s="347">
        <v>-6.0000000000000053E-2</v>
      </c>
      <c r="M389" s="347">
        <v>2.175482728903166</v>
      </c>
      <c r="N389" s="347">
        <v>-6.3492063492063551</v>
      </c>
      <c r="O389" s="347">
        <v>-3.5254883277751343</v>
      </c>
      <c r="P389" s="347">
        <v>-1.4598540145985401</v>
      </c>
      <c r="Q389" s="882">
        <v>0.40040040040039182</v>
      </c>
      <c r="R389" s="882">
        <v>4.0999999999999943</v>
      </c>
      <c r="S389" s="1206">
        <v>2.8178786885877809</v>
      </c>
      <c r="T389" s="353"/>
      <c r="U389" s="882">
        <v>0.81632653061225646</v>
      </c>
      <c r="V389" s="882">
        <v>-4.995196926032663</v>
      </c>
      <c r="W389" s="882">
        <v>-9.9999999999999645E-2</v>
      </c>
      <c r="X389" s="882">
        <v>-1.1000000000000001</v>
      </c>
      <c r="Y389" s="882">
        <v>-8.3437227740383104</v>
      </c>
      <c r="Z389" s="882">
        <v>0.60000000000000009</v>
      </c>
      <c r="AA389" s="882">
        <v>-13.567763809295204</v>
      </c>
    </row>
    <row r="390" spans="1:27" ht="14.25" customHeight="1">
      <c r="A390" s="873" t="s">
        <v>669</v>
      </c>
      <c r="B390" s="759">
        <v>2020</v>
      </c>
      <c r="C390" s="760">
        <v>1</v>
      </c>
      <c r="D390" s="348">
        <v>-10.601689318363515</v>
      </c>
      <c r="E390" s="348">
        <v>7.4414331649058427</v>
      </c>
      <c r="F390" s="348">
        <v>5.6016597510373343</v>
      </c>
      <c r="G390" s="348">
        <v>2.5901685002088843</v>
      </c>
      <c r="H390" s="348">
        <v>-31.630971993410213</v>
      </c>
      <c r="I390" s="348">
        <v>-2</v>
      </c>
      <c r="J390" s="348">
        <v>-4.7000000000000028</v>
      </c>
      <c r="K390" s="350"/>
      <c r="L390" s="348">
        <v>-4.0000000000000036E-2</v>
      </c>
      <c r="M390" s="348">
        <v>-2.1495860358419643</v>
      </c>
      <c r="N390" s="348">
        <v>-5.9071729957805852</v>
      </c>
      <c r="O390" s="348">
        <v>3.0563514804202514</v>
      </c>
      <c r="P390" s="348">
        <v>-0.29455081001472477</v>
      </c>
      <c r="Q390" s="920">
        <v>-3.0425963488843815</v>
      </c>
      <c r="R390" s="920">
        <v>3.1000000000000085</v>
      </c>
      <c r="S390" s="1209">
        <v>-1.2353942361018044</v>
      </c>
      <c r="T390" s="350"/>
      <c r="U390" s="920">
        <v>0.80971659919028038</v>
      </c>
      <c r="V390" s="920">
        <v>2.5291828793774265</v>
      </c>
      <c r="W390" s="920">
        <v>0.19999999999999973</v>
      </c>
      <c r="X390" s="920">
        <v>1.9</v>
      </c>
      <c r="Y390" s="920">
        <v>0.66085973431999789</v>
      </c>
      <c r="Z390" s="920">
        <v>9.9999999999999978E-2</v>
      </c>
      <c r="AA390" s="882">
        <v>-4.2704275358745525</v>
      </c>
    </row>
    <row r="391" spans="1:27" ht="14.25" customHeight="1">
      <c r="A391" s="776"/>
      <c r="B391" s="777"/>
      <c r="C391" s="778">
        <v>2</v>
      </c>
      <c r="D391" s="347">
        <v>3.3066204606165588</v>
      </c>
      <c r="E391" s="347">
        <v>-6.6819221967963491</v>
      </c>
      <c r="F391" s="347">
        <v>14.852872489490897</v>
      </c>
      <c r="G391" s="347">
        <v>11.55440414507772</v>
      </c>
      <c r="H391" s="347">
        <v>2.7027027027027026</v>
      </c>
      <c r="I391" s="347">
        <v>2</v>
      </c>
      <c r="J391" s="347">
        <v>-4.5999999999999943</v>
      </c>
      <c r="K391" s="351"/>
      <c r="L391" s="347">
        <v>3.0000000000000027E-2</v>
      </c>
      <c r="M391" s="347">
        <v>0.19755873844635449</v>
      </c>
      <c r="N391" s="347">
        <v>6.7226890756302575</v>
      </c>
      <c r="O391" s="347">
        <v>-1.3257575757575677</v>
      </c>
      <c r="P391" s="347">
        <v>6.4700285442435757</v>
      </c>
      <c r="Q391" s="882">
        <v>6.7661691542288667</v>
      </c>
      <c r="R391" s="882">
        <v>-7.9000000000000057</v>
      </c>
      <c r="S391" s="1206">
        <v>4.704998121007133</v>
      </c>
      <c r="T391" s="351"/>
      <c r="U391" s="882">
        <v>0</v>
      </c>
      <c r="V391" s="882">
        <v>0.67017711823839432</v>
      </c>
      <c r="W391" s="882">
        <v>0</v>
      </c>
      <c r="X391" s="882">
        <v>3.2</v>
      </c>
      <c r="Y391" s="882">
        <v>-4.4965827856188954</v>
      </c>
      <c r="Z391" s="882">
        <v>-0.5</v>
      </c>
      <c r="AA391" s="882">
        <v>0.29182389937106307</v>
      </c>
    </row>
    <row r="392" spans="1:27" ht="14.25" customHeight="1">
      <c r="A392" s="776"/>
      <c r="B392" s="777"/>
      <c r="C392" s="778">
        <v>3</v>
      </c>
      <c r="D392" s="347">
        <v>-3.817967972496155</v>
      </c>
      <c r="E392" s="347">
        <v>0.28368794326242208</v>
      </c>
      <c r="F392" s="347">
        <v>-13.259156235512284</v>
      </c>
      <c r="G392" s="347">
        <v>-5.3048397234443749</v>
      </c>
      <c r="H392" s="347">
        <v>-0.19065776930409914</v>
      </c>
      <c r="I392" s="347">
        <v>2</v>
      </c>
      <c r="J392" s="347">
        <v>-4.7000000000000028</v>
      </c>
      <c r="K392" s="351"/>
      <c r="L392" s="347">
        <v>-5.0000000000000044E-2</v>
      </c>
      <c r="M392" s="347">
        <v>0.48050441243686048</v>
      </c>
      <c r="N392" s="347">
        <v>-13.913043478260882</v>
      </c>
      <c r="O392" s="347">
        <v>-3.590490053372152</v>
      </c>
      <c r="P392" s="347">
        <v>-0.74005550416280963</v>
      </c>
      <c r="Q392" s="882">
        <v>2.8462998102466792</v>
      </c>
      <c r="R392" s="882">
        <v>1.5</v>
      </c>
      <c r="S392" s="1206">
        <v>-2.7129114489328878</v>
      </c>
      <c r="T392" s="351"/>
      <c r="U392" s="882">
        <v>0.4024144869215206</v>
      </c>
      <c r="V392" s="882">
        <v>-5.2889324191968576</v>
      </c>
      <c r="W392" s="882">
        <v>0.10000000000000009</v>
      </c>
      <c r="X392" s="882">
        <v>-9</v>
      </c>
      <c r="Y392" s="882">
        <v>-5.2169515191828788</v>
      </c>
      <c r="Z392" s="882">
        <v>-9.9999999999999978E-2</v>
      </c>
      <c r="AA392" s="882">
        <v>12.993846009301453</v>
      </c>
    </row>
    <row r="393" spans="1:27" ht="14.25" customHeight="1">
      <c r="A393" s="776"/>
      <c r="B393" s="777"/>
      <c r="C393" s="778">
        <v>4</v>
      </c>
      <c r="D393" s="347">
        <v>-11.202992139789039</v>
      </c>
      <c r="E393" s="347">
        <v>-4.4401544401544486</v>
      </c>
      <c r="F393" s="347">
        <v>3.7037037037037011</v>
      </c>
      <c r="G393" s="347">
        <v>-18.325345362277982</v>
      </c>
      <c r="H393" s="347">
        <v>-11.290322580645162</v>
      </c>
      <c r="I393" s="347">
        <v>-4</v>
      </c>
      <c r="J393" s="347">
        <v>-9.2999999999999972</v>
      </c>
      <c r="K393" s="351"/>
      <c r="L393" s="347">
        <v>-7.9999999999999849E-2</v>
      </c>
      <c r="M393" s="347">
        <v>-6.4344845895783642</v>
      </c>
      <c r="N393" s="347">
        <v>-0.93896713615023153</v>
      </c>
      <c r="O393" s="347">
        <v>3.1128404669260723</v>
      </c>
      <c r="P393" s="347">
        <v>-3.5916824196597323</v>
      </c>
      <c r="Q393" s="882">
        <v>-6.0722891566265167</v>
      </c>
      <c r="R393" s="882">
        <v>4.2999999999999972</v>
      </c>
      <c r="S393" s="1206">
        <v>1.9685848228460532</v>
      </c>
      <c r="T393" s="351"/>
      <c r="U393" s="882">
        <v>1.0983524712930688</v>
      </c>
      <c r="V393" s="882">
        <v>7.2709646146388751</v>
      </c>
      <c r="W393" s="882">
        <v>0.10000000000000009</v>
      </c>
      <c r="X393" s="882">
        <v>-3.5999999999999996</v>
      </c>
      <c r="Y393" s="882">
        <v>3.3630793819925411</v>
      </c>
      <c r="Z393" s="882">
        <v>-0.60000000000000009</v>
      </c>
      <c r="AA393" s="882">
        <v>-4.4276117047657753</v>
      </c>
    </row>
    <row r="394" spans="1:27" ht="14.25" customHeight="1">
      <c r="A394" s="776"/>
      <c r="B394" s="777"/>
      <c r="C394" s="778">
        <v>5</v>
      </c>
      <c r="D394" s="347">
        <v>2.3614339899669683</v>
      </c>
      <c r="E394" s="347">
        <v>-2.7013506753376721</v>
      </c>
      <c r="F394" s="347">
        <v>-27.792915531335151</v>
      </c>
      <c r="G394" s="347">
        <v>-16.205334675390034</v>
      </c>
      <c r="H394" s="347">
        <v>10.334346504559271</v>
      </c>
      <c r="I394" s="347">
        <v>1</v>
      </c>
      <c r="J394" s="347">
        <v>-9.4000000000000057</v>
      </c>
      <c r="K394" s="351"/>
      <c r="L394" s="347">
        <v>-0.10000000000000009</v>
      </c>
      <c r="M394" s="347">
        <v>8.44787847665906</v>
      </c>
      <c r="N394" s="347">
        <v>-14.141414141414145</v>
      </c>
      <c r="O394" s="347">
        <v>-2.5218234723569433</v>
      </c>
      <c r="P394" s="347">
        <v>-10.643689812468322</v>
      </c>
      <c r="Q394" s="882">
        <v>-5.8312020460357941</v>
      </c>
      <c r="R394" s="882">
        <v>8.4000000000000057</v>
      </c>
      <c r="S394" s="1206">
        <v>-39.758769012460654</v>
      </c>
      <c r="T394" s="351"/>
      <c r="U394" s="882">
        <v>0</v>
      </c>
      <c r="V394" s="882">
        <v>-3.6190476190476297</v>
      </c>
      <c r="W394" s="882">
        <v>0.19999999999999973</v>
      </c>
      <c r="X394" s="882">
        <v>2.2000000000000002</v>
      </c>
      <c r="Y394" s="882">
        <v>-7.7244882148647269</v>
      </c>
      <c r="Z394" s="882">
        <v>0.2</v>
      </c>
      <c r="AA394" s="882">
        <v>-50.607607125662014</v>
      </c>
    </row>
    <row r="395" spans="1:27" ht="14.25" customHeight="1">
      <c r="A395" s="776"/>
      <c r="B395" s="777"/>
      <c r="C395" s="778">
        <v>6</v>
      </c>
      <c r="D395" s="347">
        <v>1.67479414821329</v>
      </c>
      <c r="E395" s="347">
        <v>-1.3272077590607425</v>
      </c>
      <c r="F395" s="347">
        <v>-13.369345037137078</v>
      </c>
      <c r="G395" s="347">
        <v>30.297397769516728</v>
      </c>
      <c r="H395" s="347">
        <v>-7.8078078078078077</v>
      </c>
      <c r="I395" s="347">
        <v>2</v>
      </c>
      <c r="J395" s="347">
        <v>-9.2999999999999972</v>
      </c>
      <c r="K395" s="351"/>
      <c r="L395" s="347">
        <v>0</v>
      </c>
      <c r="M395" s="347">
        <v>8.2206229742350239</v>
      </c>
      <c r="N395" s="347">
        <v>2.1505376344086136</v>
      </c>
      <c r="O395" s="347">
        <v>-7.0157600406710641</v>
      </c>
      <c r="P395" s="347">
        <v>0.21390374331549586</v>
      </c>
      <c r="Q395" s="882">
        <v>-1.2725344644750824</v>
      </c>
      <c r="R395" s="882">
        <v>0.70000000000000284</v>
      </c>
      <c r="S395" s="1206">
        <v>7.7616704348982628</v>
      </c>
      <c r="T395" s="351"/>
      <c r="U395" s="882">
        <v>-0.29835902536051429</v>
      </c>
      <c r="V395" s="882">
        <v>-9.4464195022854227</v>
      </c>
      <c r="W395" s="882">
        <v>0</v>
      </c>
      <c r="X395" s="882">
        <v>6.6</v>
      </c>
      <c r="Y395" s="882">
        <v>14.844507685001373</v>
      </c>
      <c r="Z395" s="882">
        <v>0.4</v>
      </c>
      <c r="AA395" s="882">
        <v>51.135120612562133</v>
      </c>
    </row>
    <row r="396" spans="1:27" ht="14.25" customHeight="1">
      <c r="A396" s="776"/>
      <c r="B396" s="777"/>
      <c r="C396" s="778">
        <v>7</v>
      </c>
      <c r="D396" s="347">
        <v>-5.0328649944632353</v>
      </c>
      <c r="E396" s="347">
        <v>-1.0330578512396695</v>
      </c>
      <c r="F396" s="347">
        <v>31.154551007941357</v>
      </c>
      <c r="G396" s="347">
        <v>6.103286384976526</v>
      </c>
      <c r="H396" s="347">
        <v>7.4222668004012036</v>
      </c>
      <c r="I396" s="347">
        <v>-3</v>
      </c>
      <c r="J396" s="347">
        <v>1.7000000000000028</v>
      </c>
      <c r="K396" s="351"/>
      <c r="L396" s="347">
        <v>-1.0000000000000009E-2</v>
      </c>
      <c r="M396" s="347">
        <v>-2.671457751826078</v>
      </c>
      <c r="N396" s="347">
        <v>-1.0695187165775362</v>
      </c>
      <c r="O396" s="347">
        <v>-2.777777777777787</v>
      </c>
      <c r="P396" s="347">
        <v>1.4846235418875988</v>
      </c>
      <c r="Q396" s="882">
        <v>1.1671087533156439</v>
      </c>
      <c r="R396" s="882">
        <v>-1.7000000000000028</v>
      </c>
      <c r="S396" s="1206">
        <v>35.752286825780679</v>
      </c>
      <c r="T396" s="351"/>
      <c r="U396" s="882">
        <v>0.1990049751243668</v>
      </c>
      <c r="V396" s="882">
        <v>-4.0239260467645499</v>
      </c>
      <c r="W396" s="882">
        <v>0.10000000000000009</v>
      </c>
      <c r="X396" s="882">
        <v>-0.30000000000000004</v>
      </c>
      <c r="Y396" s="882">
        <v>4.8879796681197307</v>
      </c>
      <c r="Z396" s="882">
        <v>-0.2</v>
      </c>
      <c r="AA396" s="882">
        <v>31.949866447503602</v>
      </c>
    </row>
    <row r="397" spans="1:27" ht="14.25" customHeight="1">
      <c r="A397" s="776"/>
      <c r="B397" s="777"/>
      <c r="C397" s="778">
        <v>8</v>
      </c>
      <c r="D397" s="347">
        <v>5.0487093792220721</v>
      </c>
      <c r="E397" s="347">
        <v>-0.20790020790021088</v>
      </c>
      <c r="F397" s="347">
        <v>14.236622484045165</v>
      </c>
      <c r="G397" s="347">
        <v>4.0421574705517669</v>
      </c>
      <c r="H397" s="347">
        <v>0.38610038610038611</v>
      </c>
      <c r="I397" s="347">
        <v>-2</v>
      </c>
      <c r="J397" s="347">
        <v>1.5999999999999943</v>
      </c>
      <c r="K397" s="351"/>
      <c r="L397" s="347">
        <v>-1.0000000000000009E-2</v>
      </c>
      <c r="M397" s="347">
        <v>0.22303786230119171</v>
      </c>
      <c r="N397" s="347">
        <v>5.2356020942408374</v>
      </c>
      <c r="O397" s="347">
        <v>3.5125066524747179</v>
      </c>
      <c r="P397" s="347">
        <v>0.83857442348008082</v>
      </c>
      <c r="Q397" s="882">
        <v>0</v>
      </c>
      <c r="R397" s="882">
        <v>-4.6000000000000085</v>
      </c>
      <c r="S397" s="1206">
        <v>-7.2961928887081031</v>
      </c>
      <c r="T397" s="351"/>
      <c r="U397" s="882">
        <v>-1.099450274862563</v>
      </c>
      <c r="V397" s="882">
        <v>4.7670639219935058</v>
      </c>
      <c r="W397" s="882">
        <v>0.10000000000000009</v>
      </c>
      <c r="X397" s="882">
        <v>-3.5</v>
      </c>
      <c r="Y397" s="882">
        <v>0.1724463039277466</v>
      </c>
      <c r="Z397" s="882">
        <v>-0.5</v>
      </c>
      <c r="AA397" s="882">
        <v>-26.840479240449106</v>
      </c>
    </row>
    <row r="398" spans="1:27" ht="14.25" customHeight="1">
      <c r="A398" s="776"/>
      <c r="B398" s="777"/>
      <c r="C398" s="778">
        <v>9</v>
      </c>
      <c r="D398" s="347">
        <v>6.6014505945138016</v>
      </c>
      <c r="E398" s="347">
        <v>-4.0339702760084899</v>
      </c>
      <c r="F398" s="347">
        <v>4.5678459471562993</v>
      </c>
      <c r="G398" s="347">
        <v>1.3999517258025584</v>
      </c>
      <c r="H398" s="347">
        <v>10.064043915827996</v>
      </c>
      <c r="I398" s="347">
        <v>1</v>
      </c>
      <c r="J398" s="347">
        <v>1.7000000000000028</v>
      </c>
      <c r="K398" s="351"/>
      <c r="L398" s="347">
        <v>2.0000000000000018E-2</v>
      </c>
      <c r="M398" s="347">
        <v>-0.58789712884925005</v>
      </c>
      <c r="N398" s="347">
        <v>3.0150753768844116</v>
      </c>
      <c r="O398" s="347">
        <v>-0.73490813648292774</v>
      </c>
      <c r="P398" s="347">
        <v>0.62434963579605474</v>
      </c>
      <c r="Q398" s="882">
        <v>2.2940563086548518</v>
      </c>
      <c r="R398" s="882">
        <v>5.9000000000000057</v>
      </c>
      <c r="S398" s="1206">
        <v>-4.6177406054894536</v>
      </c>
      <c r="T398" s="351"/>
      <c r="U398" s="882">
        <v>1</v>
      </c>
      <c r="V398" s="882">
        <v>0</v>
      </c>
      <c r="W398" s="882">
        <v>0</v>
      </c>
      <c r="X398" s="882">
        <v>-6.1</v>
      </c>
      <c r="Y398" s="882">
        <v>8.5251623326570751</v>
      </c>
      <c r="Z398" s="882">
        <v>0.3</v>
      </c>
      <c r="AA398" s="882">
        <v>-3.0573473535389293</v>
      </c>
    </row>
    <row r="399" spans="1:27" ht="14.25" customHeight="1">
      <c r="A399" s="776"/>
      <c r="B399" s="777"/>
      <c r="C399" s="778">
        <v>10</v>
      </c>
      <c r="D399" s="347">
        <v>-1.3765537593739166</v>
      </c>
      <c r="E399" s="347">
        <v>6.0924369747899139</v>
      </c>
      <c r="F399" s="347">
        <v>-3.5650623885918002</v>
      </c>
      <c r="G399" s="347">
        <v>-2.1317829457364339</v>
      </c>
      <c r="H399" s="347">
        <v>-21.407907425265186</v>
      </c>
      <c r="I399" s="347">
        <v>-2</v>
      </c>
      <c r="J399" s="347">
        <v>8</v>
      </c>
      <c r="K399" s="351"/>
      <c r="L399" s="347">
        <v>1.0000000000000009E-2</v>
      </c>
      <c r="M399" s="347">
        <v>0.79532772053006995</v>
      </c>
      <c r="N399" s="347">
        <v>3.8834951456310711</v>
      </c>
      <c r="O399" s="347">
        <v>4.329896907216483</v>
      </c>
      <c r="P399" s="347">
        <v>3.6659877800407275</v>
      </c>
      <c r="Q399" s="882">
        <v>3.3451596553471838</v>
      </c>
      <c r="R399" s="882">
        <v>-4.4000000000000057</v>
      </c>
      <c r="S399" s="1206">
        <v>17.626037715102534</v>
      </c>
      <c r="T399" s="351"/>
      <c r="U399" s="882">
        <v>0.29806259314455752</v>
      </c>
      <c r="V399" s="882">
        <v>5.85516178736518</v>
      </c>
      <c r="W399" s="882">
        <v>0.10000000000000009</v>
      </c>
      <c r="X399" s="882">
        <v>16.899999999999999</v>
      </c>
      <c r="Y399" s="882">
        <v>-15.044785231207532</v>
      </c>
      <c r="Z399" s="882">
        <v>-0.4</v>
      </c>
      <c r="AA399" s="882">
        <v>-1.8353054817676806</v>
      </c>
    </row>
    <row r="400" spans="1:27" ht="14.25" customHeight="1">
      <c r="A400" s="776"/>
      <c r="B400" s="777"/>
      <c r="C400" s="778">
        <v>11</v>
      </c>
      <c r="D400" s="347">
        <v>0.43163307435348869</v>
      </c>
      <c r="E400" s="347">
        <v>-2.7906976744185927</v>
      </c>
      <c r="F400" s="347">
        <v>-5.6929538030798028</v>
      </c>
      <c r="G400" s="347">
        <v>-3.0830432620586774</v>
      </c>
      <c r="H400" s="347">
        <v>6.882168925964546</v>
      </c>
      <c r="I400" s="347">
        <v>3</v>
      </c>
      <c r="J400" s="347">
        <v>16.700000000000003</v>
      </c>
      <c r="K400" s="351"/>
      <c r="L400" s="347">
        <v>2.0000000000000018E-2</v>
      </c>
      <c r="M400" s="347">
        <v>-0.33513151209176117</v>
      </c>
      <c r="N400" s="347">
        <v>4.6511627906976747</v>
      </c>
      <c r="O400" s="347">
        <v>-0.8105369807497439</v>
      </c>
      <c r="P400" s="347">
        <v>0.49875311720698257</v>
      </c>
      <c r="Q400" s="882">
        <v>4.4834307992202813</v>
      </c>
      <c r="R400" s="882">
        <v>0.20000000000000284</v>
      </c>
      <c r="S400" s="1206">
        <v>6.6117317525974659</v>
      </c>
      <c r="T400" s="351"/>
      <c r="U400" s="882">
        <v>-0.39761431411529968</v>
      </c>
      <c r="V400" s="882">
        <v>0.29895366218235891</v>
      </c>
      <c r="W400" s="882">
        <v>-0.10000000000000009</v>
      </c>
      <c r="X400" s="882">
        <v>-5.0999999999999996</v>
      </c>
      <c r="Y400" s="882">
        <v>9.7479926082192669</v>
      </c>
      <c r="Z400" s="882">
        <v>-0.5</v>
      </c>
      <c r="AA400" s="882">
        <v>-10.312515017059383</v>
      </c>
    </row>
    <row r="401" spans="1:27" ht="14.25" customHeight="1">
      <c r="A401" s="874"/>
      <c r="B401" s="875"/>
      <c r="C401" s="876">
        <v>12</v>
      </c>
      <c r="D401" s="347">
        <v>1.3595826397477884</v>
      </c>
      <c r="E401" s="347">
        <v>2.9943211151264757</v>
      </c>
      <c r="F401" s="347">
        <v>-6.4452156668319294</v>
      </c>
      <c r="G401" s="347">
        <v>3.9603960396039604</v>
      </c>
      <c r="H401" s="349">
        <v>-4.1152263374485596</v>
      </c>
      <c r="I401" s="349">
        <v>2</v>
      </c>
      <c r="J401" s="347">
        <v>-0.70000000000000284</v>
      </c>
      <c r="K401" s="353"/>
      <c r="L401" s="347">
        <v>1.0000000000000009E-2</v>
      </c>
      <c r="M401" s="347">
        <v>-3.1904594261573664</v>
      </c>
      <c r="N401" s="347">
        <v>3.5714285714285747</v>
      </c>
      <c r="O401" s="347">
        <v>4.7666335650446845</v>
      </c>
      <c r="P401" s="347">
        <v>-0.29895366218235891</v>
      </c>
      <c r="Q401" s="882">
        <v>1.2316437707247723</v>
      </c>
      <c r="R401" s="882">
        <v>-2.5</v>
      </c>
      <c r="S401" s="1206">
        <v>-24.020906169438863</v>
      </c>
      <c r="T401" s="353"/>
      <c r="U401" s="882">
        <v>-1.2024048096192412</v>
      </c>
      <c r="V401" s="882">
        <v>4.9490538573507949</v>
      </c>
      <c r="W401" s="882">
        <v>0.10000000000000009</v>
      </c>
      <c r="X401" s="882">
        <v>-3</v>
      </c>
      <c r="Y401" s="882">
        <v>-14.182679863533663</v>
      </c>
      <c r="Z401" s="882">
        <v>0</v>
      </c>
      <c r="AA401" s="882">
        <v>10.957504549663161</v>
      </c>
    </row>
    <row r="402" spans="1:27" ht="14.25" customHeight="1">
      <c r="A402" s="873" t="s">
        <v>681</v>
      </c>
      <c r="B402" s="759">
        <v>2021</v>
      </c>
      <c r="C402" s="760">
        <v>1</v>
      </c>
      <c r="D402" s="348">
        <v>2.5334464173346931</v>
      </c>
      <c r="E402" s="348">
        <v>-5.1121544079290473</v>
      </c>
      <c r="F402" s="348">
        <v>4.2126379137412266</v>
      </c>
      <c r="G402" s="348">
        <v>-3.6327690596812059</v>
      </c>
      <c r="H402" s="348">
        <v>16.038647342995169</v>
      </c>
      <c r="I402" s="348">
        <v>-5</v>
      </c>
      <c r="J402" s="348">
        <v>3.2999999999999972</v>
      </c>
      <c r="K402" s="350"/>
      <c r="L402" s="348">
        <v>2.0000000000000018E-2</v>
      </c>
      <c r="M402" s="348">
        <v>3.4823301952082257</v>
      </c>
      <c r="N402" s="348">
        <v>3.448275862068968</v>
      </c>
      <c r="O402" s="348">
        <v>14.901256732495519</v>
      </c>
      <c r="P402" s="348">
        <v>17.069831127339114</v>
      </c>
      <c r="Q402" s="920">
        <v>18.693982074263754</v>
      </c>
      <c r="R402" s="920">
        <v>-15</v>
      </c>
      <c r="S402" s="1209">
        <v>11.331755797444398</v>
      </c>
      <c r="T402" s="350"/>
      <c r="U402" s="920">
        <v>0.50276520864756158</v>
      </c>
      <c r="V402" s="920">
        <v>26.814268142681442</v>
      </c>
      <c r="W402" s="920">
        <v>-0.10000000000000009</v>
      </c>
      <c r="X402" s="920">
        <v>-2</v>
      </c>
      <c r="Y402" s="920">
        <v>7.6894626777967892</v>
      </c>
      <c r="Z402" s="920">
        <v>0.30000000000000004</v>
      </c>
      <c r="AA402" s="882">
        <v>-11.826560872004476</v>
      </c>
    </row>
    <row r="403" spans="1:27" ht="14.25" customHeight="1">
      <c r="A403" s="776"/>
      <c r="B403" s="777"/>
      <c r="C403" s="778">
        <v>2</v>
      </c>
      <c r="D403" s="347">
        <v>-1.9018873413578741</v>
      </c>
      <c r="E403" s="347">
        <v>-1.836844948676394</v>
      </c>
      <c r="F403" s="347">
        <v>-3.9058587881822651</v>
      </c>
      <c r="G403" s="347">
        <v>0.35175879396984927</v>
      </c>
      <c r="H403" s="347">
        <v>1.2444444444444445</v>
      </c>
      <c r="I403" s="347">
        <v>3</v>
      </c>
      <c r="J403" s="347">
        <v>-5.2999999999999972</v>
      </c>
      <c r="K403" s="351"/>
      <c r="L403" s="347">
        <v>2.0000000000000018E-2</v>
      </c>
      <c r="M403" s="347">
        <v>3.2377310388782585</v>
      </c>
      <c r="N403" s="347">
        <v>-0.85106382978724615</v>
      </c>
      <c r="O403" s="347">
        <v>-5.6701030927835125</v>
      </c>
      <c r="P403" s="347">
        <v>-2.7280477408354669</v>
      </c>
      <c r="Q403" s="882">
        <v>-3.3333333333333242</v>
      </c>
      <c r="R403" s="882">
        <v>2.7999999999999972</v>
      </c>
      <c r="S403" s="1206">
        <v>23.357964524755136</v>
      </c>
      <c r="T403" s="351"/>
      <c r="U403" s="882">
        <v>-0.30135610246107197</v>
      </c>
      <c r="V403" s="882">
        <v>-9.7043214556482269</v>
      </c>
      <c r="W403" s="882">
        <v>-0.10000000000000009</v>
      </c>
      <c r="X403" s="882">
        <v>0.59999999999999964</v>
      </c>
      <c r="Y403" s="882">
        <v>-7.4976042269207195</v>
      </c>
      <c r="Z403" s="882">
        <v>0.3</v>
      </c>
      <c r="AA403" s="882">
        <v>-18.046732790965493</v>
      </c>
    </row>
    <row r="404" spans="1:27" ht="14.25" customHeight="1">
      <c r="A404" s="776"/>
      <c r="B404" s="777"/>
      <c r="C404" s="778">
        <v>3</v>
      </c>
      <c r="D404" s="347">
        <v>7.7923910838250956</v>
      </c>
      <c r="E404" s="347">
        <v>-2.7639579878385847</v>
      </c>
      <c r="F404" s="347">
        <v>1.3191273465246038</v>
      </c>
      <c r="G404" s="347">
        <v>3.2325724861196794</v>
      </c>
      <c r="H404" s="347">
        <v>-42.658092175777064</v>
      </c>
      <c r="I404" s="347">
        <v>1</v>
      </c>
      <c r="J404" s="347">
        <v>12</v>
      </c>
      <c r="K404" s="351"/>
      <c r="L404" s="347">
        <v>3.9999999999999813E-2</v>
      </c>
      <c r="M404" s="347">
        <v>-0.16948620570602418</v>
      </c>
      <c r="N404" s="347">
        <v>0.85106382978724615</v>
      </c>
      <c r="O404" s="347">
        <v>-10.810810810810807</v>
      </c>
      <c r="P404" s="347">
        <v>0.60318828091340182</v>
      </c>
      <c r="Q404" s="882">
        <v>1.2033694344163657</v>
      </c>
      <c r="R404" s="882">
        <v>-2.6999999999999886</v>
      </c>
      <c r="S404" s="1206">
        <v>-26.865095946771245</v>
      </c>
      <c r="T404" s="351"/>
      <c r="U404" s="882">
        <v>0.90135202804205461</v>
      </c>
      <c r="V404" s="882">
        <v>-13.707960834397612</v>
      </c>
      <c r="W404" s="882">
        <v>-0.19999999999999973</v>
      </c>
      <c r="X404" s="882">
        <v>4.3</v>
      </c>
      <c r="Y404" s="882">
        <v>13.834642211271769</v>
      </c>
      <c r="Z404" s="882">
        <v>0.3</v>
      </c>
      <c r="AA404" s="882">
        <v>27.699018538713201</v>
      </c>
    </row>
    <row r="405" spans="1:27" ht="14.25" customHeight="1">
      <c r="A405" s="776"/>
      <c r="B405" s="777"/>
      <c r="C405" s="778">
        <v>4</v>
      </c>
      <c r="D405" s="347">
        <v>-6.6244851161401955E-2</v>
      </c>
      <c r="E405" s="347">
        <v>-0.33688938798427526</v>
      </c>
      <c r="F405" s="347">
        <v>8.3091787439613469</v>
      </c>
      <c r="G405" s="347">
        <v>-4.0887126750092921</v>
      </c>
      <c r="H405" s="347">
        <v>45.147679324894511</v>
      </c>
      <c r="I405" s="347">
        <v>-4</v>
      </c>
      <c r="J405" s="347">
        <v>-0.29999999999999716</v>
      </c>
      <c r="K405" s="351"/>
      <c r="L405" s="347">
        <v>2.0000000000000018E-2</v>
      </c>
      <c r="M405" s="347">
        <v>-5.4115673327167606</v>
      </c>
      <c r="N405" s="347">
        <v>0</v>
      </c>
      <c r="O405" s="347">
        <v>16.621499548328821</v>
      </c>
      <c r="P405" s="347">
        <v>2.1249468763280919</v>
      </c>
      <c r="Q405" s="882">
        <v>-1.4457831325301296</v>
      </c>
      <c r="R405" s="882">
        <v>-2.9000000000000057</v>
      </c>
      <c r="S405" s="1206">
        <v>13.212192669140341</v>
      </c>
      <c r="T405" s="351"/>
      <c r="U405" s="882">
        <v>-1.2036108324974955</v>
      </c>
      <c r="V405" s="882">
        <v>24.538893344025656</v>
      </c>
      <c r="W405" s="882">
        <v>0.19999999999999973</v>
      </c>
      <c r="X405" s="882">
        <v>2.6999999999999997</v>
      </c>
      <c r="Y405" s="882">
        <v>21.034742991307265</v>
      </c>
      <c r="Z405" s="882">
        <v>-0.6</v>
      </c>
      <c r="AA405" s="882">
        <v>17.93941439540966</v>
      </c>
    </row>
    <row r="406" spans="1:27" ht="14.25" customHeight="1">
      <c r="A406" s="776"/>
      <c r="B406" s="777"/>
      <c r="C406" s="778">
        <v>5</v>
      </c>
      <c r="D406" s="347">
        <v>0.95543286181735165</v>
      </c>
      <c r="E406" s="347">
        <v>2.9916897506925082</v>
      </c>
      <c r="F406" s="347">
        <v>-10.034096444227956</v>
      </c>
      <c r="G406" s="347">
        <v>-1.5551306564690885</v>
      </c>
      <c r="H406" s="347">
        <v>-4.3975373790677219</v>
      </c>
      <c r="I406" s="347">
        <v>1</v>
      </c>
      <c r="J406" s="347">
        <v>-0.40000000000000568</v>
      </c>
      <c r="K406" s="351"/>
      <c r="L406" s="347">
        <v>3.0000000000000027E-2</v>
      </c>
      <c r="M406" s="347">
        <v>-7.4595549032872066</v>
      </c>
      <c r="N406" s="347">
        <v>1.6806722689075571</v>
      </c>
      <c r="O406" s="347">
        <v>-4.6075085324232132</v>
      </c>
      <c r="P406" s="347">
        <v>-5.5315471045808176</v>
      </c>
      <c r="Q406" s="882">
        <v>-1.4669926650366727</v>
      </c>
      <c r="R406" s="882">
        <v>3</v>
      </c>
      <c r="S406" s="1206">
        <v>9.94420488091375</v>
      </c>
      <c r="T406" s="351"/>
      <c r="U406" s="882">
        <v>-0.10095911155981253</v>
      </c>
      <c r="V406" s="882">
        <v>-8.4108671380722075</v>
      </c>
      <c r="W406" s="882">
        <v>0</v>
      </c>
      <c r="X406" s="882">
        <v>-1.4</v>
      </c>
      <c r="Y406" s="882">
        <v>-18.537356452867627</v>
      </c>
      <c r="Z406" s="882">
        <v>0.3</v>
      </c>
      <c r="AA406" s="882">
        <v>-13.023217452266069</v>
      </c>
    </row>
    <row r="407" spans="1:27" ht="14.25" customHeight="1">
      <c r="A407" s="776"/>
      <c r="B407" s="777"/>
      <c r="C407" s="778">
        <v>6</v>
      </c>
      <c r="D407" s="347">
        <v>4.7676156992886334</v>
      </c>
      <c r="E407" s="347">
        <v>-3.6687048360200083</v>
      </c>
      <c r="F407" s="347">
        <v>-15.827338129496402</v>
      </c>
      <c r="G407" s="347">
        <v>-12.098092643051771</v>
      </c>
      <c r="H407" s="347">
        <v>12.478920741989882</v>
      </c>
      <c r="I407" s="347">
        <v>1</v>
      </c>
      <c r="J407" s="347">
        <v>-0.29999999999999716</v>
      </c>
      <c r="K407" s="351"/>
      <c r="L407" s="347">
        <v>2.0000000000000018E-2</v>
      </c>
      <c r="M407" s="347">
        <v>2.2189244576354987</v>
      </c>
      <c r="N407" s="347">
        <v>0.82987551867219622</v>
      </c>
      <c r="O407" s="347">
        <v>10.587262200165423</v>
      </c>
      <c r="P407" s="347">
        <v>8.0204778156996639</v>
      </c>
      <c r="Q407" s="882">
        <v>10.354223433242506</v>
      </c>
      <c r="R407" s="882">
        <v>-7.7000000000000028</v>
      </c>
      <c r="S407" s="1206">
        <v>-19.579063075878565</v>
      </c>
      <c r="T407" s="351"/>
      <c r="U407" s="882">
        <v>0.10095911155981253</v>
      </c>
      <c r="V407" s="882">
        <v>17.122557726465381</v>
      </c>
      <c r="W407" s="882">
        <v>0</v>
      </c>
      <c r="X407" s="882">
        <v>-6.3000000000000007</v>
      </c>
      <c r="Y407" s="882">
        <v>-2.9134284080901098</v>
      </c>
      <c r="Z407" s="882">
        <v>0.6</v>
      </c>
      <c r="AA407" s="882">
        <v>0.46356061495130213</v>
      </c>
    </row>
    <row r="408" spans="1:27" ht="14.25" customHeight="1">
      <c r="A408" s="776"/>
      <c r="B408" s="777"/>
      <c r="C408" s="778">
        <v>7</v>
      </c>
      <c r="D408" s="347">
        <v>1.5096983788260054</v>
      </c>
      <c r="E408" s="347">
        <v>0.67720090293454693</v>
      </c>
      <c r="F408" s="347">
        <v>43.829188174565928</v>
      </c>
      <c r="G408" s="347">
        <v>7.8305698759927544</v>
      </c>
      <c r="H408" s="347">
        <v>-3.0620467365028201</v>
      </c>
      <c r="I408" s="347">
        <v>1</v>
      </c>
      <c r="J408" s="347">
        <v>-2</v>
      </c>
      <c r="K408" s="351"/>
      <c r="L408" s="347">
        <v>3.0000000000000027E-2</v>
      </c>
      <c r="M408" s="347">
        <v>-4.079303950934233</v>
      </c>
      <c r="N408" s="347">
        <v>2.4489795918367405</v>
      </c>
      <c r="O408" s="347">
        <v>-10.76158940397351</v>
      </c>
      <c r="P408" s="347">
        <v>-2.1558872305141032</v>
      </c>
      <c r="Q408" s="882">
        <v>-0.66839955440030141</v>
      </c>
      <c r="R408" s="882">
        <v>1.1000000000000085</v>
      </c>
      <c r="S408" s="1206">
        <v>15.903805235291202</v>
      </c>
      <c r="T408" s="351"/>
      <c r="U408" s="882">
        <v>-0.8105369807497439</v>
      </c>
      <c r="V408" s="882">
        <v>-13.631597343586158</v>
      </c>
      <c r="W408" s="882">
        <v>-0.10000000000000009</v>
      </c>
      <c r="X408" s="882">
        <v>2.5000000000000004</v>
      </c>
      <c r="Y408" s="882">
        <v>-17.531604878057099</v>
      </c>
      <c r="Z408" s="882">
        <v>0.39999999999999997</v>
      </c>
      <c r="AA408" s="882">
        <v>-5.6618255700203282</v>
      </c>
    </row>
    <row r="409" spans="1:27" ht="14.25" customHeight="1">
      <c r="A409" s="776"/>
      <c r="B409" s="777"/>
      <c r="C409" s="778">
        <v>8</v>
      </c>
      <c r="D409" s="347">
        <v>-2.2909122882744648</v>
      </c>
      <c r="E409" s="347">
        <v>3.5359116022099322</v>
      </c>
      <c r="F409" s="347">
        <v>-13.82716049382717</v>
      </c>
      <c r="G409" s="347">
        <v>2.8027498677948177</v>
      </c>
      <c r="H409" s="347">
        <v>-5.2057094878253567</v>
      </c>
      <c r="I409" s="347">
        <v>0</v>
      </c>
      <c r="J409" s="347">
        <v>-2</v>
      </c>
      <c r="K409" s="351"/>
      <c r="L409" s="347">
        <v>1.0000000000000009E-2</v>
      </c>
      <c r="M409" s="347">
        <v>2.8089484388084611</v>
      </c>
      <c r="N409" s="347">
        <v>1.5999999999999943</v>
      </c>
      <c r="O409" s="347">
        <v>2.0779220779220831</v>
      </c>
      <c r="P409" s="347">
        <v>8.1993569131832817</v>
      </c>
      <c r="Q409" s="882">
        <v>6.6282420749279654</v>
      </c>
      <c r="R409" s="882">
        <v>-5.4000000000000057</v>
      </c>
      <c r="S409" s="1206">
        <v>21.652996157724061</v>
      </c>
      <c r="T409" s="351"/>
      <c r="U409" s="882">
        <v>0.1016776817488648</v>
      </c>
      <c r="V409" s="882">
        <v>-0.52651372696503729</v>
      </c>
      <c r="W409" s="882">
        <v>0</v>
      </c>
      <c r="X409" s="882">
        <v>-3.0000000000000004</v>
      </c>
      <c r="Y409" s="882">
        <v>8.513417984304672</v>
      </c>
      <c r="Z409" s="882">
        <v>0.10000000000000009</v>
      </c>
      <c r="AA409" s="882">
        <v>-8.4727155311591744</v>
      </c>
    </row>
    <row r="410" spans="1:27" ht="14.25" customHeight="1">
      <c r="A410" s="776"/>
      <c r="B410" s="777"/>
      <c r="C410" s="778">
        <v>9</v>
      </c>
      <c r="D410" s="347">
        <v>-1.3857790732704283</v>
      </c>
      <c r="E410" s="347">
        <v>-0.43525571273122027</v>
      </c>
      <c r="F410" s="347">
        <v>-52.314556609035122</v>
      </c>
      <c r="G410" s="347">
        <v>-35.20392517632628</v>
      </c>
      <c r="H410" s="347">
        <v>7.9470198675496686</v>
      </c>
      <c r="I410" s="347">
        <v>-2</v>
      </c>
      <c r="J410" s="347">
        <v>-2</v>
      </c>
      <c r="K410" s="351"/>
      <c r="L410" s="347">
        <v>-1.0000000000000009E-2</v>
      </c>
      <c r="M410" s="347">
        <v>-2.1391011959411879</v>
      </c>
      <c r="N410" s="347">
        <v>-14.468085106382974</v>
      </c>
      <c r="O410" s="347">
        <v>-3.4873583260680032</v>
      </c>
      <c r="P410" s="347">
        <v>-3.6964215493511623</v>
      </c>
      <c r="Q410" s="882">
        <v>5.2292020373514356</v>
      </c>
      <c r="R410" s="882">
        <v>0.79999999999999716</v>
      </c>
      <c r="S410" s="1206">
        <v>7.1689346166611267</v>
      </c>
      <c r="T410" s="351"/>
      <c r="U410" s="882">
        <v>0.10157440325037513</v>
      </c>
      <c r="V410" s="882">
        <v>-7.0257611241217806</v>
      </c>
      <c r="W410" s="882">
        <v>-9.9999999999999645E-2</v>
      </c>
      <c r="X410" s="882">
        <v>0.40000000000000036</v>
      </c>
      <c r="Y410" s="882">
        <v>-3.9894459842039929</v>
      </c>
      <c r="Z410" s="882">
        <v>0</v>
      </c>
      <c r="AA410" s="882">
        <v>8.7627649893832663E-2</v>
      </c>
    </row>
    <row r="411" spans="1:27" ht="14.25" customHeight="1">
      <c r="A411" s="776"/>
      <c r="B411" s="777"/>
      <c r="C411" s="778">
        <v>10</v>
      </c>
      <c r="D411" s="347">
        <v>2.4665765116486256</v>
      </c>
      <c r="E411" s="347">
        <v>-0.21834061135371491</v>
      </c>
      <c r="F411" s="347">
        <v>-0.30257186081694837</v>
      </c>
      <c r="G411" s="347">
        <v>2.4264705882352939</v>
      </c>
      <c r="H411" s="347">
        <v>-4.7269763651181744</v>
      </c>
      <c r="I411" s="347">
        <v>0</v>
      </c>
      <c r="J411" s="347">
        <v>0.29999999999999716</v>
      </c>
      <c r="K411" s="351"/>
      <c r="L411" s="347">
        <v>0</v>
      </c>
      <c r="M411" s="347">
        <v>1.2337545666886267</v>
      </c>
      <c r="N411" s="347">
        <v>4.4843049327354256</v>
      </c>
      <c r="O411" s="347">
        <v>3.2300305543430836</v>
      </c>
      <c r="P411" s="347">
        <v>-2.5974025974026</v>
      </c>
      <c r="Q411" s="882">
        <v>-5.2989130434782501</v>
      </c>
      <c r="R411" s="882">
        <v>1</v>
      </c>
      <c r="S411" s="1206">
        <v>-10.223964973898809</v>
      </c>
      <c r="T411" s="351"/>
      <c r="U411" s="882">
        <v>-0.5089058524173028</v>
      </c>
      <c r="V411" s="882">
        <v>9.1119691119691204</v>
      </c>
      <c r="W411" s="882">
        <v>0</v>
      </c>
      <c r="X411" s="882">
        <v>2.4</v>
      </c>
      <c r="Y411" s="882">
        <v>6.6348746310264248</v>
      </c>
      <c r="Z411" s="882">
        <v>-0.20000000000000007</v>
      </c>
      <c r="AA411" s="882">
        <v>22.498617194624249</v>
      </c>
    </row>
    <row r="412" spans="1:27" ht="14.25" customHeight="1">
      <c r="A412" s="776"/>
      <c r="B412" s="777"/>
      <c r="C412" s="778">
        <v>11</v>
      </c>
      <c r="D412" s="347">
        <v>-2.410848006476416</v>
      </c>
      <c r="E412" s="347">
        <v>-0.65789473684209898</v>
      </c>
      <c r="F412" s="347">
        <v>23.529411764705877</v>
      </c>
      <c r="G412" s="347">
        <v>21.898754649846353</v>
      </c>
      <c r="H412" s="347">
        <v>-20.018365472910926</v>
      </c>
      <c r="I412" s="347">
        <v>-1</v>
      </c>
      <c r="J412" s="347">
        <v>0.40000000000000568</v>
      </c>
      <c r="K412" s="351"/>
      <c r="L412" s="347">
        <v>0</v>
      </c>
      <c r="M412" s="347">
        <v>-2.0250607277712263</v>
      </c>
      <c r="N412" s="347">
        <v>1.7391304347826024</v>
      </c>
      <c r="O412" s="347">
        <v>7.9999999999999902</v>
      </c>
      <c r="P412" s="347">
        <v>1.2259910093992645</v>
      </c>
      <c r="Q412" s="882">
        <v>-0.20957038071953291</v>
      </c>
      <c r="R412" s="882">
        <v>-0.39999999999999147</v>
      </c>
      <c r="S412" s="1206">
        <v>-17.550052396448077</v>
      </c>
      <c r="T412" s="351"/>
      <c r="U412" s="882">
        <v>0.10198878123405845</v>
      </c>
      <c r="V412" s="882">
        <v>12.465373961218836</v>
      </c>
      <c r="W412" s="882">
        <v>9.9999999999999645E-2</v>
      </c>
      <c r="X412" s="882">
        <v>-0.89999999999999991</v>
      </c>
      <c r="Y412" s="882">
        <v>-2.5891863790846572</v>
      </c>
      <c r="Z412" s="882">
        <v>0.30000000000000004</v>
      </c>
      <c r="AA412" s="882">
        <v>-14.390043645477723</v>
      </c>
    </row>
    <row r="413" spans="1:27" ht="14.25" customHeight="1">
      <c r="A413" s="874"/>
      <c r="B413" s="875"/>
      <c r="C413" s="876">
        <v>12</v>
      </c>
      <c r="D413" s="347">
        <v>6.278226222507957</v>
      </c>
      <c r="E413" s="347">
        <v>0.21978021978020729</v>
      </c>
      <c r="F413" s="347">
        <v>48.482102401449936</v>
      </c>
      <c r="G413" s="347">
        <v>6.132542037586548</v>
      </c>
      <c r="H413" s="349">
        <v>-7.8472958642629909</v>
      </c>
      <c r="I413" s="349">
        <v>7</v>
      </c>
      <c r="J413" s="347">
        <v>0.29999999999999716</v>
      </c>
      <c r="K413" s="353"/>
      <c r="L413" s="347">
        <v>4.0000000000000036E-2</v>
      </c>
      <c r="M413" s="347">
        <v>0.15780337699226762</v>
      </c>
      <c r="N413" s="347">
        <v>0.85836909871244338</v>
      </c>
      <c r="O413" s="347">
        <v>1.8074656188605198</v>
      </c>
      <c r="P413" s="347">
        <v>4.2147117296222758</v>
      </c>
      <c r="Q413" s="882">
        <v>1.3199027440083402</v>
      </c>
      <c r="R413" s="882">
        <v>-2.4000000000000057</v>
      </c>
      <c r="S413" s="1206">
        <v>27.217884098090931</v>
      </c>
      <c r="T413" s="353"/>
      <c r="U413" s="882">
        <v>-0.3062787136293999</v>
      </c>
      <c r="V413" s="882">
        <v>-0.52287581699347152</v>
      </c>
      <c r="W413" s="882">
        <v>-9.9999999999999645E-2</v>
      </c>
      <c r="X413" s="882">
        <v>0.60000000000000009</v>
      </c>
      <c r="Y413" s="882">
        <v>3.7239012908559181</v>
      </c>
      <c r="Z413" s="882">
        <v>-0.30000000000000004</v>
      </c>
      <c r="AA413" s="882">
        <v>9.5339452795884885</v>
      </c>
    </row>
    <row r="414" spans="1:27" ht="14.25" customHeight="1">
      <c r="A414" s="873" t="s">
        <v>686</v>
      </c>
      <c r="B414" s="759">
        <v>2022</v>
      </c>
      <c r="C414" s="760">
        <v>1</v>
      </c>
      <c r="D414" s="348">
        <v>-1.5391127015331686E-3</v>
      </c>
      <c r="E414" s="348">
        <v>-3.4617532104969229</v>
      </c>
      <c r="F414" s="348">
        <v>-62.266857962697266</v>
      </c>
      <c r="G414" s="348">
        <v>-10.413962209721621</v>
      </c>
      <c r="H414" s="348">
        <v>48.241206030150757</v>
      </c>
      <c r="I414" s="348">
        <v>-4</v>
      </c>
      <c r="J414" s="348">
        <v>-4</v>
      </c>
      <c r="K414" s="350"/>
      <c r="L414" s="348">
        <v>4.0000000000000036E-2</v>
      </c>
      <c r="M414" s="348">
        <v>-4.0187077775853126</v>
      </c>
      <c r="N414" s="348">
        <v>9.7560975609756184</v>
      </c>
      <c r="O414" s="348">
        <v>-13.023641642472004</v>
      </c>
      <c r="P414" s="348">
        <v>-2.1251475796930364</v>
      </c>
      <c r="Q414" s="920">
        <v>6.2186559679036995</v>
      </c>
      <c r="R414" s="920">
        <v>2.5</v>
      </c>
      <c r="S414" s="1209">
        <v>12.220231800228778</v>
      </c>
      <c r="T414" s="350"/>
      <c r="U414" s="920">
        <v>1.9240506329113982</v>
      </c>
      <c r="V414" s="920">
        <v>-16.147308781869675</v>
      </c>
      <c r="W414" s="920">
        <v>9.9999999999999645E-2</v>
      </c>
      <c r="X414" s="920">
        <v>1.2999999999999998</v>
      </c>
      <c r="Y414" s="920">
        <v>2.1954453092177642</v>
      </c>
      <c r="Z414" s="920">
        <v>-0.39999999999999997</v>
      </c>
      <c r="AA414" s="882">
        <v>0.74497842373810497</v>
      </c>
    </row>
    <row r="415" spans="1:27" ht="14.25" customHeight="1">
      <c r="A415" s="776"/>
      <c r="B415" s="777"/>
      <c r="C415" s="778">
        <v>2</v>
      </c>
      <c r="D415" s="347">
        <v>-1.7967652014566657</v>
      </c>
      <c r="E415" s="347">
        <v>1.4664410603496865</v>
      </c>
      <c r="F415" s="347">
        <v>-2.2471910112359468</v>
      </c>
      <c r="G415" s="347">
        <v>1.0293672419013018</v>
      </c>
      <c r="H415" s="347">
        <v>-52.255319148936174</v>
      </c>
      <c r="I415" s="347">
        <v>2</v>
      </c>
      <c r="J415" s="347">
        <v>-4</v>
      </c>
      <c r="K415" s="351"/>
      <c r="L415" s="347">
        <v>3.0000000000000027E-2</v>
      </c>
      <c r="M415" s="347">
        <v>-2.1207906389168887</v>
      </c>
      <c r="N415" s="347">
        <v>-3.9525691699604741</v>
      </c>
      <c r="O415" s="347">
        <v>-5.469462169553327</v>
      </c>
      <c r="P415" s="347">
        <v>-2.3340040241448738</v>
      </c>
      <c r="Q415" s="882">
        <v>-6.2876254180601858</v>
      </c>
      <c r="R415" s="882">
        <v>-1.4000000000000057</v>
      </c>
      <c r="S415" s="1206">
        <v>18.643255007562068</v>
      </c>
      <c r="T415" s="351"/>
      <c r="U415" s="882">
        <v>-1.4141414141414199</v>
      </c>
      <c r="V415" s="882">
        <v>-10.628803245436114</v>
      </c>
      <c r="W415" s="882">
        <v>-9.9999999999999645E-2</v>
      </c>
      <c r="X415" s="882">
        <v>-2.8</v>
      </c>
      <c r="Y415" s="882">
        <v>-6.4670778630031798</v>
      </c>
      <c r="Z415" s="882">
        <v>0.39999999999999997</v>
      </c>
      <c r="AA415" s="882">
        <v>-3.0813619619869434E-2</v>
      </c>
    </row>
    <row r="416" spans="1:27" ht="14.25" customHeight="1">
      <c r="A416" s="776"/>
      <c r="B416" s="777"/>
      <c r="C416" s="778">
        <v>3</v>
      </c>
      <c r="D416" s="347">
        <v>-4.8948073943859756</v>
      </c>
      <c r="E416" s="347">
        <v>-0.44893378226710606</v>
      </c>
      <c r="F416" s="347">
        <v>4.3085476025017293</v>
      </c>
      <c r="G416" s="347">
        <v>1.5837442103690422</v>
      </c>
      <c r="H416" s="347">
        <v>23.217922606924642</v>
      </c>
      <c r="I416" s="347">
        <v>-1</v>
      </c>
      <c r="J416" s="347">
        <v>-4</v>
      </c>
      <c r="K416" s="351"/>
      <c r="L416" s="347">
        <v>-1.0000000000000009E-2</v>
      </c>
      <c r="M416" s="347">
        <v>0.35790151271321885</v>
      </c>
      <c r="N416" s="347">
        <v>-1.6260162601626102</v>
      </c>
      <c r="O416" s="347">
        <v>9.0380313199105089</v>
      </c>
      <c r="P416" s="347">
        <v>1.2140833670578712</v>
      </c>
      <c r="Q416" s="882">
        <v>-4.5920169551395267</v>
      </c>
      <c r="R416" s="882">
        <v>-1.0999999999999943</v>
      </c>
      <c r="S416" s="1206">
        <v>9.6458478856050931</v>
      </c>
      <c r="T416" s="351"/>
      <c r="U416" s="882">
        <v>1.8145161290322553</v>
      </c>
      <c r="V416" s="882">
        <v>13.801356202632627</v>
      </c>
      <c r="W416" s="882">
        <v>-0.10000000000000009</v>
      </c>
      <c r="X416" s="882">
        <v>1.6999999999999997</v>
      </c>
      <c r="Y416" s="882">
        <v>-1.7597038176946845E-2</v>
      </c>
      <c r="Z416" s="882">
        <v>0.6</v>
      </c>
      <c r="AA416" s="882">
        <v>16.212041244545134</v>
      </c>
    </row>
    <row r="417" spans="1:27" ht="14.25" customHeight="1">
      <c r="A417" s="776"/>
      <c r="B417" s="777"/>
      <c r="C417" s="778">
        <v>4</v>
      </c>
      <c r="D417" s="347">
        <v>7.1899987308033984</v>
      </c>
      <c r="E417" s="347">
        <v>2.0044543429844062</v>
      </c>
      <c r="F417" s="347">
        <v>0</v>
      </c>
      <c r="G417" s="347">
        <v>1.7631501616220981</v>
      </c>
      <c r="H417" s="347">
        <v>11.845493562231759</v>
      </c>
      <c r="I417" s="347">
        <v>0</v>
      </c>
      <c r="J417" s="347">
        <v>3.2999999999999972</v>
      </c>
      <c r="K417" s="351"/>
      <c r="L417" s="347">
        <v>-2.0000000000000018E-2</v>
      </c>
      <c r="M417" s="347">
        <v>7.7103974709943051E-3</v>
      </c>
      <c r="N417" s="347">
        <v>0</v>
      </c>
      <c r="O417" s="347">
        <v>-12.653618570778326</v>
      </c>
      <c r="P417" s="347">
        <v>2.3847376788553261</v>
      </c>
      <c r="Q417" s="882">
        <v>8.4487534626038698</v>
      </c>
      <c r="R417" s="882">
        <v>-2.7000000000000028</v>
      </c>
      <c r="S417" s="1206">
        <v>-56.227185304392187</v>
      </c>
      <c r="T417" s="351"/>
      <c r="U417" s="882">
        <v>-0.70175438596490092</v>
      </c>
      <c r="V417" s="882">
        <v>-18.329938900203665</v>
      </c>
      <c r="W417" s="882">
        <v>0</v>
      </c>
      <c r="X417" s="882">
        <v>0.40000000000000013</v>
      </c>
      <c r="Y417" s="882">
        <v>-8.9037627345288879</v>
      </c>
      <c r="Z417" s="882">
        <v>1.0999999999999999</v>
      </c>
      <c r="AA417" s="882">
        <v>-26.291041860339782</v>
      </c>
    </row>
    <row r="418" spans="1:27" ht="14.25" customHeight="1">
      <c r="A418" s="776"/>
      <c r="B418" s="777"/>
      <c r="C418" s="778">
        <v>5</v>
      </c>
      <c r="D418" s="347">
        <v>1.8375351840190497</v>
      </c>
      <c r="E418" s="347">
        <v>-1.2201885745979018</v>
      </c>
      <c r="F418" s="347">
        <v>22.249093107617902</v>
      </c>
      <c r="G418" s="347">
        <v>-3.3466607433733158</v>
      </c>
      <c r="H418" s="347">
        <v>-9.5076400679117139</v>
      </c>
      <c r="I418" s="347">
        <v>-1</v>
      </c>
      <c r="J418" s="347">
        <v>3.4000000000000057</v>
      </c>
      <c r="K418" s="351"/>
      <c r="L418" s="347">
        <v>-1.0000000000000009E-2</v>
      </c>
      <c r="M418" s="347">
        <v>-1.6793655730057582</v>
      </c>
      <c r="N418" s="347">
        <v>-2.4896265560165887</v>
      </c>
      <c r="O418" s="347">
        <v>9.3561834182491843</v>
      </c>
      <c r="P418" s="347">
        <v>1.7133956386292857</v>
      </c>
      <c r="Q418" s="882">
        <v>1.8433179723502378</v>
      </c>
      <c r="R418" s="882">
        <v>-1.5</v>
      </c>
      <c r="S418" s="1206">
        <v>50.183543462478397</v>
      </c>
      <c r="T418" s="351"/>
      <c r="U418" s="882">
        <v>2.3856858846918407</v>
      </c>
      <c r="V418" s="882">
        <v>13.154587348135738</v>
      </c>
      <c r="W418" s="882">
        <v>0</v>
      </c>
      <c r="X418" s="882">
        <v>2.2999999999999998</v>
      </c>
      <c r="Y418" s="882">
        <v>29.019967009205494</v>
      </c>
      <c r="Z418" s="882">
        <v>0.40000000000000036</v>
      </c>
      <c r="AA418" s="882">
        <v>14.438271782619955</v>
      </c>
    </row>
    <row r="419" spans="1:27" ht="14.25" customHeight="1">
      <c r="A419" s="776"/>
      <c r="B419" s="777"/>
      <c r="C419" s="778">
        <v>6</v>
      </c>
      <c r="D419" s="347">
        <v>-5.2176864451232667</v>
      </c>
      <c r="E419" s="347">
        <v>3.1850631521142292</v>
      </c>
      <c r="F419" s="347">
        <v>-10.177244139508296</v>
      </c>
      <c r="G419" s="347">
        <v>2.615933412604043</v>
      </c>
      <c r="H419" s="347">
        <v>3.674540682414698</v>
      </c>
      <c r="I419" s="347">
        <v>0</v>
      </c>
      <c r="J419" s="347">
        <v>3.2999999999999972</v>
      </c>
      <c r="K419" s="351"/>
      <c r="L419" s="347">
        <v>2.0000000000000018E-2</v>
      </c>
      <c r="M419" s="347">
        <v>4.9250535331905851</v>
      </c>
      <c r="N419" s="347">
        <v>-0.8438818565400813</v>
      </c>
      <c r="O419" s="347">
        <v>5.2563550193881898</v>
      </c>
      <c r="P419" s="347">
        <v>7.7190274025468394E-2</v>
      </c>
      <c r="Q419" s="882">
        <v>-2.4430505117200512</v>
      </c>
      <c r="R419" s="882">
        <v>0</v>
      </c>
      <c r="S419" s="1206">
        <v>-7.1314889438217435</v>
      </c>
      <c r="T419" s="351"/>
      <c r="U419" s="882">
        <v>0</v>
      </c>
      <c r="V419" s="882">
        <v>7.1996968548692593</v>
      </c>
      <c r="W419" s="882">
        <v>0</v>
      </c>
      <c r="X419" s="882">
        <v>-2.9</v>
      </c>
      <c r="Y419" s="882">
        <v>-17.766343361616137</v>
      </c>
      <c r="Z419" s="882">
        <v>-0.40000000000000036</v>
      </c>
      <c r="AA419" s="882">
        <v>-24.23284723162821</v>
      </c>
    </row>
    <row r="420" spans="1:27" ht="14.25" customHeight="1">
      <c r="A420" s="776"/>
      <c r="B420" s="777"/>
      <c r="C420" s="778">
        <v>7</v>
      </c>
      <c r="D420" s="347">
        <v>3.4896027891918791</v>
      </c>
      <c r="E420" s="347">
        <v>-6.9351230425055945</v>
      </c>
      <c r="F420" s="347">
        <v>10.718358038768535</v>
      </c>
      <c r="G420" s="347">
        <v>8.9150546677880573</v>
      </c>
      <c r="H420" s="347">
        <v>-16.96178937558248</v>
      </c>
      <c r="I420" s="347">
        <v>1</v>
      </c>
      <c r="J420" s="347">
        <v>0</v>
      </c>
      <c r="K420" s="351"/>
      <c r="L420" s="347">
        <v>-1.0000000000000009E-2</v>
      </c>
      <c r="M420" s="347">
        <v>-1.2870270676315221</v>
      </c>
      <c r="N420" s="347">
        <v>2.5104602510460166</v>
      </c>
      <c r="O420" s="347">
        <v>13.760750586395618</v>
      </c>
      <c r="P420" s="347">
        <v>3.0395136778115504</v>
      </c>
      <c r="Q420" s="882">
        <v>2.2471910112359588</v>
      </c>
      <c r="R420" s="882">
        <v>-1.7000000000000028</v>
      </c>
      <c r="S420" s="1206">
        <v>19.593931139336728</v>
      </c>
      <c r="T420" s="351"/>
      <c r="U420" s="882">
        <v>0.19627085377821671</v>
      </c>
      <c r="V420" s="882">
        <v>23.612903225806466</v>
      </c>
      <c r="W420" s="882">
        <v>-0.10000000000000009</v>
      </c>
      <c r="X420" s="882">
        <v>5</v>
      </c>
      <c r="Y420" s="882">
        <v>14.433253656868699</v>
      </c>
      <c r="Z420" s="882">
        <v>0</v>
      </c>
      <c r="AA420" s="882">
        <v>4.4536717677393431</v>
      </c>
    </row>
    <row r="421" spans="1:27" ht="14.25" customHeight="1">
      <c r="A421" s="776"/>
      <c r="B421" s="777"/>
      <c r="C421" s="778">
        <v>8</v>
      </c>
      <c r="D421" s="347">
        <v>-2.2352331526068698</v>
      </c>
      <c r="E421" s="347">
        <v>1.0374639769452516</v>
      </c>
      <c r="F421" s="347">
        <v>0.43196544276456966</v>
      </c>
      <c r="G421" s="347">
        <v>-10.5977108944468</v>
      </c>
      <c r="H421" s="347">
        <v>-8.2714740190880178</v>
      </c>
      <c r="I421" s="347">
        <v>-1</v>
      </c>
      <c r="J421" s="347">
        <v>0</v>
      </c>
      <c r="K421" s="351"/>
      <c r="L421" s="347">
        <v>-1.0000000000000009E-2</v>
      </c>
      <c r="M421" s="347">
        <v>2.6140702142741641</v>
      </c>
      <c r="N421" s="347">
        <v>-1.6666666666666607</v>
      </c>
      <c r="O421" s="347">
        <v>-8.7022900763358706</v>
      </c>
      <c r="P421" s="347">
        <v>0.74571215510812827</v>
      </c>
      <c r="Q421" s="882">
        <v>1.6850291639662955</v>
      </c>
      <c r="R421" s="882">
        <v>-0.29999999999999716</v>
      </c>
      <c r="S421" s="1206">
        <v>-1.0527078953092202</v>
      </c>
      <c r="T421" s="351"/>
      <c r="U421" s="882">
        <v>-0.29455081001472477</v>
      </c>
      <c r="V421" s="882">
        <v>-14.48019801980198</v>
      </c>
      <c r="W421" s="882">
        <v>0</v>
      </c>
      <c r="X421" s="882">
        <v>-1.9000000000000001</v>
      </c>
      <c r="Y421" s="882">
        <v>-15.572527710548373</v>
      </c>
      <c r="Z421" s="882">
        <v>0</v>
      </c>
      <c r="AA421" s="882">
        <v>4.4831561419239145</v>
      </c>
    </row>
    <row r="422" spans="1:27" ht="14.25" customHeight="1">
      <c r="A422" s="776"/>
      <c r="B422" s="777"/>
      <c r="C422" s="778">
        <v>9</v>
      </c>
      <c r="D422" s="347">
        <v>1.0225283062915953</v>
      </c>
      <c r="E422" s="347">
        <v>-2.6728646135967424</v>
      </c>
      <c r="F422" s="347">
        <v>2.0266666666666726</v>
      </c>
      <c r="G422" s="347">
        <v>3.3450704225352115</v>
      </c>
      <c r="H422" s="347">
        <v>17.004048582995953</v>
      </c>
      <c r="I422" s="347">
        <v>4</v>
      </c>
      <c r="J422" s="347">
        <v>0</v>
      </c>
      <c r="K422" s="351"/>
      <c r="L422" s="347">
        <v>3.0000000000000027E-2</v>
      </c>
      <c r="M422" s="347">
        <v>-2.8385747366848437</v>
      </c>
      <c r="N422" s="347">
        <v>-0.8438818565400813</v>
      </c>
      <c r="O422" s="347">
        <v>14.507772020725396</v>
      </c>
      <c r="P422" s="347">
        <v>-0.3721622627465575</v>
      </c>
      <c r="Q422" s="882">
        <v>-4.8042119118130859</v>
      </c>
      <c r="R422" s="882">
        <v>-1.5999999999999943</v>
      </c>
      <c r="S422" s="1206">
        <v>-8.2145214771873682</v>
      </c>
      <c r="T422" s="351"/>
      <c r="U422" s="882">
        <v>-0.98814229249011853</v>
      </c>
      <c r="V422" s="882">
        <v>18.468059339993943</v>
      </c>
      <c r="W422" s="882">
        <v>0.10000000000000009</v>
      </c>
      <c r="X422" s="882">
        <v>2.8</v>
      </c>
      <c r="Y422" s="882">
        <v>-2.0416900943469223</v>
      </c>
      <c r="Z422" s="882">
        <v>0.30000000000000027</v>
      </c>
      <c r="AA422" s="882">
        <v>14.590380511316617</v>
      </c>
    </row>
    <row r="423" spans="1:27" ht="14.25" customHeight="1">
      <c r="A423" s="776"/>
      <c r="B423" s="777"/>
      <c r="C423" s="778">
        <v>10</v>
      </c>
      <c r="D423" s="347">
        <v>2.0748413987557024</v>
      </c>
      <c r="E423" s="347">
        <v>-4.0865384615384679</v>
      </c>
      <c r="F423" s="347">
        <v>11.636001989060169</v>
      </c>
      <c r="G423" s="347">
        <v>6.5596650383810191</v>
      </c>
      <c r="H423" s="347">
        <v>8.0572963294538944</v>
      </c>
      <c r="I423" s="347">
        <v>-5</v>
      </c>
      <c r="J423" s="347">
        <v>0</v>
      </c>
      <c r="K423" s="351"/>
      <c r="L423" s="347">
        <v>2.0000000000000018E-2</v>
      </c>
      <c r="M423" s="347">
        <v>-2.1960624090293916</v>
      </c>
      <c r="N423" s="347">
        <v>-5.2173913043478386</v>
      </c>
      <c r="O423" s="347">
        <v>-28.54889589905363</v>
      </c>
      <c r="P423" s="347">
        <v>-12.267510882469331</v>
      </c>
      <c r="Q423" s="882">
        <v>-5.8292852185981987</v>
      </c>
      <c r="R423" s="882">
        <v>8.5</v>
      </c>
      <c r="S423" s="1206">
        <v>2.6161042693259824</v>
      </c>
      <c r="T423" s="351"/>
      <c r="U423" s="882">
        <v>0.98814229249011853</v>
      </c>
      <c r="V423" s="882">
        <v>-32.699129313124807</v>
      </c>
      <c r="W423" s="882">
        <v>0</v>
      </c>
      <c r="X423" s="882">
        <v>-2</v>
      </c>
      <c r="Y423" s="882">
        <v>-4.748803551198761</v>
      </c>
      <c r="Z423" s="882">
        <v>0.60000000000000009</v>
      </c>
      <c r="AA423" s="882">
        <v>-6.5047919751879117</v>
      </c>
    </row>
    <row r="424" spans="1:27" ht="14.25" customHeight="1">
      <c r="A424" s="776"/>
      <c r="B424" s="777"/>
      <c r="C424" s="778">
        <v>11</v>
      </c>
      <c r="D424" s="347">
        <v>1.5709406082128239</v>
      </c>
      <c r="E424" s="347">
        <v>0.6116207951070336</v>
      </c>
      <c r="F424" s="347">
        <v>-9.3457943925233646</v>
      </c>
      <c r="G424" s="347">
        <v>-0.56918281609974253</v>
      </c>
      <c r="H424" s="347">
        <v>-13.996316758747698</v>
      </c>
      <c r="I424" s="347">
        <v>2</v>
      </c>
      <c r="J424" s="347">
        <v>0</v>
      </c>
      <c r="K424" s="351"/>
      <c r="L424" s="347">
        <v>2.9999999999999805E-2</v>
      </c>
      <c r="M424" s="347">
        <v>-0.13952046300124255</v>
      </c>
      <c r="N424" s="347">
        <v>-3.6363636363636234</v>
      </c>
      <c r="O424" s="347">
        <v>10.3794156127344</v>
      </c>
      <c r="P424" s="347">
        <v>2.3333333333333428</v>
      </c>
      <c r="Q424" s="882">
        <v>1.5602836879432544</v>
      </c>
      <c r="R424" s="882">
        <v>-3</v>
      </c>
      <c r="S424" s="1206">
        <v>12.400309465449052</v>
      </c>
      <c r="T424" s="351"/>
      <c r="U424" s="882">
        <v>0</v>
      </c>
      <c r="V424" s="882">
        <v>14.515552377547381</v>
      </c>
      <c r="W424" s="882">
        <v>-0.10000000000000009</v>
      </c>
      <c r="X424" s="882">
        <v>-2.2999999999999998</v>
      </c>
      <c r="Y424" s="882">
        <v>1.6018215660408046</v>
      </c>
      <c r="Z424" s="882">
        <v>0.29999999999999982</v>
      </c>
      <c r="AA424" s="882">
        <v>1.5275926801656616</v>
      </c>
    </row>
    <row r="425" spans="1:27" ht="14.25" customHeight="1">
      <c r="A425" s="874"/>
      <c r="B425" s="875"/>
      <c r="C425" s="876">
        <v>12</v>
      </c>
      <c r="D425" s="347">
        <v>-4.2385156047507966</v>
      </c>
      <c r="E425" s="347">
        <v>-1.1036174126302951</v>
      </c>
      <c r="F425" s="347">
        <v>9.064039408866984</v>
      </c>
      <c r="G425" s="347">
        <v>2.7610239914220616</v>
      </c>
      <c r="H425" s="349">
        <v>23.117338003502628</v>
      </c>
      <c r="I425" s="349">
        <v>1</v>
      </c>
      <c r="J425" s="347">
        <v>0</v>
      </c>
      <c r="K425" s="353"/>
      <c r="L425" s="347">
        <v>-4.9999999999999822E-2</v>
      </c>
      <c r="M425" s="347">
        <v>0.28658103659718231</v>
      </c>
      <c r="N425" s="347">
        <v>2.7397260273972508</v>
      </c>
      <c r="O425" s="347">
        <v>-0.91628488129945385</v>
      </c>
      <c r="P425" s="347">
        <v>-0.49545829892651411</v>
      </c>
      <c r="Q425" s="882">
        <v>-0.77711056163899273</v>
      </c>
      <c r="R425" s="882">
        <v>0.70000000000000284</v>
      </c>
      <c r="S425" s="1206">
        <v>-44.678405437371943</v>
      </c>
      <c r="T425" s="353"/>
      <c r="U425" s="882">
        <v>0.58823529411764153</v>
      </c>
      <c r="V425" s="882">
        <v>-3.9428959891230533</v>
      </c>
      <c r="W425" s="882">
        <v>0</v>
      </c>
      <c r="X425" s="882">
        <v>0.9</v>
      </c>
      <c r="Y425" s="882">
        <v>10.643379076813403</v>
      </c>
      <c r="Z425" s="882">
        <v>0.79999999999999982</v>
      </c>
      <c r="AA425" s="882">
        <v>3.4301049718351151</v>
      </c>
    </row>
    <row r="426" spans="1:27" ht="14.25" customHeight="1">
      <c r="A426" s="873" t="s">
        <v>694</v>
      </c>
      <c r="B426" s="759">
        <v>2023</v>
      </c>
      <c r="C426" s="760">
        <v>1</v>
      </c>
      <c r="D426" s="348">
        <v>-1.1924441972155324</v>
      </c>
      <c r="E426" s="348">
        <v>0.73710073710074753</v>
      </c>
      <c r="F426" s="348">
        <v>-15.103902686264561</v>
      </c>
      <c r="G426" s="348">
        <v>5.0515463917525771</v>
      </c>
      <c r="H426" s="348">
        <v>-12.333333333333334</v>
      </c>
      <c r="I426" s="348">
        <v>-3</v>
      </c>
      <c r="J426" s="348">
        <v>-0.70000000000000284</v>
      </c>
      <c r="K426" s="350"/>
      <c r="L426" s="348">
        <v>-2.0000000000000018E-2</v>
      </c>
      <c r="M426" s="348">
        <v>0.30889621087314661</v>
      </c>
      <c r="N426" s="348">
        <v>-3.6697247706422056</v>
      </c>
      <c r="O426" s="348">
        <v>-13.107445385644228</v>
      </c>
      <c r="P426" s="348">
        <v>8.1778483525208401</v>
      </c>
      <c r="Q426" s="920">
        <v>7.8364565587734241</v>
      </c>
      <c r="R426" s="920">
        <v>-4</v>
      </c>
      <c r="S426" s="1209">
        <v>20.606457074691193</v>
      </c>
      <c r="T426" s="350"/>
      <c r="U426" s="920">
        <v>0.77896786757545988</v>
      </c>
      <c r="V426" s="920">
        <v>-19.14893617021276</v>
      </c>
      <c r="W426" s="920">
        <v>0</v>
      </c>
      <c r="X426" s="920">
        <v>0.9</v>
      </c>
      <c r="Y426" s="920">
        <v>-4.4958854178681946</v>
      </c>
      <c r="Z426" s="920">
        <v>0.40000000000000036</v>
      </c>
      <c r="AA426" s="882">
        <v>3.1806994293132802</v>
      </c>
    </row>
    <row r="427" spans="1:27" ht="14.25" customHeight="1">
      <c r="A427" s="776"/>
      <c r="B427" s="777"/>
      <c r="C427" s="778">
        <v>2</v>
      </c>
      <c r="D427" s="347">
        <v>6.0118647177542641</v>
      </c>
      <c r="E427" s="347">
        <v>-0.49079754601227693</v>
      </c>
      <c r="F427" s="347">
        <v>9.5039164490861552</v>
      </c>
      <c r="G427" s="347">
        <v>-0.47877031624039307</v>
      </c>
      <c r="H427" s="347">
        <v>-5.6621004566210047</v>
      </c>
      <c r="I427" s="347">
        <v>-1</v>
      </c>
      <c r="J427" s="347">
        <v>-0.59999999999999432</v>
      </c>
      <c r="K427" s="351"/>
      <c r="L427" s="347">
        <v>-3.0000000000000027E-2</v>
      </c>
      <c r="M427" s="347">
        <v>0.63792993018637378</v>
      </c>
      <c r="N427" s="347">
        <v>0</v>
      </c>
      <c r="O427" s="347">
        <v>23.420387531592247</v>
      </c>
      <c r="P427" s="347">
        <v>1.0622154779969692</v>
      </c>
      <c r="Q427" s="882">
        <v>-2.7251578597540678</v>
      </c>
      <c r="R427" s="882">
        <v>-1.7000000000000028</v>
      </c>
      <c r="S427" s="1206">
        <v>-43.727613804244989</v>
      </c>
      <c r="T427" s="351"/>
      <c r="U427" s="882">
        <v>-9.7040271712755283E-2</v>
      </c>
      <c r="V427" s="882">
        <v>35.635359116022087</v>
      </c>
      <c r="W427" s="882">
        <v>0.10000000000000009</v>
      </c>
      <c r="X427" s="882">
        <v>1</v>
      </c>
      <c r="Y427" s="882">
        <v>9.0746998809178976</v>
      </c>
      <c r="Z427" s="882">
        <v>-0.90000000000000036</v>
      </c>
      <c r="AA427" s="882">
        <v>-21.002309400879639</v>
      </c>
    </row>
    <row r="428" spans="1:27" ht="14.25" customHeight="1">
      <c r="A428" s="776"/>
      <c r="B428" s="777"/>
      <c r="C428" s="778">
        <v>3</v>
      </c>
      <c r="D428" s="347">
        <v>-13.608548146738952</v>
      </c>
      <c r="E428" s="347">
        <v>1.1009174311926675</v>
      </c>
      <c r="F428" s="347">
        <v>-1.5067805123053741</v>
      </c>
      <c r="G428" s="347">
        <v>-23.073672348218057</v>
      </c>
      <c r="H428" s="347">
        <v>22.961730449251249</v>
      </c>
      <c r="I428" s="347">
        <v>3</v>
      </c>
      <c r="J428" s="347">
        <v>-0.70000000000000284</v>
      </c>
      <c r="K428" s="351"/>
      <c r="L428" s="347">
        <v>-4.0000000000000036E-2</v>
      </c>
      <c r="M428" s="347">
        <v>3.5199518295972045</v>
      </c>
      <c r="N428" s="347">
        <v>-0.93896713615023153</v>
      </c>
      <c r="O428" s="347">
        <v>-1.0614101592115284</v>
      </c>
      <c r="P428" s="347">
        <v>-0.68156001514578235</v>
      </c>
      <c r="Q428" s="882">
        <v>-1.1521518129447759</v>
      </c>
      <c r="R428" s="882">
        <v>0</v>
      </c>
      <c r="S428" s="1206">
        <v>5.0128636978489771</v>
      </c>
      <c r="T428" s="351"/>
      <c r="U428" s="882">
        <v>1.4457831325301205</v>
      </c>
      <c r="V428" s="882">
        <v>-5.790108564535581</v>
      </c>
      <c r="W428" s="882">
        <v>0.10000000000000009</v>
      </c>
      <c r="X428" s="882">
        <v>-3.3</v>
      </c>
      <c r="Y428" s="882">
        <v>-16.29785505470576</v>
      </c>
      <c r="Z428" s="882">
        <v>-0.19999999999999973</v>
      </c>
      <c r="AA428" s="882">
        <v>7.0802352680057767</v>
      </c>
    </row>
    <row r="429" spans="1:27" ht="14.25" customHeight="1">
      <c r="A429" s="776"/>
      <c r="B429" s="777"/>
      <c r="C429" s="778">
        <v>4</v>
      </c>
      <c r="D429" s="347">
        <v>4.234275485992578</v>
      </c>
      <c r="E429" s="347">
        <v>0.1215805471124551</v>
      </c>
      <c r="F429" s="347">
        <v>7.4074074074074163</v>
      </c>
      <c r="G429" s="347">
        <v>18.549552152557066</v>
      </c>
      <c r="H429" s="347">
        <v>-28.473998294970162</v>
      </c>
      <c r="I429" s="347">
        <v>1</v>
      </c>
      <c r="J429" s="347">
        <v>2.2999999999999972</v>
      </c>
      <c r="K429" s="351"/>
      <c r="L429" s="347">
        <v>-3.0000000000000027E-2</v>
      </c>
      <c r="M429" s="347">
        <v>-0.12335019119279635</v>
      </c>
      <c r="N429" s="347">
        <v>0</v>
      </c>
      <c r="O429" s="347">
        <v>-27.777777777777768</v>
      </c>
      <c r="P429" s="347">
        <v>-2.7734976887519216</v>
      </c>
      <c r="Q429" s="882">
        <v>1.1521518129447759</v>
      </c>
      <c r="R429" s="882">
        <v>3.2000000000000028</v>
      </c>
      <c r="S429" s="1206">
        <v>56.759786889043305</v>
      </c>
      <c r="T429" s="351"/>
      <c r="U429" s="882">
        <v>-0.67210753720595562</v>
      </c>
      <c r="V429" s="882">
        <v>-37.726098191214469</v>
      </c>
      <c r="W429" s="882">
        <v>-0.10000000000000009</v>
      </c>
      <c r="X429" s="882">
        <v>3.5999999999999996</v>
      </c>
      <c r="Y429" s="882">
        <v>4.2324287498580677</v>
      </c>
      <c r="Z429" s="882">
        <v>0.49999999999999956</v>
      </c>
      <c r="AA429" s="882">
        <v>-7.9373418023783433</v>
      </c>
    </row>
    <row r="430" spans="1:27" ht="14.25" customHeight="1">
      <c r="A430" s="776"/>
      <c r="B430" s="777"/>
      <c r="C430" s="778">
        <v>5</v>
      </c>
      <c r="D430" s="347">
        <v>-1.8081754538948105</v>
      </c>
      <c r="E430" s="347">
        <v>-2.9593094944512846</v>
      </c>
      <c r="F430" s="347">
        <v>-3.1503579952267411</v>
      </c>
      <c r="G430" s="347">
        <v>0.60630025042836433</v>
      </c>
      <c r="H430" s="347">
        <v>20.357142857142858</v>
      </c>
      <c r="I430" s="347">
        <v>3</v>
      </c>
      <c r="J430" s="347">
        <v>2.4000000000000057</v>
      </c>
      <c r="K430" s="351"/>
      <c r="L430" s="347">
        <v>2.0000000000000018E-2</v>
      </c>
      <c r="M430" s="347">
        <v>3.3542875172932649</v>
      </c>
      <c r="N430" s="347">
        <v>5.5045871559632999</v>
      </c>
      <c r="O430" s="347">
        <v>-1.9338422391857564</v>
      </c>
      <c r="P430" s="347">
        <v>-0.94191522762951552</v>
      </c>
      <c r="Q430" s="882">
        <v>-0.13486176668915512</v>
      </c>
      <c r="R430" s="882">
        <v>1</v>
      </c>
      <c r="S430" s="1206">
        <v>-61.363464875877163</v>
      </c>
      <c r="T430" s="351"/>
      <c r="U430" s="882">
        <v>-9.6385542168669222E-2</v>
      </c>
      <c r="V430" s="882">
        <v>-1.5589179275561693</v>
      </c>
      <c r="W430" s="882">
        <v>-0.10000000000000009</v>
      </c>
      <c r="X430" s="882">
        <v>-4.0999999999999996</v>
      </c>
      <c r="Y430" s="882">
        <v>2.4882169151394837</v>
      </c>
      <c r="Z430" s="882">
        <v>-0.59999999999999964</v>
      </c>
      <c r="AA430" s="882">
        <v>8.0442945331890847</v>
      </c>
    </row>
    <row r="431" spans="1:27" ht="14.25" customHeight="1">
      <c r="A431" s="776"/>
      <c r="B431" s="777"/>
      <c r="C431" s="778">
        <v>6</v>
      </c>
      <c r="D431" s="347">
        <v>4.1778428025684793</v>
      </c>
      <c r="E431" s="347">
        <v>6.654567453115547</v>
      </c>
      <c r="F431" s="347">
        <v>22.241379310344836</v>
      </c>
      <c r="G431" s="347">
        <v>0.13131976362442549</v>
      </c>
      <c r="H431" s="347">
        <v>-10.7600341588386</v>
      </c>
      <c r="I431" s="347">
        <v>-5</v>
      </c>
      <c r="J431" s="347">
        <v>2.2999999999999972</v>
      </c>
      <c r="K431" s="351"/>
      <c r="L431" s="347">
        <v>-1.0000000000000009E-2</v>
      </c>
      <c r="M431" s="347">
        <v>2.505686706660228</v>
      </c>
      <c r="N431" s="347">
        <v>-0.89686098654708213</v>
      </c>
      <c r="O431" s="347">
        <v>-1.136950904392759</v>
      </c>
      <c r="P431" s="347">
        <v>2.7226760015558256</v>
      </c>
      <c r="Q431" s="882">
        <v>3.1872509960159441</v>
      </c>
      <c r="R431" s="882">
        <v>-1.2000000000000028</v>
      </c>
      <c r="S431" s="1206">
        <v>20.428807036833433</v>
      </c>
      <c r="T431" s="351"/>
      <c r="U431" s="882">
        <v>-0.48332527791203478</v>
      </c>
      <c r="V431" s="882">
        <v>-1.8656716417910448</v>
      </c>
      <c r="W431" s="882">
        <v>0</v>
      </c>
      <c r="X431" s="882">
        <v>1.7</v>
      </c>
      <c r="Y431" s="882">
        <v>-12.466918952784569</v>
      </c>
      <c r="Z431" s="882">
        <v>0.29999999999999982</v>
      </c>
      <c r="AA431" s="882">
        <v>-12.452069929160976</v>
      </c>
    </row>
    <row r="432" spans="1:27" ht="14.25" customHeight="1">
      <c r="A432" s="776"/>
      <c r="B432" s="777"/>
      <c r="C432" s="778">
        <v>7</v>
      </c>
      <c r="D432" s="347">
        <v>-3.8332332559762383</v>
      </c>
      <c r="E432" s="347">
        <v>-10.864197530864212</v>
      </c>
      <c r="F432" s="347">
        <v>-32.566531348669386</v>
      </c>
      <c r="G432" s="347">
        <v>-7.8843268312644934</v>
      </c>
      <c r="H432" s="347">
        <v>3.197158081705151</v>
      </c>
      <c r="I432" s="347">
        <v>1</v>
      </c>
      <c r="J432" s="347">
        <v>3.7000000000000028</v>
      </c>
      <c r="K432" s="351"/>
      <c r="L432" s="347">
        <v>0</v>
      </c>
      <c r="M432" s="347">
        <v>-1.0296010296010296</v>
      </c>
      <c r="N432" s="347">
        <v>-1.8181818181818117</v>
      </c>
      <c r="O432" s="347">
        <v>2.3626091422701565</v>
      </c>
      <c r="P432" s="347">
        <v>-6.4158415841584233</v>
      </c>
      <c r="Q432" s="882">
        <v>-6.9665201217450194</v>
      </c>
      <c r="R432" s="882">
        <v>4.3999999999999915</v>
      </c>
      <c r="S432" s="1206">
        <v>-10.632485816347973</v>
      </c>
      <c r="T432" s="351"/>
      <c r="U432" s="882">
        <v>0.5797101449275307</v>
      </c>
      <c r="V432" s="882">
        <v>7.1720381298229601</v>
      </c>
      <c r="W432" s="882">
        <v>0.10000000000000009</v>
      </c>
      <c r="X432" s="882">
        <v>1.4000000000000001</v>
      </c>
      <c r="Y432" s="882">
        <v>11.0161650247646</v>
      </c>
      <c r="Z432" s="882">
        <v>0</v>
      </c>
      <c r="AA432" s="882">
        <v>10.72687621952219</v>
      </c>
    </row>
    <row r="433" spans="1:27" ht="14.25" customHeight="1">
      <c r="A433" s="776"/>
      <c r="B433" s="777"/>
      <c r="C433" s="778">
        <v>8</v>
      </c>
      <c r="D433" s="347">
        <v>1.6637952252030459</v>
      </c>
      <c r="E433" s="347">
        <v>-13.668061366806135</v>
      </c>
      <c r="F433" s="347">
        <v>-6.5664997217584764</v>
      </c>
      <c r="G433" s="347">
        <v>5.4427407100428233</v>
      </c>
      <c r="H433" s="347">
        <v>30.894308943089431</v>
      </c>
      <c r="I433" s="347">
        <v>2</v>
      </c>
      <c r="J433" s="347">
        <v>3.5999999999999943</v>
      </c>
      <c r="K433" s="351"/>
      <c r="L433" s="347">
        <v>-1.0000000000000009E-2</v>
      </c>
      <c r="M433" s="347">
        <v>0.34750757237784835</v>
      </c>
      <c r="N433" s="347">
        <v>0</v>
      </c>
      <c r="O433" s="347">
        <v>-4.0393578456758217</v>
      </c>
      <c r="P433" s="347">
        <v>-5.5508830950378547</v>
      </c>
      <c r="Q433" s="882">
        <v>-7.5636363636363475</v>
      </c>
      <c r="R433" s="882">
        <v>3.9000000000000057</v>
      </c>
      <c r="S433" s="1206">
        <v>9.2451698632392176</v>
      </c>
      <c r="T433" s="351"/>
      <c r="U433" s="882">
        <v>0.28860028860028591</v>
      </c>
      <c r="V433" s="882">
        <v>-4.0232454179704966</v>
      </c>
      <c r="W433" s="882">
        <v>0</v>
      </c>
      <c r="X433" s="882">
        <v>1.4999999999999998</v>
      </c>
      <c r="Y433" s="882">
        <v>0.66018139563581024</v>
      </c>
      <c r="Z433" s="882">
        <v>0.90000000000000036</v>
      </c>
      <c r="AA433" s="882">
        <v>6.4867794976811437</v>
      </c>
    </row>
    <row r="434" spans="1:27" ht="14.25" customHeight="1">
      <c r="A434" s="776"/>
      <c r="B434" s="777"/>
      <c r="C434" s="778">
        <v>9</v>
      </c>
      <c r="D434" s="347">
        <v>6.3802637175669927</v>
      </c>
      <c r="E434" s="347">
        <v>13.016095171448564</v>
      </c>
      <c r="F434" s="347">
        <v>6.1349693251533735</v>
      </c>
      <c r="G434" s="347">
        <v>-5.1027444490415119</v>
      </c>
      <c r="H434" s="347">
        <v>-35.773584905660378</v>
      </c>
      <c r="I434" s="347">
        <v>-3</v>
      </c>
      <c r="J434" s="347">
        <v>3.7000000000000028</v>
      </c>
      <c r="K434" s="351"/>
      <c r="L434" s="347">
        <v>0</v>
      </c>
      <c r="M434" s="347">
        <v>-0.15012549553143359</v>
      </c>
      <c r="N434" s="347">
        <v>4.4843049327354256</v>
      </c>
      <c r="O434" s="347">
        <v>5.6497175141242941</v>
      </c>
      <c r="P434" s="347">
        <v>-2.363238512035001</v>
      </c>
      <c r="Q434" s="882">
        <v>-4.0879290397223382</v>
      </c>
      <c r="R434" s="882">
        <v>2.4000000000000057</v>
      </c>
      <c r="S434" s="1206">
        <v>-18.647858248752801</v>
      </c>
      <c r="T434" s="351"/>
      <c r="U434" s="882">
        <v>0</v>
      </c>
      <c r="V434" s="882">
        <v>3.6721898790864382</v>
      </c>
      <c r="W434" s="882">
        <v>0</v>
      </c>
      <c r="X434" s="882">
        <v>-0.99999999999999978</v>
      </c>
      <c r="Y434" s="882">
        <v>3.8177327520048796</v>
      </c>
      <c r="Z434" s="882">
        <v>-0.10000000000000053</v>
      </c>
      <c r="AA434" s="882">
        <v>0.22434916888830087</v>
      </c>
    </row>
    <row r="435" spans="1:27">
      <c r="A435" s="776"/>
      <c r="B435" s="777"/>
      <c r="C435" s="778">
        <v>10</v>
      </c>
      <c r="D435" s="347">
        <v>-9.2464960268338405</v>
      </c>
      <c r="E435" s="347">
        <v>1.4350945857795283</v>
      </c>
      <c r="F435" s="347">
        <v>3.0900372935535341</v>
      </c>
      <c r="G435" s="347">
        <v>5.9057821727784647</v>
      </c>
      <c r="H435" s="347">
        <v>-22.950819672131146</v>
      </c>
      <c r="I435" s="347">
        <v>5</v>
      </c>
      <c r="J435" s="347">
        <v>-2.2999999999999972</v>
      </c>
      <c r="K435" s="351"/>
      <c r="L435" s="347">
        <v>1.0000000000000009E-2</v>
      </c>
      <c r="M435" s="347">
        <v>4.1402774744537378</v>
      </c>
      <c r="N435" s="347">
        <v>0</v>
      </c>
      <c r="O435" s="347">
        <v>-1.9162884518406367</v>
      </c>
      <c r="P435" s="347">
        <v>-2.3297491039426599</v>
      </c>
      <c r="Q435" s="882">
        <v>-0.5527043031977914</v>
      </c>
      <c r="R435" s="882">
        <v>2.7999999999999972</v>
      </c>
      <c r="S435" s="1206">
        <v>51.58085277554305</v>
      </c>
      <c r="T435" s="351"/>
      <c r="U435" s="882">
        <v>0.67017711823839432</v>
      </c>
      <c r="V435" s="882">
        <v>-0.88339222614840984</v>
      </c>
      <c r="W435" s="882">
        <v>-0.10000000000000009</v>
      </c>
      <c r="X435" s="882">
        <v>-1.7</v>
      </c>
      <c r="Y435" s="882">
        <v>17.633195000839589</v>
      </c>
      <c r="Z435" s="882">
        <v>-9.9999999999999645E-2</v>
      </c>
      <c r="AA435" s="882">
        <v>-4.8499843500812254</v>
      </c>
    </row>
    <row r="436" spans="1:27" ht="14.25" customHeight="1">
      <c r="A436" s="776"/>
      <c r="B436" s="777"/>
      <c r="C436" s="778">
        <v>11</v>
      </c>
      <c r="D436" s="347">
        <v>1.3456980080675283</v>
      </c>
      <c r="E436" s="347">
        <v>0</v>
      </c>
      <c r="F436" s="347">
        <v>5.5102040816326587</v>
      </c>
      <c r="G436" s="347">
        <v>3.021941926159506</v>
      </c>
      <c r="H436" s="347">
        <v>18.487394957983192</v>
      </c>
      <c r="I436" s="347">
        <v>-1</v>
      </c>
      <c r="J436" s="347">
        <v>-2.4000000000000057</v>
      </c>
      <c r="K436" s="351"/>
      <c r="L436" s="347">
        <v>0</v>
      </c>
      <c r="M436" s="347">
        <v>-0.76643944789228324</v>
      </c>
      <c r="N436" s="347">
        <v>2.5974025974025881</v>
      </c>
      <c r="O436" s="347">
        <v>-11.410118406889136</v>
      </c>
      <c r="P436" s="347">
        <v>-1.3692377909630307</v>
      </c>
      <c r="Q436" s="882">
        <v>-2.8101164191087915</v>
      </c>
      <c r="R436" s="882">
        <v>-0.5</v>
      </c>
      <c r="S436" s="1206">
        <v>-32.780936252570463</v>
      </c>
      <c r="T436" s="351"/>
      <c r="U436" s="882">
        <v>9.5374344301391065E-2</v>
      </c>
      <c r="V436" s="882">
        <v>-18.834951456310684</v>
      </c>
      <c r="W436" s="882">
        <v>0.10000000000000009</v>
      </c>
      <c r="X436" s="882">
        <v>0.30000000000000004</v>
      </c>
      <c r="Y436" s="882">
        <v>-20.403973841759957</v>
      </c>
      <c r="Z436" s="882">
        <v>-0.40000000000000036</v>
      </c>
      <c r="AA436" s="882">
        <v>4.9052330432709477</v>
      </c>
    </row>
    <row r="437" spans="1:27" ht="14.25" customHeight="1">
      <c r="A437" s="874"/>
      <c r="B437" s="875"/>
      <c r="C437" s="876">
        <v>12</v>
      </c>
      <c r="D437" s="347">
        <v>7.2916003311469151</v>
      </c>
      <c r="E437" s="347">
        <v>-1.9620667102681491</v>
      </c>
      <c r="F437" s="347">
        <v>-2.3103967855349041</v>
      </c>
      <c r="G437" s="347">
        <v>-3.530031612223393</v>
      </c>
      <c r="H437" s="349">
        <v>-1.3552758954501452</v>
      </c>
      <c r="I437" s="349">
        <v>-3</v>
      </c>
      <c r="J437" s="347">
        <v>-2.2999999999999972</v>
      </c>
      <c r="K437" s="353"/>
      <c r="L437" s="347">
        <v>-1.0000000000000009E-2</v>
      </c>
      <c r="M437" s="347">
        <v>0.80021700800216178</v>
      </c>
      <c r="N437" s="347">
        <v>-6.1674008810572625</v>
      </c>
      <c r="O437" s="347">
        <v>20.123203285420953</v>
      </c>
      <c r="P437" s="347">
        <v>3.3438770899231836</v>
      </c>
      <c r="Q437" s="882">
        <v>1.6955995155430026</v>
      </c>
      <c r="R437" s="882">
        <v>-2.2999999999999972</v>
      </c>
      <c r="S437" s="1206">
        <v>7.4507408955031957</v>
      </c>
      <c r="T437" s="353"/>
      <c r="U437" s="882">
        <v>-0.19083969465649125</v>
      </c>
      <c r="V437" s="882">
        <v>31.43631436314363</v>
      </c>
      <c r="W437" s="882">
        <v>-0.10000000000000009</v>
      </c>
      <c r="X437" s="882">
        <v>1.6</v>
      </c>
      <c r="Y437" s="882">
        <v>-1.3965248631483957</v>
      </c>
      <c r="Z437" s="882">
        <v>-0.59999999999999964</v>
      </c>
      <c r="AA437" s="882">
        <v>4.1528996240173104</v>
      </c>
    </row>
    <row r="438" spans="1:27" ht="14.25" customHeight="1">
      <c r="A438" s="873" t="s">
        <v>697</v>
      </c>
      <c r="B438" s="759">
        <v>2024</v>
      </c>
      <c r="C438" s="760">
        <v>1</v>
      </c>
      <c r="D438" s="348">
        <v>-8.8342849810739761</v>
      </c>
      <c r="E438" s="348">
        <v>-1.1960132890365525</v>
      </c>
      <c r="F438" s="348">
        <v>-30.17543859649124</v>
      </c>
      <c r="G438" s="348">
        <v>-15.17599538372764</v>
      </c>
      <c r="H438" s="348">
        <v>-18.065887353878853</v>
      </c>
      <c r="I438" s="348">
        <v>-1</v>
      </c>
      <c r="J438" s="348">
        <v>-1.2999999999999972</v>
      </c>
      <c r="K438" s="350"/>
      <c r="L438" s="348">
        <v>-2.0000000000000018E-2</v>
      </c>
      <c r="M438" s="348">
        <v>-0.69813942454332045</v>
      </c>
      <c r="N438" s="348">
        <v>-3.7037037037037068</v>
      </c>
      <c r="O438" s="348">
        <v>-12.277227722772281</v>
      </c>
      <c r="P438" s="348">
        <v>-0.98258150960249602</v>
      </c>
      <c r="Q438" s="920">
        <v>3.3070866141732194</v>
      </c>
      <c r="R438" s="920">
        <v>2.6999999999999886</v>
      </c>
      <c r="S438" s="1209">
        <v>-22.178872237394721</v>
      </c>
      <c r="T438" s="350"/>
      <c r="U438" s="920">
        <v>-0.19120458891013656</v>
      </c>
      <c r="V438" s="920">
        <v>-17.48726655348047</v>
      </c>
      <c r="W438" s="920">
        <v>0</v>
      </c>
      <c r="X438" s="920">
        <v>-2.5</v>
      </c>
      <c r="Y438" s="920">
        <v>-6.260886171975435</v>
      </c>
      <c r="Z438" s="920">
        <v>-0.39999999999999991</v>
      </c>
      <c r="AA438" s="882">
        <v>-47.045239121068498</v>
      </c>
    </row>
    <row r="439" spans="1:27" ht="14.25" customHeight="1">
      <c r="A439" s="776"/>
      <c r="B439" s="777"/>
      <c r="C439" s="778">
        <v>2</v>
      </c>
      <c r="D439" s="347">
        <v>1.7877485178317523</v>
      </c>
      <c r="E439" s="347">
        <v>-0.94022834116857346</v>
      </c>
      <c r="F439" s="347">
        <v>20.851326341764349</v>
      </c>
      <c r="G439" s="347">
        <v>-11.419141914191419</v>
      </c>
      <c r="H439" s="347">
        <v>13.304252998909487</v>
      </c>
      <c r="I439" s="347">
        <v>6</v>
      </c>
      <c r="J439" s="347">
        <v>-1.4000000000000057</v>
      </c>
      <c r="K439" s="351"/>
      <c r="L439" s="347">
        <v>0</v>
      </c>
      <c r="M439" s="347">
        <v>2.1997241936026248</v>
      </c>
      <c r="N439" s="347">
        <v>-5.8252427184465985</v>
      </c>
      <c r="O439" s="347">
        <v>8.4848484848484897</v>
      </c>
      <c r="P439" s="347">
        <v>5.1595977262789603</v>
      </c>
      <c r="Q439" s="882">
        <v>3.7248194602812661</v>
      </c>
      <c r="R439" s="1137">
        <v>-3.5</v>
      </c>
      <c r="S439" s="1206">
        <v>32.70827260852198</v>
      </c>
      <c r="T439" s="351"/>
      <c r="U439" s="882">
        <v>0.28666985188724048</v>
      </c>
      <c r="V439" s="882">
        <v>14.335060449050083</v>
      </c>
      <c r="W439" s="882">
        <v>0.10000000000000009</v>
      </c>
      <c r="X439" s="882">
        <v>1.8</v>
      </c>
      <c r="Y439" s="882">
        <v>9.7746880409475008</v>
      </c>
      <c r="Z439" s="882">
        <v>0.5</v>
      </c>
      <c r="AA439" s="882">
        <v>49.654424718796577</v>
      </c>
    </row>
    <row r="440" spans="1:27" ht="14.25" customHeight="1">
      <c r="A440" s="776"/>
      <c r="B440" s="777"/>
      <c r="C440" s="778">
        <v>3</v>
      </c>
      <c r="D440" s="347">
        <v>2.7088549965854827</v>
      </c>
      <c r="E440" s="347">
        <v>0</v>
      </c>
      <c r="F440" s="347">
        <v>6.6954643628509745</v>
      </c>
      <c r="G440" s="347">
        <v>8.8004015392337287</v>
      </c>
      <c r="H440" s="347">
        <v>1.6227180527383367</v>
      </c>
      <c r="I440" s="347">
        <v>-5</v>
      </c>
      <c r="J440" s="347">
        <v>-1.2999999999999972</v>
      </c>
      <c r="K440" s="351"/>
      <c r="L440" s="347">
        <v>0</v>
      </c>
      <c r="M440" s="347">
        <v>-1.8512093299159416</v>
      </c>
      <c r="N440" s="347">
        <v>-1.0050251256281373</v>
      </c>
      <c r="O440" s="347">
        <v>3.6156041864890556</v>
      </c>
      <c r="P440" s="347">
        <v>2.6083298275136801</v>
      </c>
      <c r="Q440" s="882">
        <v>1.5549796371714137</v>
      </c>
      <c r="R440" s="882">
        <v>-2</v>
      </c>
      <c r="S440" s="1206">
        <v>-6.0310633213859024</v>
      </c>
      <c r="T440" s="351"/>
      <c r="U440" s="882">
        <v>-0.28666985188724048</v>
      </c>
      <c r="V440" s="882">
        <v>3.5615354174910965</v>
      </c>
      <c r="W440" s="882">
        <v>0</v>
      </c>
      <c r="X440" s="882">
        <v>2.2999999999999998</v>
      </c>
      <c r="Y440" s="882">
        <v>-3.3622950322999809</v>
      </c>
      <c r="Z440" s="882">
        <v>-0.39999999999999991</v>
      </c>
      <c r="AA440" s="882">
        <v>-14.365090909090913</v>
      </c>
    </row>
    <row r="441" spans="1:27" ht="14.25" customHeight="1">
      <c r="A441" s="776"/>
      <c r="B441" s="777"/>
      <c r="C441" s="778">
        <v>4</v>
      </c>
      <c r="D441" s="347">
        <v>-3.0059271803556369</v>
      </c>
      <c r="E441" s="347">
        <v>1.606425702811249</v>
      </c>
      <c r="F441" s="347">
        <v>6.7642604745078261</v>
      </c>
      <c r="G441" s="347">
        <v>4.4193700047014577</v>
      </c>
      <c r="H441" s="347">
        <v>43.217665615141954</v>
      </c>
      <c r="I441" s="347">
        <v>-1</v>
      </c>
      <c r="J441" s="347">
        <v>-0.29999999999999716</v>
      </c>
      <c r="K441" s="351"/>
      <c r="L441" s="347">
        <v>-1.0000000000000009E-2</v>
      </c>
      <c r="M441" s="347">
        <v>1.7202759609354044</v>
      </c>
      <c r="N441" s="347">
        <v>1.9999999999999929</v>
      </c>
      <c r="O441" s="347">
        <v>4.3875685557586808</v>
      </c>
      <c r="P441" s="347">
        <v>4.3866774979691234</v>
      </c>
      <c r="Q441" s="882">
        <v>1.5311702515493946</v>
      </c>
      <c r="R441" s="882">
        <v>-5.2999999999999972</v>
      </c>
      <c r="S441" s="1206">
        <v>-7.0816326530612246</v>
      </c>
      <c r="T441" s="351"/>
      <c r="U441" s="882">
        <v>-9.5739588319764785E-2</v>
      </c>
      <c r="V441" s="882">
        <v>5.4462934947050057</v>
      </c>
      <c r="W441" s="882">
        <v>0</v>
      </c>
      <c r="X441" s="882">
        <v>-4.0999999999999996</v>
      </c>
      <c r="Y441" s="882">
        <v>-17.646291707807812</v>
      </c>
      <c r="Z441" s="882">
        <v>-0.10000000000000009</v>
      </c>
      <c r="AA441" s="882">
        <v>22.005271893000099</v>
      </c>
    </row>
    <row r="442" spans="1:27" ht="14.25" customHeight="1">
      <c r="A442" s="776"/>
      <c r="B442" s="777"/>
      <c r="C442" s="778">
        <v>5</v>
      </c>
      <c r="D442" s="347">
        <v>3.8205198890816865</v>
      </c>
      <c r="E442" s="347">
        <v>3.1372549019607918</v>
      </c>
      <c r="F442" s="347">
        <v>4.1128646580583421</v>
      </c>
      <c r="G442" s="347">
        <v>5.255300089578979</v>
      </c>
      <c r="H442" s="347">
        <v>-65.404475043029265</v>
      </c>
      <c r="I442" s="347">
        <v>5</v>
      </c>
      <c r="J442" s="347">
        <v>-0.40000000000000568</v>
      </c>
      <c r="K442" s="351"/>
      <c r="L442" s="347">
        <v>-1.0000000000000009E-2</v>
      </c>
      <c r="M442" s="347">
        <v>-4.1669500555442243</v>
      </c>
      <c r="N442" s="347">
        <v>-3.0150753768844116</v>
      </c>
      <c r="O442" s="347">
        <v>-6.74988441978733</v>
      </c>
      <c r="P442" s="347">
        <v>-0.47808764940238591</v>
      </c>
      <c r="Q442" s="882">
        <v>3.4838250977604028</v>
      </c>
      <c r="R442" s="882">
        <v>1.2999999999999972</v>
      </c>
      <c r="S442" s="1206">
        <v>36.225192525922779</v>
      </c>
      <c r="T442" s="351"/>
      <c r="U442" s="882">
        <v>9.5739588319764785E-2</v>
      </c>
      <c r="V442" s="882">
        <v>-10.216718266253885</v>
      </c>
      <c r="W442" s="882">
        <v>0</v>
      </c>
      <c r="X442" s="882">
        <v>1.4</v>
      </c>
      <c r="Y442" s="882">
        <v>5.7869851366983269</v>
      </c>
      <c r="Z442" s="882">
        <v>0.60000000000000009</v>
      </c>
      <c r="AA442" s="882">
        <v>-5.1553035184946516</v>
      </c>
    </row>
    <row r="443" spans="1:27" ht="14.25" customHeight="1">
      <c r="A443" s="776"/>
      <c r="B443" s="777"/>
      <c r="C443" s="778">
        <v>6</v>
      </c>
      <c r="D443" s="347">
        <v>-4.5252992051029688</v>
      </c>
      <c r="E443" s="347">
        <v>-4.2049934296977698</v>
      </c>
      <c r="F443" s="347">
        <v>-7.1844660194174814</v>
      </c>
      <c r="G443" s="347">
        <v>2.5563693810139307</v>
      </c>
      <c r="H443" s="347">
        <v>4.7440699126092385</v>
      </c>
      <c r="I443" s="347">
        <v>-2</v>
      </c>
      <c r="J443" s="347">
        <v>-0.29999999999999716</v>
      </c>
      <c r="K443" s="351"/>
      <c r="L443" s="347">
        <v>-2.0000000000000018E-2</v>
      </c>
      <c r="M443" s="347">
        <v>-0.78332926559975413</v>
      </c>
      <c r="N443" s="347">
        <v>3.0150753768844116</v>
      </c>
      <c r="O443" s="347">
        <v>-0.38350910834132856</v>
      </c>
      <c r="P443" s="347">
        <v>-0.40016006402561022</v>
      </c>
      <c r="Q443" s="882">
        <v>-0.49036777583186592</v>
      </c>
      <c r="R443" s="882">
        <v>1.2000000000000028</v>
      </c>
      <c r="S443" s="1206">
        <v>-12.061309713592498</v>
      </c>
      <c r="T443" s="351"/>
      <c r="U443" s="882">
        <v>0.38204393505253648</v>
      </c>
      <c r="V443" s="882">
        <v>3.0522088353413745</v>
      </c>
      <c r="W443" s="882">
        <v>-0.10000000000000009</v>
      </c>
      <c r="X443" s="882">
        <v>3.6999999999999997</v>
      </c>
      <c r="Y443" s="882">
        <v>37.937150080707035</v>
      </c>
      <c r="Z443" s="882">
        <v>-0.5</v>
      </c>
      <c r="AA443" s="882">
        <v>-28.344434878487174</v>
      </c>
    </row>
    <row r="444" spans="1:27" ht="14.25" customHeight="1">
      <c r="A444" s="776"/>
      <c r="B444" s="777"/>
      <c r="C444" s="778">
        <v>7</v>
      </c>
      <c r="D444" s="347">
        <v>0.90986683460809503</v>
      </c>
      <c r="E444" s="347">
        <v>-0.13431833445264516</v>
      </c>
      <c r="F444" s="347">
        <v>-4.7422680412371072</v>
      </c>
      <c r="G444" s="347">
        <v>5.6229327453142224</v>
      </c>
      <c r="H444" s="347">
        <v>18.784530386740332</v>
      </c>
      <c r="I444" s="347">
        <v>3</v>
      </c>
      <c r="J444" s="347">
        <v>1.2999999999999972</v>
      </c>
      <c r="K444" s="351"/>
      <c r="L444" s="347">
        <v>2.0000000000000018E-2</v>
      </c>
      <c r="M444" s="347">
        <v>-0.21725672503008148</v>
      </c>
      <c r="N444" s="347">
        <v>-0.99502487562188691</v>
      </c>
      <c r="O444" s="347">
        <v>-14.971605575632422</v>
      </c>
      <c r="P444" s="347">
        <v>-3.7581699346405295</v>
      </c>
      <c r="Q444" s="882">
        <v>-0.56338028169014887</v>
      </c>
      <c r="R444" s="1213">
        <v>1.2000000000000028</v>
      </c>
      <c r="S444" s="1206">
        <v>-41.17195062319751</v>
      </c>
      <c r="T444" s="351"/>
      <c r="U444" s="882">
        <v>9.528346831824136E-2</v>
      </c>
      <c r="V444" s="882">
        <v>-23.716814159292042</v>
      </c>
      <c r="W444" s="882">
        <v>0.20000000000000018</v>
      </c>
      <c r="X444" s="882">
        <v>-8.8999999999999986</v>
      </c>
      <c r="Y444" s="882">
        <v>-35.151934448203917</v>
      </c>
      <c r="Z444" s="882">
        <v>9.9999999999999645E-2</v>
      </c>
      <c r="AA444" s="882">
        <v>70.823719296650339</v>
      </c>
    </row>
    <row r="445" spans="1:27" ht="14.25" customHeight="1">
      <c r="A445" s="776"/>
      <c r="B445" s="777"/>
      <c r="C445" s="778">
        <v>8</v>
      </c>
      <c r="D445" s="347">
        <v>2.0799999999999939</v>
      </c>
      <c r="E445" s="347">
        <v>-1.4895057549086101</v>
      </c>
      <c r="F445" s="347">
        <v>-16.210045662100459</v>
      </c>
      <c r="G445" s="347">
        <v>-0.7805140627102678</v>
      </c>
      <c r="H445" s="347">
        <v>13.559322033898304</v>
      </c>
      <c r="I445" s="347">
        <v>-1</v>
      </c>
      <c r="J445" s="347">
        <v>1.4000000000000057</v>
      </c>
      <c r="K445" s="351"/>
      <c r="L445" s="347">
        <v>2.0000000000000018E-2</v>
      </c>
      <c r="M445" s="347">
        <v>-2.560428238136415</v>
      </c>
      <c r="N445" s="347">
        <v>-1.0050251256281373</v>
      </c>
      <c r="O445" s="347">
        <v>14.204250907205811</v>
      </c>
      <c r="P445" s="347">
        <v>-1.1725293132328236</v>
      </c>
      <c r="Q445" s="882">
        <v>-5.2173913043478182</v>
      </c>
      <c r="R445" s="1213">
        <v>0.40000000000000568</v>
      </c>
      <c r="S445" s="1206">
        <v>2.1726700971984014</v>
      </c>
      <c r="T445" s="351"/>
      <c r="U445" s="882">
        <v>0.38022813688213469</v>
      </c>
      <c r="V445" s="882">
        <v>19.401631912964646</v>
      </c>
      <c r="W445" s="882">
        <v>-0.20000000000000018</v>
      </c>
      <c r="X445" s="882">
        <v>7.3</v>
      </c>
      <c r="Y445" s="882">
        <v>20.935120618247147</v>
      </c>
      <c r="Z445" s="882">
        <v>-0.59999999999999964</v>
      </c>
      <c r="AA445" s="882">
        <v>-48.193247987000127</v>
      </c>
    </row>
    <row r="446" spans="1:27" ht="14.25" customHeight="1">
      <c r="A446" s="776"/>
      <c r="B446" s="777"/>
      <c r="C446" s="778">
        <v>9</v>
      </c>
      <c r="D446" s="347">
        <v>-5.4186824220597636</v>
      </c>
      <c r="E446" s="347">
        <v>3.2214765100671219</v>
      </c>
      <c r="F446" s="347">
        <v>25.190010857763308</v>
      </c>
      <c r="G446" s="347">
        <v>1.2619143509195865</v>
      </c>
      <c r="H446" s="347">
        <v>-50.055126791620729</v>
      </c>
      <c r="I446" s="347">
        <v>-3</v>
      </c>
      <c r="J446" s="347">
        <v>1.2999999999999972</v>
      </c>
      <c r="K446" s="351"/>
      <c r="L446" s="347">
        <v>1.0000000000000009E-2</v>
      </c>
      <c r="M446" s="347">
        <v>-0.16568814609371313</v>
      </c>
      <c r="N446" s="347">
        <v>-4.1237113402061896</v>
      </c>
      <c r="O446" s="347">
        <v>7.1861875874941692</v>
      </c>
      <c r="P446" s="347">
        <v>4.6894282188399847</v>
      </c>
      <c r="Q446" s="882">
        <v>4.8638838475499009</v>
      </c>
      <c r="R446" s="1213">
        <v>-1.9000000000000057</v>
      </c>
      <c r="S446" s="1206">
        <v>27.565223844204855</v>
      </c>
      <c r="T446" s="351"/>
      <c r="U446" s="882">
        <v>0.18957345971562903</v>
      </c>
      <c r="V446" s="882">
        <v>9.3737692004726298</v>
      </c>
      <c r="W446" s="882">
        <v>-0.10000000000000009</v>
      </c>
      <c r="X446" s="882">
        <v>-2.7</v>
      </c>
      <c r="Y446" s="882">
        <v>-11.430727122412451</v>
      </c>
      <c r="Z446" s="882">
        <v>-0.60000000000000009</v>
      </c>
      <c r="AA446" s="882">
        <v>-4.4872244594423973</v>
      </c>
    </row>
    <row r="447" spans="1:27" ht="14.25" customHeight="1">
      <c r="A447" s="776"/>
      <c r="B447" s="777"/>
      <c r="C447" s="778">
        <v>10</v>
      </c>
      <c r="D447" s="347">
        <v>0.48668425082958161</v>
      </c>
      <c r="E447" s="347">
        <v>-3.3579583613163195</v>
      </c>
      <c r="F447" s="347">
        <v>4.339622641509429</v>
      </c>
      <c r="G447" s="347">
        <v>-6.4445056458275953</v>
      </c>
      <c r="H447" s="347">
        <v>43.317972350230413</v>
      </c>
      <c r="I447" s="347">
        <v>2</v>
      </c>
      <c r="J447" s="347">
        <v>0.29999999999999716</v>
      </c>
      <c r="K447" s="351"/>
      <c r="L447" s="347">
        <v>-2.0000000000000018E-2</v>
      </c>
      <c r="M447" s="347">
        <v>-2.0466877890673412</v>
      </c>
      <c r="N447" s="347">
        <v>8.0808080808080884</v>
      </c>
      <c r="O447" s="347">
        <v>5.3485313459009154</v>
      </c>
      <c r="P447" s="347">
        <v>6.9072564998059791</v>
      </c>
      <c r="Q447" s="882">
        <v>12.242182302062544</v>
      </c>
      <c r="R447" s="1213">
        <v>-6.2000000000000028</v>
      </c>
      <c r="S447" s="1206">
        <v>-19.601023017902815</v>
      </c>
      <c r="T447" s="351"/>
      <c r="U447" s="882">
        <v>-0.18957345971562903</v>
      </c>
      <c r="V447" s="882">
        <v>11.154529307282408</v>
      </c>
      <c r="W447" s="882">
        <v>0.10000000000000009</v>
      </c>
      <c r="X447" s="882">
        <v>-2.9</v>
      </c>
      <c r="Y447" s="882">
        <v>5.5575143307858221</v>
      </c>
      <c r="Z447" s="882">
        <v>0.29999999999999982</v>
      </c>
      <c r="AA447" s="882">
        <v>-1.6556195548351564</v>
      </c>
    </row>
    <row r="448" spans="1:27" ht="14.25" customHeight="1">
      <c r="A448" s="776"/>
      <c r="B448" s="777"/>
      <c r="C448" s="778">
        <v>11</v>
      </c>
      <c r="D448" s="347">
        <v>0.7913158161712518</v>
      </c>
      <c r="E448" s="347">
        <v>0.40899795501022113</v>
      </c>
      <c r="F448" s="347">
        <v>-4.339622641509429</v>
      </c>
      <c r="G448" s="347">
        <v>-2.0411096737099323</v>
      </c>
      <c r="H448" s="347">
        <v>-5.0485436893203888</v>
      </c>
      <c r="I448" s="347">
        <v>1</v>
      </c>
      <c r="J448" s="347">
        <v>0.40000000000000568</v>
      </c>
      <c r="K448" s="351"/>
      <c r="L448" s="347">
        <v>-1.0000000000000009E-2</v>
      </c>
      <c r="M448" s="347">
        <v>-2.3678332092330514</v>
      </c>
      <c r="N448" s="347">
        <v>-6.0000000000000142</v>
      </c>
      <c r="O448" s="347">
        <v>-3.5636679704476264</v>
      </c>
      <c r="P448" s="347">
        <v>-5.3929121725731992</v>
      </c>
      <c r="Q448" s="882">
        <v>-4.0946896992962287</v>
      </c>
      <c r="R448" s="882">
        <v>6</v>
      </c>
      <c r="S448" s="1206">
        <v>11.217334518087116</v>
      </c>
      <c r="T448" s="351"/>
      <c r="U448" s="882">
        <v>0.37878787878787074</v>
      </c>
      <c r="V448" s="882">
        <v>-6.8197633959638022</v>
      </c>
      <c r="W448" s="882">
        <v>0</v>
      </c>
      <c r="X448" s="882">
        <v>5.2</v>
      </c>
      <c r="Y448" s="882">
        <v>22.251167637371839</v>
      </c>
      <c r="Z448" s="882">
        <v>0.5</v>
      </c>
      <c r="AA448" s="882">
        <v>2.910638787425575</v>
      </c>
    </row>
    <row r="449" spans="1:27" ht="14.25" customHeight="1">
      <c r="A449" s="874"/>
      <c r="B449" s="875"/>
      <c r="C449" s="1249">
        <v>12</v>
      </c>
      <c r="D449" s="347">
        <v>-3.0243710624620768</v>
      </c>
      <c r="E449" s="347">
        <v>0.13596193065940765</v>
      </c>
      <c r="F449" s="347">
        <v>-1.3592233009708794</v>
      </c>
      <c r="G449" s="347">
        <v>-0.55337119557303038</v>
      </c>
      <c r="H449" s="349">
        <v>3.3300685602350635</v>
      </c>
      <c r="I449" s="349">
        <v>-2</v>
      </c>
      <c r="J449" s="347">
        <v>0.29999999999999716</v>
      </c>
      <c r="K449" s="353"/>
      <c r="L449" s="347">
        <v>1.0000000000000009E-2</v>
      </c>
      <c r="M449" s="347">
        <v>4.610760076068944</v>
      </c>
      <c r="N449" s="347">
        <v>-1.03626943005181</v>
      </c>
      <c r="O449" s="347">
        <v>-1.6956715751896525</v>
      </c>
      <c r="P449" s="347">
        <v>-1.8377946464242885</v>
      </c>
      <c r="Q449" s="882">
        <v>-1.5799868334430587</v>
      </c>
      <c r="R449" s="882">
        <v>0.40000000000000568</v>
      </c>
      <c r="S449" s="1206">
        <v>29.915775135992558</v>
      </c>
      <c r="T449" s="353"/>
      <c r="U449" s="882">
        <v>0.37735849056604309</v>
      </c>
      <c r="V449" s="882">
        <v>-4.2678440029433489</v>
      </c>
      <c r="W449" s="347">
        <v>0</v>
      </c>
      <c r="X449" s="882">
        <v>-2</v>
      </c>
      <c r="Y449" s="882">
        <v>-25.794677381123769</v>
      </c>
      <c r="Z449" s="882">
        <v>0.60000000000000009</v>
      </c>
      <c r="AA449" s="882">
        <v>-3.2936159177028306</v>
      </c>
    </row>
    <row r="450" spans="1:27" ht="14.25" customHeight="1">
      <c r="A450" s="1245" t="s">
        <v>796</v>
      </c>
      <c r="B450" s="759">
        <v>2025</v>
      </c>
      <c r="C450" s="760">
        <v>1</v>
      </c>
      <c r="D450" s="348">
        <v>3.5081136853953638</v>
      </c>
      <c r="E450" s="348">
        <v>3.0769230769230922</v>
      </c>
      <c r="F450" s="348">
        <v>11.515430677107323</v>
      </c>
      <c r="G450" s="348">
        <v>-0.88002346729246117</v>
      </c>
      <c r="H450" s="348">
        <v>-5.3412462908011866</v>
      </c>
      <c r="I450" s="348">
        <v>-2</v>
      </c>
      <c r="J450" s="348">
        <v>0.70000000000000284</v>
      </c>
      <c r="K450" s="350"/>
      <c r="L450" s="348">
        <v>0</v>
      </c>
      <c r="M450" s="348">
        <v>-3.0067316705011629</v>
      </c>
      <c r="N450" s="348">
        <v>7.0351758793969967</v>
      </c>
      <c r="O450" s="348">
        <v>0.98522167487685486</v>
      </c>
      <c r="P450" s="348">
        <v>5.1080550098231825</v>
      </c>
      <c r="Q450" s="920">
        <v>1.5146526177148578</v>
      </c>
      <c r="R450" s="920">
        <v>-2.4000000000000057</v>
      </c>
      <c r="S450" s="1209">
        <v>20.649213533015466</v>
      </c>
      <c r="T450" s="350"/>
      <c r="U450" s="920">
        <v>-9.4206311822900166E-2</v>
      </c>
      <c r="V450" s="920">
        <v>2.156935663815549</v>
      </c>
      <c r="W450" s="920">
        <v>0</v>
      </c>
      <c r="X450" s="920">
        <v>2.2999999999999998</v>
      </c>
      <c r="Y450" s="920">
        <v>-2.1702883141956431</v>
      </c>
      <c r="Z450" s="920">
        <v>0.29999999999999982</v>
      </c>
      <c r="AA450" s="920">
        <v>-2.4766791736493201</v>
      </c>
    </row>
    <row r="451" spans="1:27" ht="14.25" customHeight="1">
      <c r="A451" s="776"/>
      <c r="B451" s="777"/>
      <c r="C451" s="778">
        <v>2</v>
      </c>
      <c r="D451" s="347">
        <v>-1.5420343706455986</v>
      </c>
      <c r="E451" s="347">
        <v>0.39447731755423682</v>
      </c>
      <c r="F451" s="347">
        <v>5.9171597633136095</v>
      </c>
      <c r="G451" s="347">
        <v>1.7233825032861108</v>
      </c>
      <c r="H451" s="347">
        <v>19.780219780219781</v>
      </c>
      <c r="I451" s="347">
        <v>5</v>
      </c>
      <c r="J451" s="347">
        <v>0.59999999999999432</v>
      </c>
      <c r="K451" s="351"/>
      <c r="L451" s="347">
        <v>0</v>
      </c>
      <c r="M451" s="347">
        <v>-1.1360105397914368</v>
      </c>
      <c r="N451" s="347">
        <v>2.8708133971291767</v>
      </c>
      <c r="O451" s="347">
        <v>-2.253267237494367</v>
      </c>
      <c r="P451" s="347">
        <v>2.7956176803928892</v>
      </c>
      <c r="Q451" s="882">
        <v>3.5313001605136436</v>
      </c>
      <c r="R451" s="1137">
        <v>-2.5999999999999943</v>
      </c>
      <c r="S451" s="1206">
        <v>-45.020610550212076</v>
      </c>
      <c r="T451" s="351"/>
      <c r="U451" s="882">
        <v>0.18832391713747915</v>
      </c>
      <c r="V451" s="882">
        <v>1.097694840834248</v>
      </c>
      <c r="W451" s="882">
        <v>-0.10000000000000009</v>
      </c>
      <c r="X451" s="882">
        <v>-1.7</v>
      </c>
      <c r="Y451" s="882">
        <v>-15.215144277108987</v>
      </c>
      <c r="Z451" s="882">
        <v>-0.29999999999999982</v>
      </c>
      <c r="AA451" s="882">
        <v>15.789328096041608</v>
      </c>
    </row>
    <row r="452" spans="1:27" ht="14.25" customHeight="1">
      <c r="A452" s="776"/>
      <c r="B452" s="777"/>
      <c r="C452" s="778">
        <v>3</v>
      </c>
      <c r="D452" s="347">
        <v>-0.25734761527384281</v>
      </c>
      <c r="E452" s="347">
        <v>-7.2059823249490105</v>
      </c>
      <c r="F452" s="347">
        <v>-5.1368421052631534</v>
      </c>
      <c r="G452" s="347">
        <v>-0.55176419340786986</v>
      </c>
      <c r="H452" s="948">
        <v>-2.7027027027027026</v>
      </c>
      <c r="I452" s="948">
        <v>-2</v>
      </c>
      <c r="J452" s="347">
        <v>0.70000000000000284</v>
      </c>
      <c r="K452" s="353"/>
      <c r="L452" s="347">
        <v>0</v>
      </c>
      <c r="M452" s="347">
        <v>-1.298374515625784</v>
      </c>
      <c r="N452" s="347">
        <v>0.93896713615023153</v>
      </c>
      <c r="O452" s="347">
        <v>17.774086378737532</v>
      </c>
      <c r="P452" s="347">
        <v>1.1115227862171175</v>
      </c>
      <c r="Q452" s="882">
        <v>-7.528641571194763</v>
      </c>
      <c r="R452" s="882">
        <v>-0.40000000000000568</v>
      </c>
      <c r="S452" s="882">
        <v>23.217145388258551</v>
      </c>
      <c r="T452" s="353"/>
      <c r="U452" s="882">
        <v>-1.516587677725113</v>
      </c>
      <c r="V452" s="882">
        <v>19.921363040629096</v>
      </c>
      <c r="W452" s="882">
        <v>0.10000000000000009</v>
      </c>
      <c r="X452" s="882">
        <v>0.60000000000000009</v>
      </c>
      <c r="Y452" s="882">
        <v>16.812666194663205</v>
      </c>
      <c r="Z452" s="882">
        <v>0.20000000000000018</v>
      </c>
      <c r="AA452" s="882">
        <v>-28.196165040733646</v>
      </c>
    </row>
    <row r="453" spans="1:27" ht="14.25" customHeight="1">
      <c r="A453" s="776"/>
      <c r="B453" s="777"/>
      <c r="C453" s="778">
        <v>4</v>
      </c>
      <c r="D453" s="347">
        <v>6.5878935903359928</v>
      </c>
      <c r="E453" s="347">
        <v>18.670076726342703</v>
      </c>
      <c r="F453" s="347">
        <v>-7.254814151365883</v>
      </c>
      <c r="G453" s="347">
        <v>11.318681318681319</v>
      </c>
      <c r="H453" s="948">
        <v>-13.528336380255942</v>
      </c>
      <c r="I453" s="948">
        <v>-1</v>
      </c>
      <c r="J453" s="347">
        <v>0.29999999999999716</v>
      </c>
      <c r="K453" s="353"/>
      <c r="L453" s="347">
        <v>-1.0000000000000009E-2</v>
      </c>
      <c r="M453" s="347">
        <v>1.3258695515441177</v>
      </c>
      <c r="N453" s="347">
        <v>0</v>
      </c>
      <c r="O453" s="347">
        <v>-22.203389830508467</v>
      </c>
      <c r="P453" s="347">
        <v>-8.3685220729366527</v>
      </c>
      <c r="Q453" s="882">
        <v>-0.40899795501022113</v>
      </c>
      <c r="R453" s="882">
        <v>9.1000000000000085</v>
      </c>
      <c r="S453" s="882">
        <v>-39.492588056809659</v>
      </c>
      <c r="T453" s="353"/>
      <c r="U453" s="882">
        <v>9.5465393794743975E-2</v>
      </c>
      <c r="V453" s="882">
        <v>-35.674157303370791</v>
      </c>
      <c r="W453" s="882">
        <v>0</v>
      </c>
      <c r="X453" s="882">
        <v>-0.9</v>
      </c>
      <c r="Y453" s="882">
        <v>-1.1614731356566173</v>
      </c>
      <c r="Z453" s="882">
        <v>-0.30000000000000027</v>
      </c>
      <c r="AA453" s="882">
        <v>23.181599229287091</v>
      </c>
    </row>
    <row r="454" spans="1:27" ht="14.25" customHeight="1">
      <c r="A454" s="776"/>
      <c r="B454" s="777"/>
      <c r="C454" s="778">
        <v>5</v>
      </c>
      <c r="D454" s="347">
        <v>-0.83746450401886408</v>
      </c>
      <c r="E454" s="347">
        <v>0.23364485981308744</v>
      </c>
      <c r="F454" s="347">
        <v>-1.876172607879925</v>
      </c>
      <c r="G454" s="347">
        <v>-6.6353257219610473</v>
      </c>
      <c r="H454" s="948">
        <v>-78.308321964529327</v>
      </c>
      <c r="I454" s="948">
        <v>5</v>
      </c>
      <c r="J454" s="347">
        <v>0.40000000000000568</v>
      </c>
      <c r="K454" s="353"/>
      <c r="L454" s="347">
        <v>-1.0000000000000009E-2</v>
      </c>
      <c r="M454" s="347">
        <v>0.46379413524835206</v>
      </c>
      <c r="N454" s="347">
        <v>1.8518518518518616</v>
      </c>
      <c r="O454" s="347">
        <v>-1.1505273250239718</v>
      </c>
      <c r="P454" s="347">
        <v>0.63897763578274536</v>
      </c>
      <c r="Q454" s="882">
        <v>0.81632653061223714</v>
      </c>
      <c r="R454" s="882">
        <v>-0.70000000000000284</v>
      </c>
      <c r="S454" s="882">
        <v>6.6219623647034158</v>
      </c>
      <c r="T454" s="353"/>
      <c r="U454" s="882">
        <v>-0.19102196752626827</v>
      </c>
      <c r="V454" s="882">
        <v>-1.3769363166953479</v>
      </c>
      <c r="W454" s="882">
        <v>0</v>
      </c>
      <c r="X454" s="882">
        <v>-2.2000000000000002</v>
      </c>
      <c r="Y454" s="882">
        <v>-10.27742805353906</v>
      </c>
      <c r="Z454" s="882">
        <v>-0.10000000000000009</v>
      </c>
      <c r="AA454" s="882">
        <v>2.0295892752229876</v>
      </c>
    </row>
    <row r="455" spans="1:27" ht="14.25" customHeight="1">
      <c r="A455" s="776"/>
      <c r="B455" s="777"/>
      <c r="C455" s="778">
        <v>6</v>
      </c>
      <c r="D455" s="347">
        <v>-9.1501065631081104</v>
      </c>
      <c r="E455" s="347">
        <v>0.23310023310023639</v>
      </c>
      <c r="F455" s="347">
        <v>29.126213592233011</v>
      </c>
      <c r="G455" s="347">
        <v>0.63703088214928683</v>
      </c>
      <c r="H455" s="948">
        <v>42.95774647887324</v>
      </c>
      <c r="I455" s="948">
        <v>-3</v>
      </c>
      <c r="J455" s="347">
        <v>0.29999999999999716</v>
      </c>
      <c r="K455" s="353"/>
      <c r="L455" s="347">
        <v>0</v>
      </c>
      <c r="M455" s="347">
        <v>5.5814853328819174</v>
      </c>
      <c r="N455" s="347">
        <v>-2.7906976744186114</v>
      </c>
      <c r="O455" s="347">
        <v>5.5321143928738774</v>
      </c>
      <c r="P455" s="347">
        <v>2.0488573680063</v>
      </c>
      <c r="Q455" s="882">
        <v>0.27063599458728393</v>
      </c>
      <c r="R455" s="882">
        <v>-1</v>
      </c>
      <c r="S455" s="882">
        <v>-11.507985708005997</v>
      </c>
      <c r="T455" s="353"/>
      <c r="U455" s="882">
        <v>-0.28721876495930798</v>
      </c>
      <c r="V455" s="882">
        <v>8.1463009143807117</v>
      </c>
      <c r="W455" s="882">
        <v>0</v>
      </c>
      <c r="X455" s="882">
        <v>1.6</v>
      </c>
      <c r="Y455" s="882">
        <v>-5.3475646410505702</v>
      </c>
      <c r="Z455" s="882">
        <v>0</v>
      </c>
      <c r="AA455" s="882">
        <v>-20.440870084648221</v>
      </c>
    </row>
    <row r="456" spans="1:27" ht="14.25" customHeight="1">
      <c r="A456" s="776"/>
      <c r="B456" s="777"/>
      <c r="C456" s="778">
        <v>7</v>
      </c>
      <c r="D456" s="347">
        <v>-0.6465154588045664</v>
      </c>
      <c r="E456" s="347">
        <v>-4.4021415823914367</v>
      </c>
      <c r="F456" s="347">
        <v>-14.545454545454536</v>
      </c>
      <c r="G456" s="347">
        <v>-1.9514914970727628</v>
      </c>
      <c r="H456" s="948">
        <v>-16.981132075471699</v>
      </c>
      <c r="I456" s="948">
        <v>-2</v>
      </c>
      <c r="J456" s="347">
        <v>-0.70000000000000284</v>
      </c>
      <c r="K456" s="353"/>
      <c r="L456" s="347">
        <v>-3.0000000000000027E-2</v>
      </c>
      <c r="M456" s="347">
        <v>2.6648715151233824</v>
      </c>
      <c r="N456" s="347">
        <v>-4.8309178743961354</v>
      </c>
      <c r="O456" s="347">
        <v>-8.0683436165163744</v>
      </c>
      <c r="P456" s="347">
        <v>-1.0980392156862677</v>
      </c>
      <c r="Q456" s="882">
        <v>1.9404483104717336</v>
      </c>
      <c r="R456" s="882">
        <v>-1.5</v>
      </c>
      <c r="S456" s="882">
        <v>11.2420425301368</v>
      </c>
      <c r="T456" s="353"/>
      <c r="U456" s="882">
        <v>0.19157088122605634</v>
      </c>
      <c r="V456" s="882">
        <v>-9.627459187944746</v>
      </c>
      <c r="W456" s="882">
        <v>-0.10000000000000009</v>
      </c>
      <c r="X456" s="882">
        <v>2.6</v>
      </c>
      <c r="Y456" s="882">
        <v>36.015580219894744</v>
      </c>
      <c r="Z456" s="882">
        <v>-0.19999999999999973</v>
      </c>
      <c r="AA456" s="882">
        <v>-34.701300679857546</v>
      </c>
    </row>
    <row r="457" spans="1:27" ht="14.25" customHeight="1">
      <c r="A457" s="776"/>
      <c r="B457" s="777"/>
      <c r="C457" s="778">
        <v>8</v>
      </c>
      <c r="D457" s="347">
        <v>-3.460057486848521</v>
      </c>
      <c r="E457" s="347">
        <v>-2.7127003699136907</v>
      </c>
      <c r="F457" s="347">
        <v>-1.4814814814814909</v>
      </c>
      <c r="G457" s="347">
        <v>-4.9624927870744378</v>
      </c>
      <c r="H457" s="948">
        <v>-0.34423407917383819</v>
      </c>
      <c r="I457" s="948">
        <v>-3</v>
      </c>
      <c r="J457" s="347">
        <v>-0.59999999999999432</v>
      </c>
      <c r="K457" s="353"/>
      <c r="L457" s="347">
        <v>-2.9999999999999805E-2</v>
      </c>
      <c r="M457" s="347">
        <v>4.3014850098066608</v>
      </c>
      <c r="N457" s="347">
        <v>2.92682926829269</v>
      </c>
      <c r="O457" s="347">
        <v>6.1361457334611753</v>
      </c>
      <c r="P457" s="347">
        <v>1.4872798434442203</v>
      </c>
      <c r="Q457" s="882">
        <v>2.3575638506876193</v>
      </c>
      <c r="R457" s="882">
        <v>-2.4000000000000057</v>
      </c>
      <c r="S457" s="882">
        <v>-24.067045794672261</v>
      </c>
      <c r="T457" s="353"/>
      <c r="U457" s="882">
        <v>-0.67210753720595562</v>
      </c>
      <c r="V457" s="882">
        <v>7.6955602536997834</v>
      </c>
      <c r="W457" s="882">
        <v>0.20000000000000018</v>
      </c>
      <c r="X457" s="882">
        <v>-3.7</v>
      </c>
      <c r="Y457" s="882">
        <v>-36.188266198222806</v>
      </c>
      <c r="Z457" s="882">
        <v>-0.39999999999999991</v>
      </c>
      <c r="AA457" s="882">
        <v>66.22279760803896</v>
      </c>
    </row>
    <row r="458" spans="1:27" ht="14.25" customHeight="1">
      <c r="A458" s="776"/>
      <c r="B458" s="777"/>
      <c r="C458" s="778">
        <v>9</v>
      </c>
      <c r="D458" s="347">
        <v>5.6002574831026681</v>
      </c>
      <c r="E458" s="347">
        <v>2.4691358024691357</v>
      </c>
      <c r="F458" s="347">
        <v>1.3997529847673964</v>
      </c>
      <c r="G458" s="347">
        <v>5.9144415733563021</v>
      </c>
      <c r="H458" s="948">
        <v>20.710973724884081</v>
      </c>
      <c r="I458" s="948">
        <v>2</v>
      </c>
      <c r="J458" s="347">
        <v>-0.70000000000000284</v>
      </c>
      <c r="K458" s="353"/>
      <c r="L458" s="347">
        <v>-1.0000000000000009E-2</v>
      </c>
      <c r="M458" s="347">
        <v>3.7402698076032741</v>
      </c>
      <c r="N458" s="347">
        <v>-3.9215686274509842</v>
      </c>
      <c r="O458" s="347">
        <v>-3.8880986249407248</v>
      </c>
      <c r="P458" s="347">
        <v>5.2950075642965206</v>
      </c>
      <c r="Q458" s="882">
        <v>5.5380742605412276</v>
      </c>
      <c r="R458" s="882">
        <v>0.20000000000000284</v>
      </c>
      <c r="S458" s="882">
        <v>12.072537534849221</v>
      </c>
      <c r="T458" s="353"/>
      <c r="U458" s="882">
        <v>-0.38610038610037789</v>
      </c>
      <c r="V458" s="882">
        <v>-4.6666666666666616</v>
      </c>
      <c r="W458" s="882">
        <v>0</v>
      </c>
      <c r="X458" s="882">
        <v>-1.4999999999999998</v>
      </c>
      <c r="Y458" s="882">
        <v>31.437635822176912</v>
      </c>
      <c r="Z458" s="882">
        <v>0.89999999999999991</v>
      </c>
      <c r="AA458" s="882">
        <v>-16.955964731593347</v>
      </c>
    </row>
    <row r="459" spans="1:27" ht="14.25" customHeight="1">
      <c r="A459" s="776"/>
      <c r="B459" s="777"/>
      <c r="C459" s="778">
        <v>10</v>
      </c>
      <c r="D459" s="347">
        <v>-5.0795462652493439</v>
      </c>
      <c r="E459" s="347">
        <v>1.8126888217522659</v>
      </c>
      <c r="F459" s="347">
        <v>-0.40966816878328555</v>
      </c>
      <c r="G459" s="347">
        <v>-8.1857764876632793</v>
      </c>
      <c r="H459" s="948">
        <v>7.5471698113207548</v>
      </c>
      <c r="I459" s="948">
        <v>3</v>
      </c>
      <c r="J459" s="347">
        <v>2.7000000000000028</v>
      </c>
      <c r="K459" s="353"/>
      <c r="L459" s="347">
        <v>-1.0000000000000009E-2</v>
      </c>
      <c r="M459" s="347">
        <v>1.8159920406346699</v>
      </c>
      <c r="N459" s="347">
        <v>-1.0050251256281373</v>
      </c>
      <c r="O459" s="347">
        <v>-1.854563201561743</v>
      </c>
      <c r="P459" s="347">
        <v>1.2449652142072625</v>
      </c>
      <c r="Q459" s="882">
        <v>2.8968014484007143</v>
      </c>
      <c r="R459" s="882">
        <v>-1.2999999999999972</v>
      </c>
      <c r="S459" s="882">
        <v>23.898222288299387</v>
      </c>
      <c r="T459" s="353"/>
      <c r="U459" s="882">
        <v>0.38610038610037789</v>
      </c>
      <c r="V459" s="882">
        <v>-2.2433132010353827</v>
      </c>
      <c r="W459" s="882">
        <v>0</v>
      </c>
      <c r="X459" s="882">
        <v>3.1999999999999997</v>
      </c>
      <c r="Y459" s="882">
        <v>-3.841956098259792</v>
      </c>
      <c r="Z459" s="882">
        <v>0.10000000000000009</v>
      </c>
      <c r="AA459" s="882">
        <v>12.00206398348814</v>
      </c>
    </row>
    <row r="460" spans="1:27" ht="14.25" customHeight="1">
      <c r="A460" s="776"/>
      <c r="B460" s="777"/>
      <c r="C460" s="778">
        <v>11</v>
      </c>
      <c r="D460" s="347">
        <v>-7.8548469921451538</v>
      </c>
      <c r="E460" s="347">
        <v>1.4268727705112996</v>
      </c>
      <c r="F460" s="347">
        <v>-1.5721969383533236</v>
      </c>
      <c r="G460" s="347">
        <v>4.1783967995258555</v>
      </c>
      <c r="H460" s="948">
        <v>16.448152562574492</v>
      </c>
      <c r="I460" s="948">
        <v>-1</v>
      </c>
      <c r="J460" s="347">
        <v>2.5999999999999943</v>
      </c>
      <c r="K460" s="353"/>
      <c r="L460" s="347">
        <v>-1.0000000000000009E-2</v>
      </c>
      <c r="M460" s="347">
        <v>-5.5158586267943681</v>
      </c>
      <c r="N460" s="347">
        <v>9.615384615384615</v>
      </c>
      <c r="O460" s="347">
        <v>5.5555555555555527</v>
      </c>
      <c r="P460" s="347">
        <v>1.8745493871665426</v>
      </c>
      <c r="Q460" s="882">
        <v>3.7361354349095186</v>
      </c>
      <c r="R460" s="882">
        <v>0.59999999999999432</v>
      </c>
      <c r="S460" s="882">
        <v>-10.600127856800372</v>
      </c>
      <c r="T460" s="353"/>
      <c r="U460" s="882">
        <v>0.57636887608069987</v>
      </c>
      <c r="V460" s="882">
        <v>5.1020408163265305</v>
      </c>
      <c r="W460" s="882">
        <v>0</v>
      </c>
      <c r="X460" s="882">
        <v>-0.7</v>
      </c>
      <c r="Y460" s="882">
        <v>13.556210010921108</v>
      </c>
      <c r="Z460" s="882">
        <v>9.9999999999999645E-2</v>
      </c>
      <c r="AA460" s="882">
        <v>-17.116283985520653</v>
      </c>
    </row>
    <row r="461" spans="1:27" ht="14.25" customHeight="1">
      <c r="A461" s="874"/>
      <c r="B461" s="875"/>
      <c r="C461" s="876">
        <v>12</v>
      </c>
      <c r="D461" s="347">
        <v>18.371731372531404</v>
      </c>
      <c r="E461" s="347">
        <v>-5.0847457627118686</v>
      </c>
      <c r="F461" s="347">
        <v>-2.1070375052675936</v>
      </c>
      <c r="G461" s="347">
        <v>0.66541299001880516</v>
      </c>
      <c r="H461" s="349">
        <v>-8.7356321839080469</v>
      </c>
      <c r="I461" s="349">
        <v>0</v>
      </c>
      <c r="J461" s="347">
        <v>2.7000000000000028</v>
      </c>
      <c r="K461" s="353"/>
      <c r="L461" s="347">
        <v>0</v>
      </c>
      <c r="M461" s="347">
        <v>2.988235039918762</v>
      </c>
      <c r="N461" s="347">
        <v>-4.694835680751174</v>
      </c>
      <c r="O461" s="347">
        <v>-5.064500716674627</v>
      </c>
      <c r="P461" s="347">
        <v>-5.6555269922879088</v>
      </c>
      <c r="Q461" s="882">
        <v>-8.4204240071663161</v>
      </c>
      <c r="R461" s="882">
        <v>3.6000000000000085</v>
      </c>
      <c r="S461" s="882">
        <v>5.9143251957623137</v>
      </c>
      <c r="T461" s="353"/>
      <c r="U461" s="882">
        <v>-0.28776978417267279</v>
      </c>
      <c r="V461" s="882">
        <v>-5.4514480408858521</v>
      </c>
      <c r="W461" s="882">
        <v>0</v>
      </c>
      <c r="X461" s="882">
        <v>-3.2</v>
      </c>
      <c r="Y461" s="882">
        <v>-4.0859144745579448</v>
      </c>
      <c r="Z461" s="882">
        <v>-0.5</v>
      </c>
      <c r="AA461" s="882">
        <v>30.148953399916554</v>
      </c>
    </row>
    <row r="462" spans="1:27" ht="14.25" customHeight="1">
      <c r="A462" s="1245" t="s">
        <v>815</v>
      </c>
      <c r="B462" s="759">
        <v>2026</v>
      </c>
      <c r="C462" s="760">
        <v>1</v>
      </c>
      <c r="D462" s="348">
        <v>-6.2258593027105462</v>
      </c>
      <c r="E462" s="348">
        <v>2.2113022113022076</v>
      </c>
      <c r="F462" s="348">
        <v>0.59447983014861028</v>
      </c>
      <c r="G462" s="348">
        <v>-2.8960070206230801</v>
      </c>
      <c r="H462" s="348">
        <v>33.766233766233768</v>
      </c>
      <c r="I462" s="348">
        <v>-4</v>
      </c>
      <c r="J462" s="348">
        <v>2.2999999999999972</v>
      </c>
      <c r="K462" s="350"/>
      <c r="L462" s="348">
        <v>2.0000000000000018E-2</v>
      </c>
      <c r="M462" s="348">
        <v>-7.0366819829647547</v>
      </c>
      <c r="N462" s="348">
        <v>-4.9261083743842367</v>
      </c>
      <c r="O462" s="348">
        <v>9.7014925373134364</v>
      </c>
      <c r="P462" s="348">
        <v>7.0725483047757844</v>
      </c>
      <c r="Q462" s="920">
        <v>6.8633353401565342</v>
      </c>
      <c r="R462" s="920">
        <v>-7</v>
      </c>
      <c r="S462" s="1209">
        <v>4.5318512184694288</v>
      </c>
      <c r="T462" s="350"/>
      <c r="U462" s="920">
        <v>-0.48146364949446319</v>
      </c>
      <c r="V462" s="920">
        <v>15.508885298869144</v>
      </c>
      <c r="W462" s="920">
        <v>0.10000000000000009</v>
      </c>
      <c r="X462" s="920">
        <v>2.2000000000000002</v>
      </c>
      <c r="Y462" s="920">
        <v>-20.568268145962119</v>
      </c>
      <c r="Z462" s="920">
        <v>-1</v>
      </c>
      <c r="AA462" s="920">
        <v>-67.346996949915891</v>
      </c>
    </row>
    <row r="463" spans="1:27" ht="14.25" customHeight="1">
      <c r="A463" s="776"/>
      <c r="B463" s="777"/>
      <c r="C463" s="778">
        <v>2</v>
      </c>
      <c r="D463" s="347">
        <v>-3.239161984810317</v>
      </c>
      <c r="E463" s="347">
        <v>-0.48721071863579962</v>
      </c>
      <c r="F463" s="347">
        <v>-3.1827956989247213</v>
      </c>
      <c r="G463" s="347">
        <v>6.2401150251617539</v>
      </c>
      <c r="H463" s="347">
        <v>-56.578947368421055</v>
      </c>
      <c r="I463" s="347">
        <v>1</v>
      </c>
      <c r="J463" s="347">
        <v>2.4000000000000057</v>
      </c>
      <c r="K463" s="351"/>
      <c r="L463" s="347">
        <v>2.0000000000000018E-2</v>
      </c>
      <c r="M463" s="347">
        <v>-1.1186016331124418</v>
      </c>
      <c r="N463" s="347">
        <v>7.7669902912621245</v>
      </c>
      <c r="O463" s="347">
        <v>-17.618586640851888</v>
      </c>
      <c r="P463" s="347">
        <v>7.0397747272083283E-2</v>
      </c>
      <c r="Q463" s="882">
        <v>6.9662921348314475</v>
      </c>
      <c r="R463" s="1137">
        <v>-1.7000000000000028</v>
      </c>
      <c r="S463" s="1206">
        <v>-8.2572347266880879</v>
      </c>
      <c r="T463" s="351"/>
      <c r="U463" s="882">
        <v>-0.58083252662148532</v>
      </c>
      <c r="V463" s="882">
        <v>-24.201680672268914</v>
      </c>
      <c r="W463" s="882">
        <v>-0.10000000000000009</v>
      </c>
      <c r="X463" s="882">
        <v>0.20000000000000007</v>
      </c>
      <c r="Y463" s="882">
        <v>-19.124680225534373</v>
      </c>
      <c r="Z463" s="882">
        <v>0.10000000000000009</v>
      </c>
      <c r="AA463" s="882">
        <v>56.3304621654163</v>
      </c>
    </row>
    <row r="464" spans="1:27" ht="14.25" customHeight="1">
      <c r="A464" s="776"/>
      <c r="B464" s="777"/>
      <c r="C464" s="778">
        <v>3</v>
      </c>
      <c r="D464" s="347">
        <v>2.5764722698684932</v>
      </c>
      <c r="E464" s="347">
        <v>7.6335877862595414</v>
      </c>
      <c r="F464" s="347">
        <v>3.6051502145922649</v>
      </c>
      <c r="G464" s="347">
        <v>-4.6511627906976747</v>
      </c>
      <c r="H464" s="948">
        <v>-54.970760233918128</v>
      </c>
      <c r="I464" s="948">
        <v>0</v>
      </c>
      <c r="J464" s="347">
        <v>2.2999999999999972</v>
      </c>
      <c r="K464" s="353"/>
      <c r="L464" s="347">
        <v>-2.0000000000000018E-2</v>
      </c>
      <c r="M464" s="347">
        <v>6.9366868457138908</v>
      </c>
      <c r="N464" s="347">
        <v>-0.93896713615023153</v>
      </c>
      <c r="O464" s="347">
        <v>26.917776757005051</v>
      </c>
      <c r="P464" s="347">
        <v>3.4578146611341634</v>
      </c>
      <c r="Q464" s="882">
        <v>-1.311475409836053</v>
      </c>
      <c r="R464" s="882">
        <v>-3.8000000000000043</v>
      </c>
      <c r="S464" s="882">
        <v>6.1514148254098435</v>
      </c>
      <c r="T464" s="353"/>
      <c r="U464" s="882">
        <v>0.19398642095053623</v>
      </c>
      <c r="V464" s="882">
        <v>33.836378077839548</v>
      </c>
      <c r="W464" s="882">
        <v>0.10000000000000009</v>
      </c>
      <c r="X464" s="882">
        <v>-2.1999999999999997</v>
      </c>
      <c r="Y464" s="882">
        <v>12.418610700923496</v>
      </c>
      <c r="Z464" s="882">
        <v>0.5</v>
      </c>
      <c r="AA464" s="882">
        <v>-16.277888485132646</v>
      </c>
    </row>
    <row r="465" spans="1:27" ht="14.25" customHeight="1">
      <c r="A465" s="776"/>
      <c r="B465" s="777"/>
      <c r="C465" s="778">
        <v>4</v>
      </c>
      <c r="D465" s="347"/>
      <c r="E465" s="347"/>
      <c r="F465" s="347"/>
      <c r="G465" s="347"/>
      <c r="H465" s="948"/>
      <c r="I465" s="948"/>
      <c r="J465" s="347"/>
      <c r="K465" s="353"/>
      <c r="L465" s="347"/>
      <c r="M465" s="347"/>
      <c r="N465" s="347"/>
      <c r="O465" s="347"/>
      <c r="P465" s="347"/>
      <c r="Q465" s="882"/>
      <c r="R465" s="882"/>
      <c r="S465" s="882"/>
      <c r="T465" s="353"/>
      <c r="U465" s="882"/>
      <c r="V465" s="882"/>
      <c r="W465" s="882"/>
      <c r="X465" s="882"/>
      <c r="Y465" s="882"/>
      <c r="Z465" s="882"/>
      <c r="AA465" s="882"/>
    </row>
    <row r="466" spans="1:27" ht="14.25" customHeight="1">
      <c r="A466" s="776"/>
      <c r="B466" s="777"/>
      <c r="C466" s="778">
        <v>5</v>
      </c>
      <c r="D466" s="347"/>
      <c r="E466" s="347"/>
      <c r="F466" s="347"/>
      <c r="G466" s="347"/>
      <c r="H466" s="948"/>
      <c r="I466" s="948"/>
      <c r="J466" s="347"/>
      <c r="K466" s="353"/>
      <c r="L466" s="347"/>
      <c r="M466" s="347"/>
      <c r="N466" s="347"/>
      <c r="O466" s="347"/>
      <c r="P466" s="347"/>
      <c r="Q466" s="882"/>
      <c r="R466" s="882"/>
      <c r="S466" s="882"/>
      <c r="T466" s="353"/>
      <c r="U466" s="882"/>
      <c r="V466" s="882"/>
      <c r="W466" s="882"/>
      <c r="X466" s="882"/>
      <c r="Y466" s="882"/>
      <c r="Z466" s="882"/>
      <c r="AA466" s="882"/>
    </row>
    <row r="467" spans="1:27" ht="14.25" customHeight="1">
      <c r="A467" s="776"/>
      <c r="B467" s="777"/>
      <c r="C467" s="778">
        <v>6</v>
      </c>
      <c r="D467" s="347"/>
      <c r="E467" s="347"/>
      <c r="F467" s="347"/>
      <c r="G467" s="347"/>
      <c r="H467" s="948"/>
      <c r="I467" s="948"/>
      <c r="J467" s="347"/>
      <c r="K467" s="353"/>
      <c r="L467" s="347"/>
      <c r="M467" s="347"/>
      <c r="N467" s="347"/>
      <c r="O467" s="347"/>
      <c r="P467" s="347"/>
      <c r="Q467" s="882"/>
      <c r="R467" s="882"/>
      <c r="S467" s="882"/>
      <c r="T467" s="353"/>
      <c r="U467" s="882"/>
      <c r="V467" s="882"/>
      <c r="W467" s="882"/>
      <c r="X467" s="882"/>
      <c r="Y467" s="882"/>
      <c r="Z467" s="882"/>
      <c r="AA467" s="882"/>
    </row>
    <row r="468" spans="1:27" ht="14.25" customHeight="1">
      <c r="A468" s="776"/>
      <c r="B468" s="777"/>
      <c r="C468" s="778">
        <v>7</v>
      </c>
      <c r="D468" s="347"/>
      <c r="E468" s="347"/>
      <c r="F468" s="347"/>
      <c r="G468" s="347"/>
      <c r="H468" s="948"/>
      <c r="I468" s="948"/>
      <c r="J468" s="347"/>
      <c r="K468" s="353"/>
      <c r="L468" s="347"/>
      <c r="M468" s="347"/>
      <c r="N468" s="347"/>
      <c r="O468" s="347"/>
      <c r="P468" s="347"/>
      <c r="Q468" s="882"/>
      <c r="R468" s="882"/>
      <c r="S468" s="882"/>
      <c r="T468" s="353"/>
      <c r="U468" s="882"/>
      <c r="V468" s="882"/>
      <c r="W468" s="882"/>
      <c r="X468" s="882"/>
      <c r="Y468" s="882"/>
      <c r="Z468" s="882"/>
      <c r="AA468" s="882"/>
    </row>
    <row r="469" spans="1:27" ht="14.25" customHeight="1">
      <c r="A469" s="776"/>
      <c r="B469" s="777"/>
      <c r="C469" s="778">
        <v>8</v>
      </c>
      <c r="D469" s="347"/>
      <c r="E469" s="347"/>
      <c r="F469" s="347"/>
      <c r="G469" s="347"/>
      <c r="H469" s="948"/>
      <c r="I469" s="948"/>
      <c r="J469" s="347"/>
      <c r="K469" s="353"/>
      <c r="L469" s="347"/>
      <c r="M469" s="347"/>
      <c r="N469" s="347"/>
      <c r="O469" s="347"/>
      <c r="P469" s="347"/>
      <c r="Q469" s="882"/>
      <c r="R469" s="882"/>
      <c r="S469" s="882"/>
      <c r="T469" s="353"/>
      <c r="U469" s="882"/>
      <c r="V469" s="882"/>
      <c r="W469" s="882"/>
      <c r="X469" s="882"/>
      <c r="Y469" s="882"/>
      <c r="Z469" s="882"/>
      <c r="AA469" s="882"/>
    </row>
    <row r="470" spans="1:27" ht="14.25" customHeight="1">
      <c r="A470" s="776"/>
      <c r="B470" s="777"/>
      <c r="C470" s="778">
        <v>9</v>
      </c>
      <c r="D470" s="347"/>
      <c r="E470" s="347"/>
      <c r="F470" s="347"/>
      <c r="G470" s="347"/>
      <c r="H470" s="948"/>
      <c r="I470" s="948"/>
      <c r="J470" s="347"/>
      <c r="K470" s="353"/>
      <c r="L470" s="347"/>
      <c r="M470" s="347"/>
      <c r="N470" s="347"/>
      <c r="O470" s="347"/>
      <c r="P470" s="347"/>
      <c r="Q470" s="882"/>
      <c r="R470" s="882"/>
      <c r="S470" s="882"/>
      <c r="T470" s="353"/>
      <c r="U470" s="882"/>
      <c r="V470" s="882"/>
      <c r="W470" s="882"/>
      <c r="X470" s="882"/>
      <c r="Y470" s="882"/>
      <c r="Z470" s="882"/>
      <c r="AA470" s="882"/>
    </row>
    <row r="471" spans="1:27" ht="14.25" customHeight="1">
      <c r="A471" s="776"/>
      <c r="B471" s="777"/>
      <c r="C471" s="778">
        <v>10</v>
      </c>
      <c r="D471" s="347"/>
      <c r="E471" s="347"/>
      <c r="F471" s="347"/>
      <c r="G471" s="347"/>
      <c r="H471" s="948"/>
      <c r="I471" s="948"/>
      <c r="J471" s="347"/>
      <c r="K471" s="353"/>
      <c r="L471" s="347"/>
      <c r="M471" s="347"/>
      <c r="N471" s="347"/>
      <c r="O471" s="347"/>
      <c r="P471" s="347"/>
      <c r="Q471" s="882"/>
      <c r="R471" s="882"/>
      <c r="S471" s="882"/>
      <c r="T471" s="353"/>
      <c r="U471" s="882"/>
      <c r="V471" s="882"/>
      <c r="W471" s="882"/>
      <c r="X471" s="882"/>
      <c r="Y471" s="882"/>
      <c r="Z471" s="882"/>
      <c r="AA471" s="882"/>
    </row>
    <row r="472" spans="1:27" ht="14.25" customHeight="1">
      <c r="A472" s="776"/>
      <c r="B472" s="777"/>
      <c r="C472" s="778">
        <v>11</v>
      </c>
      <c r="D472" s="347"/>
      <c r="E472" s="347"/>
      <c r="F472" s="347"/>
      <c r="G472" s="347"/>
      <c r="H472" s="948"/>
      <c r="I472" s="948"/>
      <c r="J472" s="347"/>
      <c r="K472" s="353"/>
      <c r="L472" s="347"/>
      <c r="M472" s="347"/>
      <c r="N472" s="347"/>
      <c r="O472" s="347"/>
      <c r="P472" s="347"/>
      <c r="Q472" s="882"/>
      <c r="R472" s="882"/>
      <c r="S472" s="882"/>
      <c r="T472" s="353"/>
      <c r="U472" s="882"/>
      <c r="V472" s="882"/>
      <c r="W472" s="882"/>
      <c r="X472" s="882"/>
      <c r="Y472" s="882"/>
      <c r="Z472" s="882"/>
      <c r="AA472" s="882"/>
    </row>
    <row r="473" spans="1:27" ht="14.25" customHeight="1">
      <c r="A473" s="874"/>
      <c r="B473" s="875"/>
      <c r="C473" s="876">
        <v>12</v>
      </c>
      <c r="D473" s="347"/>
      <c r="E473" s="347"/>
      <c r="F473" s="347"/>
      <c r="G473" s="347"/>
      <c r="H473" s="349"/>
      <c r="I473" s="349"/>
      <c r="J473" s="347"/>
      <c r="K473" s="353"/>
      <c r="L473" s="347"/>
      <c r="M473" s="347"/>
      <c r="N473" s="347"/>
      <c r="O473" s="347"/>
      <c r="P473" s="347"/>
      <c r="Q473" s="882"/>
      <c r="R473" s="882"/>
      <c r="S473" s="882"/>
      <c r="T473" s="353"/>
      <c r="U473" s="882"/>
      <c r="V473" s="882"/>
      <c r="W473" s="882"/>
      <c r="X473" s="882"/>
      <c r="Y473" s="882"/>
      <c r="Z473" s="882"/>
      <c r="AA473" s="882"/>
    </row>
    <row r="474" spans="1:27" ht="14.25" customHeight="1">
      <c r="A474" s="1245"/>
      <c r="B474" s="759"/>
      <c r="C474" s="760"/>
      <c r="D474" s="348"/>
      <c r="E474" s="348"/>
      <c r="F474" s="348"/>
      <c r="G474" s="348"/>
      <c r="H474" s="348"/>
      <c r="I474" s="348"/>
      <c r="J474" s="348"/>
      <c r="K474" s="350"/>
      <c r="L474" s="348"/>
      <c r="M474" s="348"/>
      <c r="N474" s="348"/>
      <c r="O474" s="348"/>
      <c r="P474" s="348"/>
      <c r="Q474" s="920"/>
      <c r="R474" s="920"/>
      <c r="S474" s="1209"/>
      <c r="T474" s="350"/>
      <c r="U474" s="920"/>
      <c r="V474" s="920"/>
      <c r="W474" s="920"/>
      <c r="X474" s="920"/>
      <c r="Y474" s="920"/>
      <c r="Z474" s="920"/>
      <c r="AA474" s="882"/>
    </row>
    <row r="475" spans="1:27" ht="14.25" customHeight="1">
      <c r="A475" s="1315"/>
      <c r="B475" s="1315"/>
      <c r="C475" s="763"/>
      <c r="D475" s="356"/>
      <c r="E475" s="356"/>
      <c r="F475" s="356"/>
      <c r="G475" s="356"/>
      <c r="H475" s="356"/>
      <c r="I475" s="356"/>
      <c r="J475" s="356"/>
      <c r="K475" s="311"/>
      <c r="L475" s="356"/>
      <c r="M475" s="356"/>
      <c r="N475" s="356"/>
      <c r="O475" s="356"/>
      <c r="P475" s="356"/>
      <c r="Q475" s="1316"/>
      <c r="R475" s="1316"/>
      <c r="S475" s="1316"/>
      <c r="T475" s="311"/>
      <c r="U475" s="1316"/>
      <c r="V475" s="1316"/>
      <c r="W475" s="1316"/>
      <c r="X475" s="1316"/>
      <c r="Y475" s="1316"/>
      <c r="Z475" s="1316"/>
      <c r="AA475" s="1316"/>
    </row>
    <row r="476" spans="1:27" ht="14.25" customHeight="1">
      <c r="A476" s="1315"/>
      <c r="B476" s="1315"/>
      <c r="C476" s="763"/>
      <c r="D476" s="356"/>
      <c r="E476" s="356"/>
      <c r="F476" s="356"/>
      <c r="G476" s="356"/>
      <c r="H476" s="356"/>
      <c r="I476" s="356"/>
      <c r="J476" s="356"/>
      <c r="K476" s="311"/>
      <c r="L476" s="356"/>
      <c r="M476" s="356"/>
      <c r="N476" s="356"/>
      <c r="O476" s="356"/>
      <c r="P476" s="356"/>
      <c r="Q476" s="1316"/>
      <c r="R476" s="1316"/>
      <c r="S476" s="1316"/>
      <c r="T476" s="311"/>
      <c r="U476" s="1316"/>
      <c r="V476" s="1316"/>
      <c r="W476" s="1316"/>
      <c r="X476" s="1316"/>
      <c r="Y476" s="1316"/>
      <c r="Z476" s="1316"/>
      <c r="AA476" s="1316"/>
    </row>
    <row r="477" spans="1:27" ht="14.25" customHeight="1">
      <c r="A477" s="1315"/>
      <c r="B477" s="1315"/>
      <c r="C477" s="763"/>
      <c r="D477" s="356"/>
      <c r="E477" s="356"/>
      <c r="F477" s="356"/>
      <c r="G477" s="356"/>
      <c r="H477" s="356"/>
      <c r="I477" s="356"/>
      <c r="J477" s="356"/>
      <c r="K477" s="311"/>
      <c r="L477" s="356"/>
      <c r="M477" s="356"/>
      <c r="N477" s="356"/>
      <c r="O477" s="356"/>
      <c r="P477" s="356"/>
      <c r="Q477" s="1316"/>
      <c r="R477" s="1316"/>
      <c r="S477" s="1316"/>
      <c r="T477" s="311"/>
      <c r="U477" s="1316"/>
      <c r="V477" s="1316"/>
      <c r="W477" s="1316"/>
      <c r="X477" s="1316"/>
      <c r="Y477" s="1316"/>
      <c r="Z477" s="1316"/>
      <c r="AA477" s="1316"/>
    </row>
    <row r="478" spans="1:27" ht="14.25" customHeight="1">
      <c r="A478" s="1315"/>
      <c r="B478" s="1315"/>
      <c r="C478" s="763"/>
      <c r="D478" s="356"/>
      <c r="E478" s="356"/>
      <c r="F478" s="356"/>
      <c r="G478" s="356"/>
      <c r="H478" s="356"/>
      <c r="I478" s="356"/>
      <c r="J478" s="356"/>
      <c r="K478" s="311"/>
      <c r="L478" s="356"/>
      <c r="M478" s="356"/>
      <c r="N478" s="356"/>
      <c r="O478" s="356"/>
      <c r="P478" s="356"/>
      <c r="Q478" s="1316"/>
      <c r="R478" s="1316"/>
      <c r="S478" s="1316"/>
      <c r="T478" s="311"/>
      <c r="U478" s="1316"/>
      <c r="V478" s="1316"/>
      <c r="W478" s="1316"/>
      <c r="X478" s="1316"/>
      <c r="Y478" s="1316"/>
      <c r="Z478" s="1316"/>
      <c r="AA478" s="1316"/>
    </row>
    <row r="479" spans="1:27" s="309" customFormat="1" ht="14.25" customHeight="1">
      <c r="A479" s="308"/>
      <c r="B479" s="308"/>
      <c r="I479" s="354"/>
      <c r="L479" s="354"/>
      <c r="O479" s="355"/>
      <c r="Q479" s="355"/>
      <c r="S479" s="355"/>
      <c r="Z479" s="354"/>
      <c r="AA479" s="354"/>
    </row>
    <row r="480" spans="1:27" ht="15" thickBot="1">
      <c r="L480" s="356"/>
      <c r="O480" s="357"/>
      <c r="Q480" s="357"/>
      <c r="S480" s="357"/>
      <c r="Z480" s="356"/>
      <c r="AA480" s="356"/>
    </row>
    <row r="481" spans="1:27" ht="15" thickBot="1">
      <c r="A481" s="1763" t="s">
        <v>309</v>
      </c>
      <c r="B481" s="1762"/>
      <c r="C481" s="1764"/>
      <c r="D481" s="757">
        <f ca="1">INDIRECT("R"&amp;(初期登録!$B$10+30)*12+初期登録!$D$10+5-5&amp;"C"&amp;COLUMN(),FALSE)</f>
        <v>-5.0795462652493439</v>
      </c>
      <c r="E481" s="315">
        <f ca="1">INDIRECT("R"&amp;(初期登録!$B$10+30)*12+初期登録!$D$10+5-5&amp;"C"&amp;COLUMN(),FALSE)</f>
        <v>1.8126888217522659</v>
      </c>
      <c r="F481" s="315">
        <f ca="1">INDIRECT("R"&amp;(初期登録!$B$10+30)*12+初期登録!$D$10+5-5&amp;"C"&amp;COLUMN(),FALSE)</f>
        <v>-0.40966816878328555</v>
      </c>
      <c r="G481" s="315">
        <f ca="1">INDIRECT("R"&amp;(初期登録!$B$10+30)*12+初期登録!$D$10+5-5&amp;"C"&amp;COLUMN(),FALSE)</f>
        <v>-8.1857764876632793</v>
      </c>
      <c r="H481" s="315">
        <f ca="1">INDIRECT("R"&amp;(初期登録!$B$10+30)*12+初期登録!$D$10+5-5&amp;"C"&amp;COLUMN(),FALSE)</f>
        <v>7.5471698113207548</v>
      </c>
      <c r="I481" s="315">
        <f ca="1">INDIRECT("R"&amp;(初期登録!$B$10+30)*12+初期登録!$D$10+5-5&amp;"C"&amp;COLUMN(),FALSE)</f>
        <v>3</v>
      </c>
      <c r="J481" s="315">
        <f ca="1">INDIRECT("R"&amp;(初期登録!$B$10+30)*12+初期登録!$D$10+5-5&amp;"C"&amp;COLUMN(),FALSE)</f>
        <v>2.7000000000000028</v>
      </c>
      <c r="L481" s="315">
        <f ca="1">INDIRECT("R"&amp;(初期登録!$B$10+30)*12+初期登録!$D$10+5-5&amp;"C"&amp;COLUMN(),FALSE)</f>
        <v>-1.0000000000000009E-2</v>
      </c>
      <c r="M481" s="315">
        <f ca="1">INDIRECT("R"&amp;(初期登録!$B$10+30)*12+初期登録!$D$10+5-5&amp;"C"&amp;COLUMN(),FALSE)</f>
        <v>1.8159920406346699</v>
      </c>
      <c r="N481" s="315">
        <f ca="1">INDIRECT("R"&amp;(初期登録!$B$10+30)*12+初期登録!$D$10+5-5&amp;"C"&amp;COLUMN(),FALSE)</f>
        <v>-1.0050251256281373</v>
      </c>
      <c r="O481" s="315">
        <f ca="1">INDIRECT("R"&amp;(初期登録!$B$10+30)*12+初期登録!$D$10+5-5&amp;"C"&amp;COLUMN(),FALSE)</f>
        <v>-1.854563201561743</v>
      </c>
      <c r="P481" s="315">
        <f ca="1">INDIRECT("R"&amp;(初期登録!$B$10+30)*12+初期登録!$D$10+5-5&amp;"C"&amp;COLUMN(),FALSE)</f>
        <v>1.2449652142072625</v>
      </c>
      <c r="Q481" s="315">
        <f ca="1">INDIRECT("R"&amp;(初期登録!$B$10+30)*12+初期登録!$D$10+5-5&amp;"C"&amp;COLUMN(),FALSE)</f>
        <v>2.8968014484007143</v>
      </c>
      <c r="R481" s="315">
        <f ca="1">INDIRECT("R"&amp;(初期登録!$B$10+30)*12+初期登録!$D$10+5-5&amp;"C"&amp;COLUMN(),FALSE)</f>
        <v>-1.2999999999999972</v>
      </c>
      <c r="S481" s="315">
        <f ca="1">INDIRECT("R"&amp;(初期登録!$B$10+30)*12+初期登録!$D$10+5-5&amp;"C"&amp;COLUMN(),FALSE)</f>
        <v>23.898222288299387</v>
      </c>
      <c r="U481" s="315">
        <f ca="1">INDIRECT("R"&amp;(初期登録!$B$10+30)*12+初期登録!$D$10+5-5&amp;"C"&amp;COLUMN(),FALSE)</f>
        <v>0.38610038610037789</v>
      </c>
      <c r="V481" s="315">
        <f ca="1">INDIRECT("R"&amp;(初期登録!$B$10+30)*12+初期登録!$D$10+5-5&amp;"C"&amp;COLUMN(),FALSE)</f>
        <v>-2.2433132010353827</v>
      </c>
      <c r="W481" s="315">
        <f ca="1">INDIRECT("R"&amp;(初期登録!$B$10+30)*12+初期登録!$D$10+5-5&amp;"C"&amp;COLUMN(),FALSE)</f>
        <v>0</v>
      </c>
      <c r="X481" s="315">
        <f ca="1">INDIRECT("R"&amp;(初期登録!$B$10+30)*12+初期登録!$D$10+5-5&amp;"C"&amp;COLUMN(),FALSE)</f>
        <v>3.1999999999999997</v>
      </c>
      <c r="Y481" s="315">
        <f ca="1">INDIRECT("R"&amp;(初期登録!$B$10+30)*12+初期登録!$D$10+5-5&amp;"C"&amp;COLUMN(),FALSE)</f>
        <v>-3.841956098259792</v>
      </c>
      <c r="Z481" s="315">
        <f ca="1">INDIRECT("R"&amp;(初期登録!$B$10+30)*12+初期登録!$D$10+5-5&amp;"C"&amp;COLUMN(),FALSE)</f>
        <v>0.10000000000000009</v>
      </c>
      <c r="AA481" s="315">
        <f ca="1">INDIRECT("R"&amp;(初期登録!$B$10+30)*12+初期登録!$D$10+5-5&amp;"C"&amp;COLUMN(),FALSE)</f>
        <v>12.00206398348814</v>
      </c>
    </row>
    <row r="482" spans="1:27" ht="15" thickBot="1">
      <c r="A482" s="1763" t="s">
        <v>308</v>
      </c>
      <c r="B482" s="1762"/>
      <c r="C482" s="1764"/>
      <c r="D482" s="757">
        <f ca="1">INDIRECT("R"&amp;(初期登録!$B$10+30)*12+初期登録!$D$10+5-4&amp;"C"&amp;COLUMN(),FALSE)</f>
        <v>-7.8548469921451538</v>
      </c>
      <c r="E482" s="315">
        <f ca="1">INDIRECT("R"&amp;(初期登録!$B$10+30)*12+初期登録!$D$10+5-4&amp;"C"&amp;COLUMN(),FALSE)</f>
        <v>1.4268727705112996</v>
      </c>
      <c r="F482" s="315">
        <f ca="1">INDIRECT("R"&amp;(初期登録!$B$10+30)*12+初期登録!$D$10+5-4&amp;"C"&amp;COLUMN(),FALSE)</f>
        <v>-1.5721969383533236</v>
      </c>
      <c r="G482" s="315">
        <f ca="1">INDIRECT("R"&amp;(初期登録!$B$10+30)*12+初期登録!$D$10+5-4&amp;"C"&amp;COLUMN(),FALSE)</f>
        <v>4.1783967995258555</v>
      </c>
      <c r="H482" s="315">
        <f ca="1">INDIRECT("R"&amp;(初期登録!$B$10+30)*12+初期登録!$D$10+5-4&amp;"C"&amp;COLUMN(),FALSE)</f>
        <v>16.448152562574492</v>
      </c>
      <c r="I482" s="315">
        <f ca="1">INDIRECT("R"&amp;(初期登録!$B$10+30)*12+初期登録!$D$10+5-4&amp;"C"&amp;COLUMN(),FALSE)</f>
        <v>-1</v>
      </c>
      <c r="J482" s="315">
        <f ca="1">INDIRECT("R"&amp;(初期登録!$B$10+30)*12+初期登録!$D$10+5-4&amp;"C"&amp;COLUMN(),FALSE)</f>
        <v>2.5999999999999943</v>
      </c>
      <c r="L482" s="315">
        <f ca="1">INDIRECT("R"&amp;(初期登録!$B$10+30)*12+初期登録!$D$10+5-4&amp;"C"&amp;COLUMN(),FALSE)</f>
        <v>-1.0000000000000009E-2</v>
      </c>
      <c r="M482" s="315">
        <f ca="1">INDIRECT("R"&amp;(初期登録!$B$10+30)*12+初期登録!$D$10+5-4&amp;"C"&amp;COLUMN(),FALSE)</f>
        <v>-5.5158586267943681</v>
      </c>
      <c r="N482" s="315">
        <f ca="1">INDIRECT("R"&amp;(初期登録!$B$10+30)*12+初期登録!$D$10+5-4&amp;"C"&amp;COLUMN(),FALSE)</f>
        <v>9.615384615384615</v>
      </c>
      <c r="O482" s="315">
        <f ca="1">INDIRECT("R"&amp;(初期登録!$B$10+30)*12+初期登録!$D$10+5-4&amp;"C"&amp;COLUMN(),FALSE)</f>
        <v>5.5555555555555527</v>
      </c>
      <c r="P482" s="315">
        <f ca="1">INDIRECT("R"&amp;(初期登録!$B$10+30)*12+初期登録!$D$10+5-4&amp;"C"&amp;COLUMN(),FALSE)</f>
        <v>1.8745493871665426</v>
      </c>
      <c r="Q482" s="315">
        <f ca="1">INDIRECT("R"&amp;(初期登録!$B$10+30)*12+初期登録!$D$10+5-4&amp;"C"&amp;COLUMN(),FALSE)</f>
        <v>3.7361354349095186</v>
      </c>
      <c r="R482" s="315">
        <f ca="1">INDIRECT("R"&amp;(初期登録!$B$10+30)*12+初期登録!$D$10+5-4&amp;"C"&amp;COLUMN(),FALSE)</f>
        <v>0.59999999999999432</v>
      </c>
      <c r="S482" s="315">
        <f ca="1">INDIRECT("R"&amp;(初期登録!$B$10+30)*12+初期登録!$D$10+5-4&amp;"C"&amp;COLUMN(),FALSE)</f>
        <v>-10.600127856800372</v>
      </c>
      <c r="U482" s="315">
        <f ca="1">INDIRECT("R"&amp;(初期登録!$B$10+30)*12+初期登録!$D$10+5-4&amp;"C"&amp;COLUMN(),FALSE)</f>
        <v>0.57636887608069987</v>
      </c>
      <c r="V482" s="315">
        <f ca="1">INDIRECT("R"&amp;(初期登録!$B$10+30)*12+初期登録!$D$10+5-4&amp;"C"&amp;COLUMN(),FALSE)</f>
        <v>5.1020408163265305</v>
      </c>
      <c r="W482" s="315">
        <f ca="1">INDIRECT("R"&amp;(初期登録!$B$10+30)*12+初期登録!$D$10+5-4&amp;"C"&amp;COLUMN(),FALSE)</f>
        <v>0</v>
      </c>
      <c r="X482" s="315">
        <f ca="1">INDIRECT("R"&amp;(初期登録!$B$10+30)*12+初期登録!$D$10+5-4&amp;"C"&amp;COLUMN(),FALSE)</f>
        <v>-0.7</v>
      </c>
      <c r="Y482" s="315">
        <f ca="1">INDIRECT("R"&amp;(初期登録!$B$10+30)*12+初期登録!$D$10+5-4&amp;"C"&amp;COLUMN(),FALSE)</f>
        <v>13.556210010921108</v>
      </c>
      <c r="Z482" s="315">
        <f ca="1">INDIRECT("R"&amp;(初期登録!$B$10+30)*12+初期登録!$D$10+5-4&amp;"C"&amp;COLUMN(),FALSE)</f>
        <v>9.9999999999999645E-2</v>
      </c>
      <c r="AA482" s="315">
        <f ca="1">INDIRECT("R"&amp;(初期登録!$B$10+30)*12+初期登録!$D$10+5-4&amp;"C"&amp;COLUMN(),FALSE)</f>
        <v>-17.116283985520653</v>
      </c>
    </row>
    <row r="483" spans="1:27" ht="15" thickBot="1">
      <c r="A483" s="1763" t="s">
        <v>307</v>
      </c>
      <c r="B483" s="1762"/>
      <c r="C483" s="1764"/>
      <c r="D483" s="757">
        <f ca="1">INDIRECT("R"&amp;(初期登録!$B$10+30)*12+初期登録!$D$10+5-3&amp;"C"&amp;COLUMN(),FALSE)</f>
        <v>18.371731372531404</v>
      </c>
      <c r="E483" s="315">
        <f ca="1">INDIRECT("R"&amp;(初期登録!$B$10+30)*12+初期登録!$D$10+5-3&amp;"C"&amp;COLUMN(),FALSE)</f>
        <v>-5.0847457627118686</v>
      </c>
      <c r="F483" s="315">
        <f ca="1">INDIRECT("R"&amp;(初期登録!$B$10+30)*12+初期登録!$D$10+5-3&amp;"C"&amp;COLUMN(),FALSE)</f>
        <v>-2.1070375052675936</v>
      </c>
      <c r="G483" s="315">
        <f ca="1">INDIRECT("R"&amp;(初期登録!$B$10+30)*12+初期登録!$D$10+5-3&amp;"C"&amp;COLUMN(),FALSE)</f>
        <v>0.66541299001880516</v>
      </c>
      <c r="H483" s="315">
        <f ca="1">INDIRECT("R"&amp;(初期登録!$B$10+30)*12+初期登録!$D$10+5-3&amp;"C"&amp;COLUMN(),FALSE)</f>
        <v>-8.7356321839080469</v>
      </c>
      <c r="I483" s="315">
        <f ca="1">INDIRECT("R"&amp;(初期登録!$B$10+30)*12+初期登録!$D$10+5-3&amp;"C"&amp;COLUMN(),FALSE)</f>
        <v>0</v>
      </c>
      <c r="J483" s="315">
        <f ca="1">INDIRECT("R"&amp;(初期登録!$B$10+30)*12+初期登録!$D$10+5-3&amp;"C"&amp;COLUMN(),FALSE)</f>
        <v>2.7000000000000028</v>
      </c>
      <c r="L483" s="315">
        <f ca="1">INDIRECT("R"&amp;(初期登録!$B$10+30)*12+初期登録!$D$10+5-3&amp;"C"&amp;COLUMN(),FALSE)</f>
        <v>0</v>
      </c>
      <c r="M483" s="315">
        <f ca="1">INDIRECT("R"&amp;(初期登録!$B$10+30)*12+初期登録!$D$10+5-3&amp;"C"&amp;COLUMN(),FALSE)</f>
        <v>2.988235039918762</v>
      </c>
      <c r="N483" s="315">
        <f ca="1">INDIRECT("R"&amp;(初期登録!$B$10+30)*12+初期登録!$D$10+5-3&amp;"C"&amp;COLUMN(),FALSE)</f>
        <v>-4.694835680751174</v>
      </c>
      <c r="O483" s="315">
        <f ca="1">INDIRECT("R"&amp;(初期登録!$B$10+30)*12+初期登録!$D$10+5-3&amp;"C"&amp;COLUMN(),FALSE)</f>
        <v>-5.064500716674627</v>
      </c>
      <c r="P483" s="315">
        <f ca="1">INDIRECT("R"&amp;(初期登録!$B$10+30)*12+初期登録!$D$10+5-3&amp;"C"&amp;COLUMN(),FALSE)</f>
        <v>-5.6555269922879088</v>
      </c>
      <c r="Q483" s="315">
        <f ca="1">INDIRECT("R"&amp;(初期登録!$B$10+30)*12+初期登録!$D$10+5-3&amp;"C"&amp;COLUMN(),FALSE)</f>
        <v>-8.4204240071663161</v>
      </c>
      <c r="R483" s="315">
        <f ca="1">INDIRECT("R"&amp;(初期登録!$B$10+30)*12+初期登録!$D$10+5-3&amp;"C"&amp;COLUMN(),FALSE)</f>
        <v>3.6000000000000085</v>
      </c>
      <c r="S483" s="315">
        <f ca="1">INDIRECT("R"&amp;(初期登録!$B$10+30)*12+初期登録!$D$10+5-3&amp;"C"&amp;COLUMN(),FALSE)</f>
        <v>5.9143251957623137</v>
      </c>
      <c r="U483" s="315">
        <f ca="1">INDIRECT("R"&amp;(初期登録!$B$10+30)*12+初期登録!$D$10+5-3&amp;"C"&amp;COLUMN(),FALSE)</f>
        <v>-0.28776978417267279</v>
      </c>
      <c r="V483" s="315">
        <f ca="1">INDIRECT("R"&amp;(初期登録!$B$10+30)*12+初期登録!$D$10+5-3&amp;"C"&amp;COLUMN(),FALSE)</f>
        <v>-5.4514480408858521</v>
      </c>
      <c r="W483" s="315">
        <f ca="1">INDIRECT("R"&amp;(初期登録!$B$10+30)*12+初期登録!$D$10+5-3&amp;"C"&amp;COLUMN(),FALSE)</f>
        <v>0</v>
      </c>
      <c r="X483" s="315">
        <f ca="1">INDIRECT("R"&amp;(初期登録!$B$10+30)*12+初期登録!$D$10+5-3&amp;"C"&amp;COLUMN(),FALSE)</f>
        <v>-3.2</v>
      </c>
      <c r="Y483" s="315">
        <f ca="1">INDIRECT("R"&amp;(初期登録!$B$10+30)*12+初期登録!$D$10+5-3&amp;"C"&amp;COLUMN(),FALSE)</f>
        <v>-4.0859144745579448</v>
      </c>
      <c r="Z483" s="315">
        <f ca="1">INDIRECT("R"&amp;(初期登録!$B$10+30)*12+初期登録!$D$10+5-3&amp;"C"&amp;COLUMN(),FALSE)</f>
        <v>-0.5</v>
      </c>
      <c r="AA483" s="315">
        <f ca="1">INDIRECT("R"&amp;(初期登録!$B$10+30)*12+初期登録!$D$10+5-3&amp;"C"&amp;COLUMN(),FALSE)</f>
        <v>30.148953399916554</v>
      </c>
    </row>
    <row r="484" spans="1:27" ht="15" thickBot="1">
      <c r="A484" s="1763" t="s">
        <v>306</v>
      </c>
      <c r="B484" s="1762"/>
      <c r="C484" s="1764"/>
      <c r="D484" s="757">
        <f ca="1">INDIRECT("R"&amp;(初期登録!$B$10+30)*12+初期登録!$D$10+5-2&amp;"C"&amp;COLUMN(),FALSE)</f>
        <v>-6.2258593027105462</v>
      </c>
      <c r="E484" s="315">
        <f ca="1">INDIRECT("R"&amp;(初期登録!$B$10+30)*12+初期登録!$D$10+5-2&amp;"C"&amp;COLUMN(),FALSE)</f>
        <v>2.2113022113022076</v>
      </c>
      <c r="F484" s="315">
        <f ca="1">INDIRECT("R"&amp;(初期登録!$B$10+30)*12+初期登録!$D$10+5-2&amp;"C"&amp;COLUMN(),FALSE)</f>
        <v>0.59447983014861028</v>
      </c>
      <c r="G484" s="315">
        <f ca="1">INDIRECT("R"&amp;(初期登録!$B$10+30)*12+初期登録!$D$10+5-2&amp;"C"&amp;COLUMN(),FALSE)</f>
        <v>-2.8960070206230801</v>
      </c>
      <c r="H484" s="315">
        <f ca="1">INDIRECT("R"&amp;(初期登録!$B$10+30)*12+初期登録!$D$10+5-2&amp;"C"&amp;COLUMN(),FALSE)</f>
        <v>33.766233766233768</v>
      </c>
      <c r="I484" s="315">
        <f ca="1">INDIRECT("R"&amp;(初期登録!$B$10+30)*12+初期登録!$D$10+5-2&amp;"C"&amp;COLUMN(),FALSE)</f>
        <v>-4</v>
      </c>
      <c r="J484" s="315">
        <f ca="1">INDIRECT("R"&amp;(初期登録!$B$10+30)*12+初期登録!$D$10+5-2&amp;"C"&amp;COLUMN(),FALSE)</f>
        <v>2.2999999999999972</v>
      </c>
      <c r="L484" s="315">
        <f ca="1">INDIRECT("R"&amp;(初期登録!$B$10+30)*12+初期登録!$D$10+5-2&amp;"C"&amp;COLUMN(),FALSE)</f>
        <v>2.0000000000000018E-2</v>
      </c>
      <c r="M484" s="315">
        <f ca="1">INDIRECT("R"&amp;(初期登録!$B$10+30)*12+初期登録!$D$10+5-2&amp;"C"&amp;COLUMN(),FALSE)</f>
        <v>-7.0366819829647547</v>
      </c>
      <c r="N484" s="315">
        <f ca="1">INDIRECT("R"&amp;(初期登録!$B$10+30)*12+初期登録!$D$10+5-2&amp;"C"&amp;COLUMN(),FALSE)</f>
        <v>-4.9261083743842367</v>
      </c>
      <c r="O484" s="315">
        <f ca="1">INDIRECT("R"&amp;(初期登録!$B$10+30)*12+初期登録!$D$10+5-2&amp;"C"&amp;COLUMN(),FALSE)</f>
        <v>9.7014925373134364</v>
      </c>
      <c r="P484" s="315">
        <f ca="1">INDIRECT("R"&amp;(初期登録!$B$10+30)*12+初期登録!$D$10+5-2&amp;"C"&amp;COLUMN(),FALSE)</f>
        <v>7.0725483047757844</v>
      </c>
      <c r="Q484" s="315">
        <f ca="1">INDIRECT("R"&amp;(初期登録!$B$10+30)*12+初期登録!$D$10+5-2&amp;"C"&amp;COLUMN(),FALSE)</f>
        <v>6.8633353401565342</v>
      </c>
      <c r="R484" s="315">
        <f ca="1">INDIRECT("R"&amp;(初期登録!$B$10+30)*12+初期登録!$D$10+5-2&amp;"C"&amp;COLUMN(),FALSE)</f>
        <v>-7</v>
      </c>
      <c r="S484" s="315">
        <f ca="1">INDIRECT("R"&amp;(初期登録!$B$10+30)*12+初期登録!$D$10+5-2&amp;"C"&amp;COLUMN(),FALSE)</f>
        <v>4.5318512184694288</v>
      </c>
      <c r="U484" s="315">
        <f ca="1">INDIRECT("R"&amp;(初期登録!$B$10+30)*12+初期登録!$D$10+5-2&amp;"C"&amp;COLUMN(),FALSE)</f>
        <v>-0.48146364949446319</v>
      </c>
      <c r="V484" s="315">
        <f ca="1">INDIRECT("R"&amp;(初期登録!$B$10+30)*12+初期登録!$D$10+5-2&amp;"C"&amp;COLUMN(),FALSE)</f>
        <v>15.508885298869144</v>
      </c>
      <c r="W484" s="315">
        <f ca="1">INDIRECT("R"&amp;(初期登録!$B$10+30)*12+初期登録!$D$10+5-2&amp;"C"&amp;COLUMN(),FALSE)</f>
        <v>0.10000000000000009</v>
      </c>
      <c r="X484" s="315">
        <f ca="1">INDIRECT("R"&amp;(初期登録!$B$10+30)*12+初期登録!$D$10+5-2&amp;"C"&amp;COLUMN(),FALSE)</f>
        <v>2.2000000000000002</v>
      </c>
      <c r="Y484" s="315">
        <f ca="1">INDIRECT("R"&amp;(初期登録!$B$10+30)*12+初期登録!$D$10+5-2&amp;"C"&amp;COLUMN(),FALSE)</f>
        <v>-20.568268145962119</v>
      </c>
      <c r="Z484" s="315">
        <f ca="1">INDIRECT("R"&amp;(初期登録!$B$10+30)*12+初期登録!$D$10+5-2&amp;"C"&amp;COLUMN(),FALSE)</f>
        <v>-1</v>
      </c>
      <c r="AA484" s="315">
        <f ca="1">INDIRECT("R"&amp;(初期登録!$B$10+30)*12+初期登録!$D$10+5-2&amp;"C"&amp;COLUMN(),FALSE)</f>
        <v>-67.346996949915891</v>
      </c>
    </row>
    <row r="485" spans="1:27" ht="15" thickBot="1">
      <c r="A485" s="1763" t="s">
        <v>305</v>
      </c>
      <c r="B485" s="1762"/>
      <c r="C485" s="1764"/>
      <c r="D485" s="757">
        <f ca="1">INDIRECT("R"&amp;(初期登録!$B$10+30)*12+初期登録!$D$10+5-1&amp;"C"&amp;COLUMN(),FALSE)</f>
        <v>-3.239161984810317</v>
      </c>
      <c r="E485" s="315">
        <f ca="1">INDIRECT("R"&amp;(初期登録!$B$10+30)*12+初期登録!$D$10+5-1&amp;"C"&amp;COLUMN(),FALSE)</f>
        <v>-0.48721071863579962</v>
      </c>
      <c r="F485" s="315">
        <f ca="1">INDIRECT("R"&amp;(初期登録!$B$10+30)*12+初期登録!$D$10+5-1&amp;"C"&amp;COLUMN(),FALSE)</f>
        <v>-3.1827956989247213</v>
      </c>
      <c r="G485" s="315">
        <f ca="1">INDIRECT("R"&amp;(初期登録!$B$10+30)*12+初期登録!$D$10+5-1&amp;"C"&amp;COLUMN(),FALSE)</f>
        <v>6.2401150251617539</v>
      </c>
      <c r="H485" s="315">
        <f ca="1">INDIRECT("R"&amp;(初期登録!$B$10+30)*12+初期登録!$D$10+5-1&amp;"C"&amp;COLUMN(),FALSE)</f>
        <v>-56.578947368421055</v>
      </c>
      <c r="I485" s="315">
        <f ca="1">INDIRECT("R"&amp;(初期登録!$B$10+30)*12+初期登録!$D$10+5-1&amp;"C"&amp;COLUMN(),FALSE)</f>
        <v>1</v>
      </c>
      <c r="J485" s="315">
        <f ca="1">INDIRECT("R"&amp;(初期登録!$B$10+30)*12+初期登録!$D$10+5-1&amp;"C"&amp;COLUMN(),FALSE)</f>
        <v>2.4000000000000057</v>
      </c>
      <c r="L485" s="315">
        <f ca="1">INDIRECT("R"&amp;(初期登録!$B$10+30)*12+初期登録!$D$10+5-1&amp;"C"&amp;COLUMN(),FALSE)</f>
        <v>2.0000000000000018E-2</v>
      </c>
      <c r="M485" s="315">
        <f ca="1">INDIRECT("R"&amp;(初期登録!$B$10+30)*12+初期登録!$D$10+5-1&amp;"C"&amp;COLUMN(),FALSE)</f>
        <v>-1.1186016331124418</v>
      </c>
      <c r="N485" s="315">
        <f ca="1">INDIRECT("R"&amp;(初期登録!$B$10+30)*12+初期登録!$D$10+5-1&amp;"C"&amp;COLUMN(),FALSE)</f>
        <v>7.7669902912621245</v>
      </c>
      <c r="O485" s="315">
        <f ca="1">INDIRECT("R"&amp;(初期登録!$B$10+30)*12+初期登録!$D$10+5-1&amp;"C"&amp;COLUMN(),FALSE)</f>
        <v>-17.618586640851888</v>
      </c>
      <c r="P485" s="315">
        <f ca="1">INDIRECT("R"&amp;(初期登録!$B$10+30)*12+初期登録!$D$10+5-1&amp;"C"&amp;COLUMN(),FALSE)</f>
        <v>7.0397747272083283E-2</v>
      </c>
      <c r="Q485" s="315">
        <f ca="1">INDIRECT("R"&amp;(初期登録!$B$10+30)*12+初期登録!$D$10+5-1&amp;"C"&amp;COLUMN(),FALSE)</f>
        <v>6.9662921348314475</v>
      </c>
      <c r="R485" s="315">
        <f ca="1">INDIRECT("R"&amp;(初期登録!$B$10+30)*12+初期登録!$D$10+5-1&amp;"C"&amp;COLUMN(),FALSE)</f>
        <v>-1.7000000000000028</v>
      </c>
      <c r="S485" s="315">
        <f ca="1">INDIRECT("R"&amp;(初期登録!$B$10+30)*12+初期登録!$D$10+5-1&amp;"C"&amp;COLUMN(),FALSE)</f>
        <v>-8.2572347266880879</v>
      </c>
      <c r="U485" s="315">
        <f ca="1">INDIRECT("R"&amp;(初期登録!$B$10+30)*12+初期登録!$D$10+5-1&amp;"C"&amp;COLUMN(),FALSE)</f>
        <v>-0.58083252662148532</v>
      </c>
      <c r="V485" s="315">
        <f ca="1">INDIRECT("R"&amp;(初期登録!$B$10+30)*12+初期登録!$D$10+5-1&amp;"C"&amp;COLUMN(),FALSE)</f>
        <v>-24.201680672268914</v>
      </c>
      <c r="W485" s="315">
        <f ca="1">INDIRECT("R"&amp;(初期登録!$B$10+30)*12+初期登録!$D$10+5-1&amp;"C"&amp;COLUMN(),FALSE)</f>
        <v>-0.10000000000000009</v>
      </c>
      <c r="X485" s="315">
        <f ca="1">INDIRECT("R"&amp;(初期登録!$B$10+30)*12+初期登録!$D$10+5-1&amp;"C"&amp;COLUMN(),FALSE)</f>
        <v>0.20000000000000007</v>
      </c>
      <c r="Y485" s="315">
        <f ca="1">INDIRECT("R"&amp;(初期登録!$B$10+30)*12+初期登録!$D$10+5-1&amp;"C"&amp;COLUMN(),FALSE)</f>
        <v>-19.124680225534373</v>
      </c>
      <c r="Z485" s="315">
        <f ca="1">INDIRECT("R"&amp;(初期登録!$B$10+30)*12+初期登録!$D$10+5-1&amp;"C"&amp;COLUMN(),FALSE)</f>
        <v>0.10000000000000009</v>
      </c>
      <c r="AA485" s="315">
        <f ca="1">INDIRECT("R"&amp;(初期登録!$B$10+30)*12+初期登録!$D$10+5-1&amp;"C"&amp;COLUMN(),FALSE)</f>
        <v>56.3304621654163</v>
      </c>
    </row>
    <row r="486" spans="1:27" ht="15" thickBot="1">
      <c r="A486" s="1761" t="s">
        <v>304</v>
      </c>
      <c r="B486" s="1765"/>
      <c r="C486" s="1766"/>
      <c r="D486" s="757">
        <f ca="1">INDIRECT("R"&amp;(初期登録!$B$10+30)*12+初期登録!$D$10+5&amp;"C"&amp;COLUMN(),FALSE)</f>
        <v>2.5764722698684932</v>
      </c>
      <c r="E486" s="315">
        <f ca="1">INDIRECT("R"&amp;(初期登録!$B$10+30)*12+初期登録!$D$10+5&amp;"C"&amp;COLUMN(),FALSE)</f>
        <v>7.6335877862595414</v>
      </c>
      <c r="F486" s="315">
        <f ca="1">INDIRECT("R"&amp;(初期登録!$B$10+30)*12+初期登録!$D$10+5&amp;"C"&amp;COLUMN(),FALSE)</f>
        <v>3.6051502145922649</v>
      </c>
      <c r="G486" s="315">
        <f ca="1">INDIRECT("R"&amp;(初期登録!$B$10+30)*12+初期登録!$D$10+5&amp;"C"&amp;COLUMN(),FALSE)</f>
        <v>-4.6511627906976747</v>
      </c>
      <c r="H486" s="315">
        <f ca="1">INDIRECT("R"&amp;(初期登録!$B$10+30)*12+初期登録!$D$10+5&amp;"C"&amp;COLUMN(),FALSE)</f>
        <v>-54.970760233918128</v>
      </c>
      <c r="I486" s="315">
        <f ca="1">INDIRECT("R"&amp;(初期登録!$B$10+30)*12+初期登録!$D$10+5&amp;"C"&amp;COLUMN(),FALSE)</f>
        <v>0</v>
      </c>
      <c r="J486" s="315">
        <f ca="1">INDIRECT("R"&amp;(初期登録!$B$10+30)*12+初期登録!$D$10+5&amp;"C"&amp;COLUMN(),FALSE)</f>
        <v>2.2999999999999972</v>
      </c>
      <c r="L486" s="315">
        <f ca="1">INDIRECT("R"&amp;(初期登録!$B$10+30)*12+初期登録!$D$10+5&amp;"C"&amp;COLUMN(),FALSE)</f>
        <v>-2.0000000000000018E-2</v>
      </c>
      <c r="M486" s="315">
        <f ca="1">INDIRECT("R"&amp;(初期登録!$B$10+30)*12+初期登録!$D$10+5&amp;"C"&amp;COLUMN(),FALSE)</f>
        <v>6.9366868457138908</v>
      </c>
      <c r="N486" s="315">
        <f ca="1">INDIRECT("R"&amp;(初期登録!$B$10+30)*12+初期登録!$D$10+5&amp;"C"&amp;COLUMN(),FALSE)</f>
        <v>-0.93896713615023153</v>
      </c>
      <c r="O486" s="315">
        <f ca="1">INDIRECT("R"&amp;(初期登録!$B$10+30)*12+初期登録!$D$10+5&amp;"C"&amp;COLUMN(),FALSE)</f>
        <v>26.917776757005051</v>
      </c>
      <c r="P486" s="315">
        <f ca="1">INDIRECT("R"&amp;(初期登録!$B$10+30)*12+初期登録!$D$10+5&amp;"C"&amp;COLUMN(),FALSE)</f>
        <v>3.4578146611341634</v>
      </c>
      <c r="Q486" s="315">
        <f ca="1">INDIRECT("R"&amp;(初期登録!$B$10+30)*12+初期登録!$D$10+5&amp;"C"&amp;COLUMN(),FALSE)</f>
        <v>-1.311475409836053</v>
      </c>
      <c r="R486" s="316">
        <f ca="1">INDIRECT("R"&amp;(初期登録!$B$10+30)*12+初期登録!$D$10+5&amp;"C"&amp;COLUMN(),FALSE)</f>
        <v>-3.8000000000000043</v>
      </c>
      <c r="S486" s="315">
        <f ca="1">INDIRECT("R"&amp;(初期登録!$B$10+30)*12+初期登録!$D$10+5&amp;"C"&amp;COLUMN(),FALSE)</f>
        <v>6.1514148254098435</v>
      </c>
      <c r="U486" s="315">
        <f ca="1">INDIRECT("R"&amp;(初期登録!$B$10+30)*12+初期登録!$D$10+5&amp;"C"&amp;COLUMN(),FALSE)</f>
        <v>0.19398642095053623</v>
      </c>
      <c r="V486" s="315">
        <f ca="1">INDIRECT("R"&amp;(初期登録!$B$10+30)*12+初期登録!$D$10+5&amp;"C"&amp;COLUMN(),FALSE)</f>
        <v>33.836378077839548</v>
      </c>
      <c r="W486" s="315">
        <f ca="1">INDIRECT("R"&amp;(初期登録!$B$10+30)*12+初期登録!$D$10+5&amp;"C"&amp;COLUMN(),FALSE)</f>
        <v>0.10000000000000009</v>
      </c>
      <c r="X486" s="315">
        <f ca="1">INDIRECT("R"&amp;(初期登録!$B$10+30)*12+初期登録!$D$10+5&amp;"C"&amp;COLUMN(),FALSE)</f>
        <v>-2.1999999999999997</v>
      </c>
      <c r="Y486" s="315">
        <f ca="1">INDIRECT("R"&amp;(初期登録!$B$10+30)*12+初期登録!$D$10+5&amp;"C"&amp;COLUMN(),FALSE)</f>
        <v>12.418610700923496</v>
      </c>
      <c r="Z486" s="315">
        <f ca="1">INDIRECT("R"&amp;(初期登録!$B$10+30)*12+初期登録!$D$10+5&amp;"C"&amp;COLUMN(),FALSE)</f>
        <v>0.5</v>
      </c>
      <c r="AA486" s="315">
        <f ca="1">INDIRECT("R"&amp;(初期登録!$B$10+30)*12+初期登録!$D$10+5&amp;"C"&amp;COLUMN(),FALSE)</f>
        <v>-16.277888485132646</v>
      </c>
    </row>
    <row r="487" spans="1:27">
      <c r="L487" s="356"/>
    </row>
  </sheetData>
  <customSheetViews>
    <customSheetView guid="{7EBA91D6-F088-446F-A1CC-E1462A1CA2C3}" showRuler="0">
      <pane xSplit="3" ySplit="5" topLeftCell="D243" activePane="bottomRight" state="frozen"/>
      <selection pane="bottomRight" activeCell="E251" sqref="E251"/>
      <pageMargins left="0.75" right="0.75" top="1" bottom="1" header="0.51200000000000001" footer="0.51200000000000001"/>
      <pageSetup paperSize="9" orientation="portrait" r:id="rId1"/>
      <headerFooter alignWithMargins="0"/>
    </customSheetView>
    <customSheetView guid="{883B7A2B-3CB3-449D-A461-655262B722BC}" showRuler="0">
      <pane xSplit="3" ySplit="5" topLeftCell="D243" activePane="bottomRight" state="frozen"/>
      <selection pane="bottomRight" activeCell="G249" sqref="G249"/>
      <pageMargins left="0.75" right="0.75" top="1" bottom="1" header="0.51200000000000001" footer="0.51200000000000001"/>
      <pageSetup paperSize="9" orientation="portrait" r:id="rId2"/>
      <headerFooter alignWithMargins="0"/>
    </customSheetView>
  </customSheetViews>
  <mergeCells count="6">
    <mergeCell ref="A485:C485"/>
    <mergeCell ref="A486:C486"/>
    <mergeCell ref="A481:C481"/>
    <mergeCell ref="A482:C482"/>
    <mergeCell ref="A483:C483"/>
    <mergeCell ref="A484:C484"/>
  </mergeCells>
  <phoneticPr fontId="3"/>
  <conditionalFormatting sqref="A461:B461">
    <cfRule type="cellIs" dxfId="208" priority="235" stopIfTrue="1" operator="lessThan">
      <formula>0</formula>
    </cfRule>
  </conditionalFormatting>
  <conditionalFormatting sqref="A473:B473">
    <cfRule type="cellIs" dxfId="207" priority="75" stopIfTrue="1" operator="lessThan">
      <formula>0</formula>
    </cfRule>
  </conditionalFormatting>
  <conditionalFormatting sqref="A450:J451 X449:Z450 X451:IV451">
    <cfRule type="cellIs" dxfId="206" priority="313" stopIfTrue="1" operator="lessThan">
      <formula>0</formula>
    </cfRule>
  </conditionalFormatting>
  <conditionalFormatting sqref="A462:J463">
    <cfRule type="cellIs" dxfId="205" priority="140" stopIfTrue="1" operator="lessThan">
      <formula>0</formula>
    </cfRule>
  </conditionalFormatting>
  <conditionalFormatting sqref="A474:J474">
    <cfRule type="cellIs" dxfId="204" priority="72" stopIfTrue="1" operator="lessThan">
      <formula>0</formula>
    </cfRule>
  </conditionalFormatting>
  <conditionalFormatting sqref="A402:V413 X402:Z402 X403:IV413">
    <cfRule type="cellIs" dxfId="203" priority="685" stopIfTrue="1" operator="lessThan">
      <formula>0</formula>
    </cfRule>
  </conditionalFormatting>
  <conditionalFormatting sqref="A437:V437">
    <cfRule type="cellIs" dxfId="202" priority="623" stopIfTrue="1" operator="lessThan">
      <formula>0</formula>
    </cfRule>
    <cfRule type="cellIs" dxfId="201" priority="533" stopIfTrue="1" operator="lessThan">
      <formula>0</formula>
    </cfRule>
  </conditionalFormatting>
  <conditionalFormatting sqref="A462:V463">
    <cfRule type="cellIs" dxfId="200" priority="109" stopIfTrue="1" operator="lessThan">
      <formula>0</formula>
    </cfRule>
  </conditionalFormatting>
  <conditionalFormatting sqref="A474:V474">
    <cfRule type="cellIs" dxfId="199" priority="42" stopIfTrue="1" operator="lessThan">
      <formula>0</formula>
    </cfRule>
  </conditionalFormatting>
  <conditionalFormatting sqref="A342:W401">
    <cfRule type="cellIs" dxfId="198" priority="696" stopIfTrue="1" operator="lessThan">
      <formula>0</formula>
    </cfRule>
  </conditionalFormatting>
  <conditionalFormatting sqref="A426:W436 W473:IV473 W475:IV478 D461:IV461">
    <cfRule type="cellIs" dxfId="197" priority="634" stopIfTrue="1" operator="lessThan">
      <formula>0</formula>
    </cfRule>
  </conditionalFormatting>
  <conditionalFormatting sqref="A2:IV2">
    <cfRule type="cellIs" dxfId="196" priority="875" stopIfTrue="1" operator="lessThan">
      <formula>0</formula>
    </cfRule>
  </conditionalFormatting>
  <conditionalFormatting sqref="A318:IV341">
    <cfRule type="cellIs" dxfId="195" priority="851" stopIfTrue="1" operator="lessThan">
      <formula>0</formula>
    </cfRule>
  </conditionalFormatting>
  <conditionalFormatting sqref="A414:IV425">
    <cfRule type="cellIs" dxfId="194" priority="845" stopIfTrue="1" operator="lessThan">
      <formula>0</formula>
    </cfRule>
  </conditionalFormatting>
  <conditionalFormatting sqref="A452:IV460">
    <cfRule type="cellIs" dxfId="193" priority="403" stopIfTrue="1" operator="lessThan">
      <formula>0</formula>
    </cfRule>
  </conditionalFormatting>
  <conditionalFormatting sqref="A464:IV472">
    <cfRule type="cellIs" dxfId="192" priority="143" stopIfTrue="1" operator="lessThan">
      <formula>0</formula>
    </cfRule>
  </conditionalFormatting>
  <conditionalFormatting sqref="A475:IV478">
    <cfRule type="cellIs" dxfId="191" priority="232" stopIfTrue="1" operator="lessThan">
      <formula>0</formula>
    </cfRule>
  </conditionalFormatting>
  <conditionalFormatting sqref="A102:XFD281 A282:C282 AB282:IV282 A294">
    <cfRule type="cellIs" dxfId="190" priority="977" stopIfTrue="1" operator="lessThan">
      <formula>0</formula>
    </cfRule>
  </conditionalFormatting>
  <conditionalFormatting sqref="B284:IV317">
    <cfRule type="cellIs" dxfId="189" priority="938" stopIfTrue="1" operator="lessThan">
      <formula>0</formula>
    </cfRule>
  </conditionalFormatting>
  <conditionalFormatting sqref="C459">
    <cfRule type="cellIs" dxfId="188" priority="258" stopIfTrue="1" operator="lessThan">
      <formula>0</formula>
    </cfRule>
  </conditionalFormatting>
  <conditionalFormatting sqref="C471">
    <cfRule type="cellIs" dxfId="187" priority="79" stopIfTrue="1" operator="lessThan">
      <formula>0</formula>
    </cfRule>
  </conditionalFormatting>
  <conditionalFormatting sqref="C461:IV461 C473:IV473">
    <cfRule type="cellIs" dxfId="186" priority="452" stopIfTrue="1" operator="lessThan">
      <formula>0</formula>
    </cfRule>
  </conditionalFormatting>
  <conditionalFormatting sqref="D306:H413">
    <cfRule type="cellIs" dxfId="185" priority="677" stopIfTrue="1" operator="greaterThan">
      <formula>0</formula>
    </cfRule>
  </conditionalFormatting>
  <conditionalFormatting sqref="D426:H448">
    <cfRule type="cellIs" dxfId="184" priority="554" stopIfTrue="1" operator="greaterThan">
      <formula>0</formula>
    </cfRule>
  </conditionalFormatting>
  <conditionalFormatting sqref="D438:H451">
    <cfRule type="cellIs" dxfId="183" priority="364" stopIfTrue="1" operator="greaterThan">
      <formula>0</formula>
    </cfRule>
  </conditionalFormatting>
  <conditionalFormatting sqref="D450:H451">
    <cfRule type="cellIs" dxfId="182" priority="305" stopIfTrue="1" operator="greaterThan">
      <formula>0</formula>
    </cfRule>
  </conditionalFormatting>
  <conditionalFormatting sqref="D452:H460">
    <cfRule type="cellIs" dxfId="181" priority="585" stopIfTrue="1" operator="greaterThan">
      <formula>0</formula>
    </cfRule>
  </conditionalFormatting>
  <conditionalFormatting sqref="D461:H463">
    <cfRule type="cellIs" dxfId="180" priority="132" stopIfTrue="1" operator="greaterThan">
      <formula>0</formula>
    </cfRule>
  </conditionalFormatting>
  <conditionalFormatting sqref="D464:H472">
    <cfRule type="cellIs" dxfId="179" priority="221" stopIfTrue="1" operator="greaterThan">
      <formula>0</formula>
    </cfRule>
  </conditionalFormatting>
  <conditionalFormatting sqref="D474:H474">
    <cfRule type="cellIs" dxfId="178" priority="64" stopIfTrue="1" operator="greaterThan">
      <formula>0</formula>
    </cfRule>
  </conditionalFormatting>
  <conditionalFormatting sqref="D294:J448">
    <cfRule type="cellIs" dxfId="177" priority="560" stopIfTrue="1" operator="greaterThan">
      <formula>0</formula>
    </cfRule>
  </conditionalFormatting>
  <conditionalFormatting sqref="D437:J461">
    <cfRule type="cellIs" dxfId="176" priority="370" stopIfTrue="1" operator="greaterThan">
      <formula>0</formula>
    </cfRule>
  </conditionalFormatting>
  <conditionalFormatting sqref="D447:J448 J452:J460">
    <cfRule type="cellIs" dxfId="175" priority="583" stopIfTrue="1" operator="greaterThan">
      <formula>0</formula>
    </cfRule>
  </conditionalFormatting>
  <conditionalFormatting sqref="D449:J451">
    <cfRule type="cellIs" dxfId="174" priority="311" stopIfTrue="1" operator="greaterThan">
      <formula>0</formula>
    </cfRule>
  </conditionalFormatting>
  <conditionalFormatting sqref="D452:J461">
    <cfRule type="cellIs" dxfId="173" priority="591" stopIfTrue="1" operator="greaterThan">
      <formula>0</formula>
    </cfRule>
  </conditionalFormatting>
  <conditionalFormatting sqref="D462:J463">
    <cfRule type="cellIs" dxfId="172" priority="99" stopIfTrue="1" operator="greaterThan">
      <formula>0</formula>
    </cfRule>
  </conditionalFormatting>
  <conditionalFormatting sqref="D462:J472">
    <cfRule type="cellIs" dxfId="171" priority="138" stopIfTrue="1" operator="greaterThan">
      <formula>0</formula>
    </cfRule>
  </conditionalFormatting>
  <conditionalFormatting sqref="D464:J472">
    <cfRule type="cellIs" dxfId="170" priority="191" stopIfTrue="1" operator="greaterThan">
      <formula>0</formula>
    </cfRule>
  </conditionalFormatting>
  <conditionalFormatting sqref="D464:J473">
    <cfRule type="cellIs" dxfId="169" priority="227" stopIfTrue="1" operator="greaterThan">
      <formula>0</formula>
    </cfRule>
  </conditionalFormatting>
  <conditionalFormatting sqref="D473:J473 D475:J478">
    <cfRule type="cellIs" dxfId="168" priority="644" stopIfTrue="1" operator="greaterThan">
      <formula>0</formula>
    </cfRule>
  </conditionalFormatting>
  <conditionalFormatting sqref="D474:J474">
    <cfRule type="cellIs" dxfId="167" priority="32" stopIfTrue="1" operator="greaterThan">
      <formula>0</formula>
    </cfRule>
  </conditionalFormatting>
  <conditionalFormatting sqref="D474:J478">
    <cfRule type="cellIs" dxfId="166" priority="70" stopIfTrue="1" operator="greaterThan">
      <formula>0</formula>
    </cfRule>
  </conditionalFormatting>
  <conditionalFormatting sqref="D282:P282">
    <cfRule type="cellIs" dxfId="165" priority="958" stopIfTrue="1" operator="lessThan">
      <formula>0</formula>
    </cfRule>
  </conditionalFormatting>
  <conditionalFormatting sqref="D449:V449 A449:B449">
    <cfRule type="cellIs" dxfId="164" priority="343" stopIfTrue="1" operator="lessThan">
      <formula>0</formula>
    </cfRule>
  </conditionalFormatting>
  <conditionalFormatting sqref="D449:V449">
    <cfRule type="cellIs" dxfId="163" priority="402" stopIfTrue="1" operator="lessThan">
      <formula>0</formula>
    </cfRule>
  </conditionalFormatting>
  <conditionalFormatting sqref="D452:V460 A447:V448">
    <cfRule type="cellIs" dxfId="162" priority="595" stopIfTrue="1" operator="lessThan">
      <formula>0</formula>
    </cfRule>
  </conditionalFormatting>
  <conditionalFormatting sqref="D464:V472">
    <cfRule type="cellIs" dxfId="161" priority="203" stopIfTrue="1" operator="lessThan">
      <formula>0</formula>
    </cfRule>
    <cfRule type="cellIs" dxfId="160" priority="231" stopIfTrue="1" operator="lessThan">
      <formula>0</formula>
    </cfRule>
  </conditionalFormatting>
  <conditionalFormatting sqref="D473:V473 D475:V478">
    <cfRule type="cellIs" dxfId="159" priority="656" stopIfTrue="1" operator="lessThan">
      <formula>0</formula>
    </cfRule>
  </conditionalFormatting>
  <conditionalFormatting sqref="J306:J413">
    <cfRule type="cellIs" dxfId="158" priority="675" stopIfTrue="1" operator="greaterThan">
      <formula>0</formula>
    </cfRule>
  </conditionalFormatting>
  <conditionalFormatting sqref="J426:J448 D452:J460">
    <cfRule type="cellIs" dxfId="157" priority="552" stopIfTrue="1" operator="greaterThan">
      <formula>0</formula>
    </cfRule>
  </conditionalFormatting>
  <conditionalFormatting sqref="J438:J451">
    <cfRule type="cellIs" dxfId="156" priority="362" stopIfTrue="1" operator="greaterThan">
      <formula>0</formula>
    </cfRule>
  </conditionalFormatting>
  <conditionalFormatting sqref="J450:J451">
    <cfRule type="cellIs" dxfId="155" priority="303" stopIfTrue="1" operator="greaterThan">
      <formula>0</formula>
    </cfRule>
  </conditionalFormatting>
  <conditionalFormatting sqref="J461:J463">
    <cfRule type="cellIs" dxfId="154" priority="130" stopIfTrue="1" operator="greaterThan">
      <formula>0</formula>
    </cfRule>
  </conditionalFormatting>
  <conditionalFormatting sqref="J464:J472">
    <cfRule type="cellIs" dxfId="153" priority="219" stopIfTrue="1" operator="greaterThan">
      <formula>0</formula>
    </cfRule>
  </conditionalFormatting>
  <conditionalFormatting sqref="J474">
    <cfRule type="cellIs" dxfId="152" priority="62" stopIfTrue="1" operator="greaterThan">
      <formula>0</formula>
    </cfRule>
  </conditionalFormatting>
  <conditionalFormatting sqref="K438:V445 A445:R445 A446:V448 D452:V460">
    <cfRule type="cellIs" dxfId="151" priority="564" stopIfTrue="1" operator="lessThan">
      <formula>0</formula>
    </cfRule>
  </conditionalFormatting>
  <conditionalFormatting sqref="K438:V445 A445:R445 A446:V448">
    <cfRule type="cellIs" dxfId="150" priority="505" stopIfTrue="1" operator="lessThan">
      <formula>0</formula>
    </cfRule>
  </conditionalFormatting>
  <conditionalFormatting sqref="K450:V451">
    <cfRule type="cellIs" dxfId="149" priority="315" stopIfTrue="1" operator="lessThan">
      <formula>0</formula>
    </cfRule>
    <cfRule type="cellIs" dxfId="148" priority="374" stopIfTrue="1" operator="lessThan">
      <formula>0</formula>
    </cfRule>
  </conditionalFormatting>
  <conditionalFormatting sqref="K462:V463">
    <cfRule type="cellIs" dxfId="147" priority="142" stopIfTrue="1" operator="lessThan">
      <formula>0</formula>
    </cfRule>
  </conditionalFormatting>
  <conditionalFormatting sqref="K474:V474">
    <cfRule type="cellIs" dxfId="146" priority="74" stopIfTrue="1" operator="lessThan">
      <formula>0</formula>
    </cfRule>
  </conditionalFormatting>
  <conditionalFormatting sqref="L306:L413">
    <cfRule type="cellIs" dxfId="145" priority="674" stopIfTrue="1" operator="greaterThan">
      <formula>0</formula>
    </cfRule>
  </conditionalFormatting>
  <conditionalFormatting sqref="L426:L448">
    <cfRule type="cellIs" dxfId="144" priority="551" stopIfTrue="1" operator="greaterThan">
      <formula>0</formula>
    </cfRule>
  </conditionalFormatting>
  <conditionalFormatting sqref="L438:L451">
    <cfRule type="cellIs" dxfId="143" priority="361" stopIfTrue="1" operator="greaterThan">
      <formula>0</formula>
    </cfRule>
  </conditionalFormatting>
  <conditionalFormatting sqref="L450:L451">
    <cfRule type="cellIs" dxfId="142" priority="302" stopIfTrue="1" operator="greaterThan">
      <formula>0</formula>
    </cfRule>
  </conditionalFormatting>
  <conditionalFormatting sqref="L452:L460">
    <cfRule type="cellIs" dxfId="141" priority="582" stopIfTrue="1" operator="greaterThan">
      <formula>0</formula>
    </cfRule>
  </conditionalFormatting>
  <conditionalFormatting sqref="L461:L463">
    <cfRule type="cellIs" dxfId="140" priority="129" stopIfTrue="1" operator="greaterThan">
      <formula>0</formula>
    </cfRule>
  </conditionalFormatting>
  <conditionalFormatting sqref="L464:L472">
    <cfRule type="cellIs" dxfId="139" priority="218" stopIfTrue="1" operator="greaterThan">
      <formula>0</formula>
    </cfRule>
  </conditionalFormatting>
  <conditionalFormatting sqref="L474">
    <cfRule type="cellIs" dxfId="138" priority="61" stopIfTrue="1" operator="greaterThan">
      <formula>0</formula>
    </cfRule>
  </conditionalFormatting>
  <conditionalFormatting sqref="L294:S448">
    <cfRule type="cellIs" dxfId="137" priority="563" stopIfTrue="1" operator="greaterThan">
      <formula>0</formula>
    </cfRule>
  </conditionalFormatting>
  <conditionalFormatting sqref="L437:S448">
    <cfRule type="cellIs" dxfId="136" priority="504" stopIfTrue="1" operator="greaterThan">
      <formula>0</formula>
    </cfRule>
  </conditionalFormatting>
  <conditionalFormatting sqref="L447:S448 N452:S460">
    <cfRule type="cellIs" dxfId="135" priority="576" stopIfTrue="1" operator="greaterThan">
      <formula>0</formula>
    </cfRule>
  </conditionalFormatting>
  <conditionalFormatting sqref="L449:S451">
    <cfRule type="cellIs" dxfId="134" priority="314" stopIfTrue="1" operator="greaterThan">
      <formula>0</formula>
    </cfRule>
  </conditionalFormatting>
  <conditionalFormatting sqref="L449:S461">
    <cfRule type="cellIs" dxfId="133" priority="373" stopIfTrue="1" operator="greaterThan">
      <formula>0</formula>
    </cfRule>
  </conditionalFormatting>
  <conditionalFormatting sqref="L452:S461">
    <cfRule type="cellIs" dxfId="132" priority="594" stopIfTrue="1" operator="greaterThan">
      <formula>0</formula>
    </cfRule>
  </conditionalFormatting>
  <conditionalFormatting sqref="L462:S463">
    <cfRule type="cellIs" dxfId="131" priority="92" stopIfTrue="1" operator="greaterThan">
      <formula>0</formula>
    </cfRule>
  </conditionalFormatting>
  <conditionalFormatting sqref="L462:S472">
    <cfRule type="cellIs" dxfId="130" priority="141" stopIfTrue="1" operator="greaterThan">
      <formula>0</formula>
    </cfRule>
  </conditionalFormatting>
  <conditionalFormatting sqref="L464:S472">
    <cfRule type="cellIs" dxfId="129" priority="185" stopIfTrue="1" operator="greaterThan">
      <formula>0</formula>
    </cfRule>
  </conditionalFormatting>
  <conditionalFormatting sqref="L464:S473">
    <cfRule type="cellIs" dxfId="128" priority="230" stopIfTrue="1" operator="greaterThan">
      <formula>0</formula>
    </cfRule>
  </conditionalFormatting>
  <conditionalFormatting sqref="L473:S473 L475:S478">
    <cfRule type="cellIs" dxfId="127" priority="637" stopIfTrue="1" operator="greaterThan">
      <formula>0</formula>
    </cfRule>
  </conditionalFormatting>
  <conditionalFormatting sqref="L474:S474">
    <cfRule type="cellIs" dxfId="126" priority="25" stopIfTrue="1" operator="greaterThan">
      <formula>0</formula>
    </cfRule>
  </conditionalFormatting>
  <conditionalFormatting sqref="L474:S478">
    <cfRule type="cellIs" dxfId="125" priority="73" stopIfTrue="1" operator="greaterThan">
      <formula>0</formula>
    </cfRule>
  </conditionalFormatting>
  <conditionalFormatting sqref="N438:R448 L452:S460">
    <cfRule type="cellIs" dxfId="124" priority="546" stopIfTrue="1" operator="greaterThan">
      <formula>0</formula>
    </cfRule>
  </conditionalFormatting>
  <conditionalFormatting sqref="N450:R451">
    <cfRule type="cellIs" dxfId="123" priority="356" stopIfTrue="1" operator="greaterThan">
      <formula>0</formula>
    </cfRule>
  </conditionalFormatting>
  <conditionalFormatting sqref="N306:S413">
    <cfRule type="cellIs" dxfId="122" priority="668" stopIfTrue="1" operator="greaterThan">
      <formula>0</formula>
    </cfRule>
  </conditionalFormatting>
  <conditionalFormatting sqref="N426:S437">
    <cfRule type="cellIs" dxfId="121" priority="604" stopIfTrue="1" operator="greaterThan">
      <formula>0</formula>
    </cfRule>
  </conditionalFormatting>
  <conditionalFormatting sqref="N438:S448">
    <cfRule type="cellIs" dxfId="120" priority="486" stopIfTrue="1" operator="greaterThan">
      <formula>0</formula>
    </cfRule>
  </conditionalFormatting>
  <conditionalFormatting sqref="N450:S451">
    <cfRule type="cellIs" dxfId="119" priority="296" stopIfTrue="1" operator="greaterThan">
      <formula>0</formula>
    </cfRule>
  </conditionalFormatting>
  <conditionalFormatting sqref="N461:S463">
    <cfRule type="cellIs" dxfId="118" priority="123" stopIfTrue="1" operator="greaterThan">
      <formula>0</formula>
    </cfRule>
  </conditionalFormatting>
  <conditionalFormatting sqref="N464:S472">
    <cfRule type="cellIs" dxfId="117" priority="212" stopIfTrue="1" operator="greaterThan">
      <formula>0</formula>
    </cfRule>
  </conditionalFormatting>
  <conditionalFormatting sqref="N474:S474">
    <cfRule type="cellIs" dxfId="116" priority="55" stopIfTrue="1" operator="greaterThan">
      <formula>0</formula>
    </cfRule>
  </conditionalFormatting>
  <conditionalFormatting sqref="Q282:AA282 B283:IV283 A1:XFD1 A3:XFD101 A283:A293 A295:A317 A479:XFD65553">
    <cfRule type="cellIs" dxfId="115" priority="976" stopIfTrue="1" operator="lessThan">
      <formula>0</formula>
    </cfRule>
  </conditionalFormatting>
  <conditionalFormatting sqref="Q282:AA282 P283:AA283">
    <cfRule type="cellIs" dxfId="114" priority="974" stopIfTrue="1" operator="greaterThan">
      <formula>0</formula>
    </cfRule>
  </conditionalFormatting>
  <conditionalFormatting sqref="S437:S444">
    <cfRule type="cellIs" dxfId="113" priority="514" stopIfTrue="1" operator="greaterThan">
      <formula>0</formula>
    </cfRule>
  </conditionalFormatting>
  <conditionalFormatting sqref="S445">
    <cfRule type="cellIs" dxfId="112" priority="437" stopIfTrue="1" operator="greaterThan">
      <formula>0</formula>
    </cfRule>
    <cfRule type="cellIs" dxfId="111" priority="439" stopIfTrue="1" operator="lessThan">
      <formula>0</formula>
    </cfRule>
  </conditionalFormatting>
  <conditionalFormatting sqref="S445:S446">
    <cfRule type="cellIs" dxfId="110" priority="431" stopIfTrue="1" operator="lessThan">
      <formula>0</formula>
    </cfRule>
  </conditionalFormatting>
  <conditionalFormatting sqref="S445:S447">
    <cfRule type="cellIs" dxfId="109" priority="429" stopIfTrue="1" operator="greaterThan">
      <formula>0</formula>
    </cfRule>
  </conditionalFormatting>
  <conditionalFormatting sqref="S446">
    <cfRule type="cellIs" dxfId="108" priority="423" stopIfTrue="1" operator="lessThan">
      <formula>0</formula>
    </cfRule>
    <cfRule type="cellIs" dxfId="107" priority="428" stopIfTrue="1" operator="lessThan">
      <formula>0</formula>
    </cfRule>
    <cfRule type="cellIs" dxfId="106" priority="545" stopIfTrue="1" operator="greaterThan">
      <formula>0</formula>
    </cfRule>
    <cfRule type="cellIs" dxfId="105" priority="421" stopIfTrue="1" operator="greaterThan">
      <formula>0</formula>
    </cfRule>
  </conditionalFormatting>
  <conditionalFormatting sqref="S446:S447">
    <cfRule type="cellIs" dxfId="104" priority="425" stopIfTrue="1" operator="greaterThan">
      <formula>0</formula>
    </cfRule>
    <cfRule type="cellIs" dxfId="103" priority="415" stopIfTrue="1" operator="lessThan">
      <formula>0</formula>
    </cfRule>
  </conditionalFormatting>
  <conditionalFormatting sqref="S446:S448">
    <cfRule type="cellIs" dxfId="102" priority="413" stopIfTrue="1" operator="greaterThan">
      <formula>0</formula>
    </cfRule>
  </conditionalFormatting>
  <conditionalFormatting sqref="S447">
    <cfRule type="cellIs" dxfId="101" priority="412" stopIfTrue="1" operator="lessThan">
      <formula>0</formula>
    </cfRule>
    <cfRule type="cellIs" dxfId="100" priority="278" stopIfTrue="1" operator="greaterThan">
      <formula>0</formula>
    </cfRule>
    <cfRule type="cellIs" dxfId="99" priority="277" stopIfTrue="1" operator="lessThan">
      <formula>0</formula>
    </cfRule>
    <cfRule type="cellIs" dxfId="98" priority="272" stopIfTrue="1" operator="lessThan">
      <formula>0</formula>
    </cfRule>
    <cfRule type="cellIs" dxfId="97" priority="270" stopIfTrue="1" operator="greaterThan">
      <formula>0</formula>
    </cfRule>
    <cfRule type="cellIs" dxfId="96" priority="280" stopIfTrue="1" operator="lessThan">
      <formula>0</formula>
    </cfRule>
  </conditionalFormatting>
  <conditionalFormatting sqref="S447:S448">
    <cfRule type="cellIs" dxfId="95" priority="274" stopIfTrue="1" operator="greaterThan">
      <formula>0</formula>
    </cfRule>
    <cfRule type="cellIs" dxfId="94" priority="265" stopIfTrue="1" operator="lessThan">
      <formula>0</formula>
    </cfRule>
    <cfRule type="cellIs" dxfId="93" priority="263" stopIfTrue="1" operator="greaterThan">
      <formula>0</formula>
    </cfRule>
    <cfRule type="cellIs" dxfId="92" priority="282" stopIfTrue="1" operator="greaterThan">
      <formula>0</formula>
    </cfRule>
  </conditionalFormatting>
  <conditionalFormatting sqref="S448">
    <cfRule type="cellIs" dxfId="91" priority="262" stopIfTrue="1" operator="lessThan">
      <formula>0</formula>
    </cfRule>
    <cfRule type="cellIs" dxfId="90" priority="260" stopIfTrue="1" operator="greaterThan">
      <formula>0</formula>
    </cfRule>
  </conditionalFormatting>
  <conditionalFormatting sqref="S449:S460">
    <cfRule type="cellIs" dxfId="89" priority="324" stopIfTrue="1" operator="greaterThan">
      <formula>0</formula>
    </cfRule>
  </conditionalFormatting>
  <conditionalFormatting sqref="U294:V413">
    <cfRule type="cellIs" dxfId="88" priority="666" stopIfTrue="1" operator="greaterThan">
      <formula>0</formula>
    </cfRule>
  </conditionalFormatting>
  <conditionalFormatting sqref="U449:V451">
    <cfRule type="cellIs" dxfId="87" priority="353" stopIfTrue="1" operator="greaterThan">
      <formula>0</formula>
    </cfRule>
    <cfRule type="cellIs" dxfId="86" priority="294" stopIfTrue="1" operator="greaterThan">
      <formula>0</formula>
    </cfRule>
  </conditionalFormatting>
  <conditionalFormatting sqref="U426:Z436">
    <cfRule type="cellIs" dxfId="85" priority="630" stopIfTrue="1" operator="greaterThan">
      <formula>0</formula>
    </cfRule>
  </conditionalFormatting>
  <conditionalFormatting sqref="U438:Z448 U452:AA460">
    <cfRule type="cellIs" dxfId="84" priority="538" stopIfTrue="1" operator="greaterThan">
      <formula>0</formula>
    </cfRule>
  </conditionalFormatting>
  <conditionalFormatting sqref="U414:AA425">
    <cfRule type="cellIs" dxfId="83" priority="843" stopIfTrue="1" operator="greaterThan">
      <formula>0</formula>
    </cfRule>
  </conditionalFormatting>
  <conditionalFormatting sqref="U437:AA437">
    <cfRule type="cellIs" dxfId="82" priority="596" stopIfTrue="1" operator="greaterThan">
      <formula>0</formula>
    </cfRule>
  </conditionalFormatting>
  <conditionalFormatting sqref="U437:AA448">
    <cfRule type="cellIs" dxfId="81" priority="441" stopIfTrue="1" operator="greaterThan">
      <formula>0</formula>
    </cfRule>
  </conditionalFormatting>
  <conditionalFormatting sqref="U447:AA448 U452:AA461">
    <cfRule type="cellIs" dxfId="80" priority="568" stopIfTrue="1" operator="greaterThan">
      <formula>0</formula>
    </cfRule>
  </conditionalFormatting>
  <conditionalFormatting sqref="U452:AA472">
    <cfRule type="cellIs" dxfId="79" priority="116" stopIfTrue="1" operator="greaterThan">
      <formula>0</formula>
    </cfRule>
  </conditionalFormatting>
  <conditionalFormatting sqref="U462:AA463">
    <cfRule type="cellIs" dxfId="78" priority="13" stopIfTrue="1" operator="greaterThan">
      <formula>0</formula>
    </cfRule>
  </conditionalFormatting>
  <conditionalFormatting sqref="U464:AA472">
    <cfRule type="cellIs" dxfId="77" priority="178" stopIfTrue="1" operator="greaterThan">
      <formula>0</formula>
    </cfRule>
  </conditionalFormatting>
  <conditionalFormatting sqref="U464:AA473">
    <cfRule type="cellIs" dxfId="76" priority="204" stopIfTrue="1" operator="greaterThan">
      <formula>0</formula>
    </cfRule>
  </conditionalFormatting>
  <conditionalFormatting sqref="U473:AA473 U475:AA478">
    <cfRule type="cellIs" dxfId="75" priority="629" stopIfTrue="1" operator="greaterThan">
      <formula>0</formula>
    </cfRule>
  </conditionalFormatting>
  <conditionalFormatting sqref="U474:AA474">
    <cfRule type="cellIs" dxfId="74" priority="15" stopIfTrue="1" operator="greaterThan">
      <formula>0</formula>
    </cfRule>
  </conditionalFormatting>
  <conditionalFormatting sqref="U474:AA478">
    <cfRule type="cellIs" dxfId="73" priority="45" stopIfTrue="1" operator="greaterThan">
      <formula>0</formula>
    </cfRule>
  </conditionalFormatting>
  <conditionalFormatting sqref="W284:W413">
    <cfRule type="cellIs" dxfId="72" priority="664" stopIfTrue="1" operator="greaterThan">
      <formula>0</formula>
    </cfRule>
  </conditionalFormatting>
  <conditionalFormatting sqref="W402:W413">
    <cfRule type="cellIs" dxfId="71" priority="665" stopIfTrue="1" operator="lessThan">
      <formula>0</formula>
    </cfRule>
  </conditionalFormatting>
  <conditionalFormatting sqref="W437">
    <cfRule type="cellIs" dxfId="70" priority="601" stopIfTrue="1" operator="lessThan">
      <formula>0</formula>
    </cfRule>
  </conditionalFormatting>
  <conditionalFormatting sqref="W438:W448 W452:IV460">
    <cfRule type="cellIs" dxfId="69" priority="542" stopIfTrue="1" operator="lessThan">
      <formula>0</formula>
    </cfRule>
  </conditionalFormatting>
  <conditionalFormatting sqref="W438:W448">
    <cfRule type="cellIs" dxfId="68" priority="483" stopIfTrue="1" operator="lessThan">
      <formula>0</formula>
    </cfRule>
  </conditionalFormatting>
  <conditionalFormatting sqref="W449">
    <cfRule type="cellIs" dxfId="67" priority="252" stopIfTrue="1" operator="greaterThan">
      <formula>0</formula>
    </cfRule>
    <cfRule type="cellIs" dxfId="66" priority="255" stopIfTrue="1" operator="greaterThan">
      <formula>0</formula>
    </cfRule>
    <cfRule type="cellIs" dxfId="65" priority="254" stopIfTrue="1" operator="lessThan">
      <formula>0</formula>
    </cfRule>
    <cfRule type="cellIs" dxfId="64" priority="257" stopIfTrue="1" operator="lessThan">
      <formula>0</formula>
    </cfRule>
  </conditionalFormatting>
  <conditionalFormatting sqref="W450:W451">
    <cfRule type="cellIs" dxfId="63" priority="352" stopIfTrue="1" operator="lessThan">
      <formula>0</formula>
    </cfRule>
    <cfRule type="cellIs" dxfId="62" priority="293" stopIfTrue="1" operator="lessThan">
      <formula>0</formula>
    </cfRule>
  </conditionalFormatting>
  <conditionalFormatting sqref="W450:Z451">
    <cfRule type="cellIs" dxfId="61" priority="289" stopIfTrue="1" operator="greaterThan">
      <formula>0</formula>
    </cfRule>
    <cfRule type="cellIs" dxfId="60" priority="348" stopIfTrue="1" operator="greaterThan">
      <formula>0</formula>
    </cfRule>
  </conditionalFormatting>
  <conditionalFormatting sqref="W437:IV437">
    <cfRule type="cellIs" dxfId="59" priority="511" stopIfTrue="1" operator="lessThan">
      <formula>0</formula>
    </cfRule>
  </conditionalFormatting>
  <conditionalFormatting sqref="W447:IV448 W452:IV460">
    <cfRule type="cellIs" dxfId="58" priority="573" stopIfTrue="1" operator="lessThan">
      <formula>0</formula>
    </cfRule>
  </conditionalFormatting>
  <conditionalFormatting sqref="W462:IV463">
    <cfRule type="cellIs" dxfId="57" priority="89" stopIfTrue="1" operator="lessThan">
      <formula>0</formula>
    </cfRule>
    <cfRule type="cellIs" dxfId="56" priority="120" stopIfTrue="1" operator="lessThan">
      <formula>0</formula>
    </cfRule>
  </conditionalFormatting>
  <conditionalFormatting sqref="W464:IV472">
    <cfRule type="cellIs" dxfId="55" priority="209" stopIfTrue="1" operator="lessThan">
      <formula>0</formula>
    </cfRule>
    <cfRule type="cellIs" dxfId="54" priority="182" stopIfTrue="1" operator="lessThan">
      <formula>0</formula>
    </cfRule>
  </conditionalFormatting>
  <conditionalFormatting sqref="W474:IV474">
    <cfRule type="cellIs" dxfId="53" priority="17" stopIfTrue="1" operator="lessThan">
      <formula>0</formula>
    </cfRule>
    <cfRule type="cellIs" dxfId="52" priority="47" stopIfTrue="1" operator="lessThan">
      <formula>0</formula>
    </cfRule>
  </conditionalFormatting>
  <conditionalFormatting sqref="X342:Z413">
    <cfRule type="cellIs" dxfId="51" priority="661" stopIfTrue="1" operator="greaterThan">
      <formula>0</formula>
    </cfRule>
  </conditionalFormatting>
  <conditionalFormatting sqref="X426:Z426 X427:IV436">
    <cfRule type="cellIs" dxfId="50" priority="654" stopIfTrue="1" operator="lessThan">
      <formula>0</formula>
    </cfRule>
  </conditionalFormatting>
  <conditionalFormatting sqref="X426:Z426">
    <cfRule type="cellIs" dxfId="49" priority="653" stopIfTrue="1" operator="greaterThan">
      <formula>0</formula>
    </cfRule>
  </conditionalFormatting>
  <conditionalFormatting sqref="X438:Z438 X440:Z447 X446:AA448">
    <cfRule type="cellIs" dxfId="48" priority="561" stopIfTrue="1" operator="greaterThan">
      <formula>0</formula>
    </cfRule>
  </conditionalFormatting>
  <conditionalFormatting sqref="X438:Z438 X440:Z447 X446:IV448 A438:J447 X439:IV439">
    <cfRule type="cellIs" dxfId="47" priority="562" stopIfTrue="1" operator="lessThan">
      <formula>0</formula>
    </cfRule>
  </conditionalFormatting>
  <conditionalFormatting sqref="X438:Z438 X440:Z447 X446:IV448 X439:IV439 A438:J447 AB440:IV447">
    <cfRule type="cellIs" dxfId="46" priority="503" stopIfTrue="1" operator="lessThan">
      <formula>0</formula>
    </cfRule>
  </conditionalFormatting>
  <conditionalFormatting sqref="X438:Z438 X440:Z447">
    <cfRule type="cellIs" dxfId="45" priority="502" stopIfTrue="1" operator="greaterThan">
      <formula>0</formula>
    </cfRule>
  </conditionalFormatting>
  <conditionalFormatting sqref="X449:Z450 X451:AA451">
    <cfRule type="cellIs" dxfId="44" priority="371" stopIfTrue="1" operator="greaterThan">
      <formula>0</formula>
    </cfRule>
  </conditionalFormatting>
  <conditionalFormatting sqref="X449:Z450 X451:IV451 A450:J451">
    <cfRule type="cellIs" dxfId="43" priority="372" stopIfTrue="1" operator="lessThan">
      <formula>0</formula>
    </cfRule>
  </conditionalFormatting>
  <conditionalFormatting sqref="X294:AA341">
    <cfRule type="cellIs" dxfId="42" priority="846" stopIfTrue="1" operator="greaterThan">
      <formula>0</formula>
    </cfRule>
  </conditionalFormatting>
  <conditionalFormatting sqref="X343:AA353">
    <cfRule type="cellIs" dxfId="41" priority="815" stopIfTrue="1" operator="greaterThan">
      <formula>0</formula>
    </cfRule>
  </conditionalFormatting>
  <conditionalFormatting sqref="X355:AA365">
    <cfRule type="cellIs" dxfId="40" priority="784" stopIfTrue="1" operator="greaterThan">
      <formula>0</formula>
    </cfRule>
  </conditionalFormatting>
  <conditionalFormatting sqref="X367:AA377">
    <cfRule type="cellIs" dxfId="39" priority="753" stopIfTrue="1" operator="greaterThan">
      <formula>0</formula>
    </cfRule>
  </conditionalFormatting>
  <conditionalFormatting sqref="X379:AA389">
    <cfRule type="cellIs" dxfId="38" priority="722" stopIfTrue="1" operator="greaterThan">
      <formula>0</formula>
    </cfRule>
  </conditionalFormatting>
  <conditionalFormatting sqref="X391:AA401">
    <cfRule type="cellIs" dxfId="37" priority="691" stopIfTrue="1" operator="greaterThan">
      <formula>0</formula>
    </cfRule>
  </conditionalFormatting>
  <conditionalFormatting sqref="X403:AA413">
    <cfRule type="cellIs" dxfId="36" priority="660" stopIfTrue="1" operator="greaterThan">
      <formula>0</formula>
    </cfRule>
  </conditionalFormatting>
  <conditionalFormatting sqref="X427:AA437">
    <cfRule type="cellIs" dxfId="35" priority="620" stopIfTrue="1" operator="greaterThan">
      <formula>0</formula>
    </cfRule>
  </conditionalFormatting>
  <conditionalFormatting sqref="X439:AA439 AA446">
    <cfRule type="cellIs" dxfId="34" priority="537" stopIfTrue="1" operator="greaterThan">
      <formula>0</formula>
    </cfRule>
  </conditionalFormatting>
  <conditionalFormatting sqref="X446:AA448 X439:AA439">
    <cfRule type="cellIs" dxfId="33" priority="478" stopIfTrue="1" operator="greaterThan">
      <formula>0</formula>
    </cfRule>
  </conditionalFormatting>
  <conditionalFormatting sqref="X449:AA451">
    <cfRule type="cellIs" dxfId="32" priority="5" stopIfTrue="1" operator="greaterThan">
      <formula>0</formula>
    </cfRule>
  </conditionalFormatting>
  <conditionalFormatting sqref="X342:IV342">
    <cfRule type="cellIs" dxfId="31" priority="814" stopIfTrue="1" operator="lessThan">
      <formula>0</formula>
    </cfRule>
  </conditionalFormatting>
  <conditionalFormatting sqref="X343:IV353">
    <cfRule type="cellIs" dxfId="30" priority="840" stopIfTrue="1" operator="lessThan">
      <formula>0</formula>
    </cfRule>
  </conditionalFormatting>
  <conditionalFormatting sqref="X354:IV354">
    <cfRule type="cellIs" dxfId="29" priority="783" stopIfTrue="1" operator="lessThan">
      <formula>0</formula>
    </cfRule>
  </conditionalFormatting>
  <conditionalFormatting sqref="X355:IV365">
    <cfRule type="cellIs" dxfId="28" priority="809" stopIfTrue="1" operator="lessThan">
      <formula>0</formula>
    </cfRule>
  </conditionalFormatting>
  <conditionalFormatting sqref="X366:IV366">
    <cfRule type="cellIs" dxfId="27" priority="752" stopIfTrue="1" operator="lessThan">
      <formula>0</formula>
    </cfRule>
  </conditionalFormatting>
  <conditionalFormatting sqref="X367:IV377">
    <cfRule type="cellIs" dxfId="26" priority="778" stopIfTrue="1" operator="lessThan">
      <formula>0</formula>
    </cfRule>
  </conditionalFormatting>
  <conditionalFormatting sqref="X378:IV378">
    <cfRule type="cellIs" dxfId="25" priority="721" stopIfTrue="1" operator="lessThan">
      <formula>0</formula>
    </cfRule>
  </conditionalFormatting>
  <conditionalFormatting sqref="X379:IV389">
    <cfRule type="cellIs" dxfId="24" priority="747" stopIfTrue="1" operator="lessThan">
      <formula>0</formula>
    </cfRule>
  </conditionalFormatting>
  <conditionalFormatting sqref="X390:IV390">
    <cfRule type="cellIs" dxfId="23" priority="690" stopIfTrue="1" operator="lessThan">
      <formula>0</formula>
    </cfRule>
  </conditionalFormatting>
  <conditionalFormatting sqref="X391:IV401">
    <cfRule type="cellIs" dxfId="22" priority="716" stopIfTrue="1" operator="lessThan">
      <formula>0</formula>
    </cfRule>
  </conditionalFormatting>
  <conditionalFormatting sqref="X437:IV437">
    <cfRule type="cellIs" dxfId="21" priority="621" stopIfTrue="1" operator="lessThan">
      <formula>0</formula>
    </cfRule>
  </conditionalFormatting>
  <conditionalFormatting sqref="AA342">
    <cfRule type="cellIs" dxfId="20" priority="812" stopIfTrue="1" operator="greaterThan">
      <formula>0</formula>
    </cfRule>
  </conditionalFormatting>
  <conditionalFormatting sqref="AA354">
    <cfRule type="cellIs" dxfId="19" priority="781" stopIfTrue="1" operator="greaterThan">
      <formula>0</formula>
    </cfRule>
  </conditionalFormatting>
  <conditionalFormatting sqref="AA366">
    <cfRule type="cellIs" dxfId="18" priority="750" stopIfTrue="1" operator="greaterThan">
      <formula>0</formula>
    </cfRule>
  </conditionalFormatting>
  <conditionalFormatting sqref="AA378">
    <cfRule type="cellIs" dxfId="17" priority="719" stopIfTrue="1" operator="greaterThan">
      <formula>0</formula>
    </cfRule>
  </conditionalFormatting>
  <conditionalFormatting sqref="AA390">
    <cfRule type="cellIs" dxfId="16" priority="688" stopIfTrue="1" operator="greaterThan">
      <formula>0</formula>
    </cfRule>
  </conditionalFormatting>
  <conditionalFormatting sqref="AA402">
    <cfRule type="cellIs" dxfId="15" priority="657" stopIfTrue="1" operator="greaterThan">
      <formula>0</formula>
    </cfRule>
  </conditionalFormatting>
  <conditionalFormatting sqref="AA426:AA427">
    <cfRule type="cellIs" dxfId="14" priority="626" stopIfTrue="1" operator="greaterThan">
      <formula>0</formula>
    </cfRule>
  </conditionalFormatting>
  <conditionalFormatting sqref="AA437:AA439">
    <cfRule type="cellIs" dxfId="13" priority="506" stopIfTrue="1" operator="greaterThan">
      <formula>0</formula>
    </cfRule>
  </conditionalFormatting>
  <conditionalFormatting sqref="AA440:AA448">
    <cfRule type="cellIs" dxfId="12" priority="443" stopIfTrue="1" operator="lessThan">
      <formula>0</formula>
    </cfRule>
  </conditionalFormatting>
  <conditionalFormatting sqref="AA447:AA449">
    <cfRule type="cellIs" dxfId="11" priority="10" stopIfTrue="1" operator="greaterThan">
      <formula>0</formula>
    </cfRule>
  </conditionalFormatting>
  <conditionalFormatting sqref="AA449">
    <cfRule type="cellIs" dxfId="10" priority="12" stopIfTrue="1" operator="lessThan">
      <formula>0</formula>
    </cfRule>
  </conditionalFormatting>
  <conditionalFormatting sqref="AA450">
    <cfRule type="cellIs" dxfId="9" priority="4" stopIfTrue="1" operator="lessThan">
      <formula>0</formula>
    </cfRule>
    <cfRule type="cellIs" dxfId="8" priority="1" stopIfTrue="1" operator="greaterThan">
      <formula>0</formula>
    </cfRule>
  </conditionalFormatting>
  <conditionalFormatting sqref="AA451:AA460">
    <cfRule type="cellIs" dxfId="7" priority="344" stopIfTrue="1" operator="greaterThan">
      <formula>0</formula>
    </cfRule>
  </conditionalFormatting>
  <conditionalFormatting sqref="AA463">
    <cfRule type="cellIs" dxfId="6" priority="112" stopIfTrue="1" operator="greaterThan">
      <formula>0</formula>
    </cfRule>
  </conditionalFormatting>
  <conditionalFormatting sqref="AA402:IV402">
    <cfRule type="cellIs" dxfId="5" priority="659" stopIfTrue="1" operator="lessThan">
      <formula>0</formula>
    </cfRule>
  </conditionalFormatting>
  <conditionalFormatting sqref="AA426:IV426">
    <cfRule type="cellIs" dxfId="4" priority="628" stopIfTrue="1" operator="lessThan">
      <formula>0</formula>
    </cfRule>
  </conditionalFormatting>
  <conditionalFormatting sqref="AA438:IV438">
    <cfRule type="cellIs" dxfId="3" priority="477" stopIfTrue="1" operator="lessThan">
      <formula>0</formula>
    </cfRule>
    <cfRule type="cellIs" dxfId="2" priority="536" stopIfTrue="1" operator="lessThan">
      <formula>0</formula>
    </cfRule>
  </conditionalFormatting>
  <conditionalFormatting sqref="AA449:IV450">
    <cfRule type="cellIs" dxfId="1" priority="6" stopIfTrue="1" operator="lessThan">
      <formula>0</formula>
    </cfRule>
  </conditionalFormatting>
  <pageMargins left="0.75" right="0.75" top="1" bottom="1" header="0.51200000000000001" footer="0.51200000000000001"/>
  <pageSetup paperSize="9" orientation="portrait" r:id="rId3"/>
  <headerFooter alignWithMargins="0"/>
  <legacyDrawing r:id="rId4"/>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
    <pageSetUpPr fitToPage="1"/>
  </sheetPr>
  <dimension ref="A1:W586"/>
  <sheetViews>
    <sheetView workbookViewId="0">
      <pane xSplit="3" ySplit="4" topLeftCell="D99" activePane="bottomRight" state="frozen"/>
      <selection activeCell="K21" sqref="K21"/>
      <selection pane="topRight" activeCell="K21" sqref="K21"/>
      <selection pane="bottomLeft" activeCell="K21" sqref="K21"/>
      <selection pane="bottomRight" activeCell="K21" sqref="K21"/>
    </sheetView>
  </sheetViews>
  <sheetFormatPr defaultColWidth="7.625" defaultRowHeight="13.5"/>
  <cols>
    <col min="1" max="1" width="4.625" style="113" bestFit="1" customWidth="1"/>
    <col min="2" max="2" width="4.375" style="103" customWidth="1"/>
    <col min="3" max="3" width="3.625" style="33" bestFit="1" customWidth="1"/>
    <col min="4" max="6" width="8.5" style="34" bestFit="1" customWidth="1"/>
    <col min="7" max="9" width="8.375" style="34" customWidth="1"/>
    <col min="10" max="12" width="12.5" style="34" customWidth="1"/>
    <col min="13" max="13" width="7.625" style="187" customWidth="1"/>
    <col min="14" max="17" width="7.625" style="34" customWidth="1"/>
    <col min="18" max="19" width="1.625" style="34" customWidth="1"/>
    <col min="20" max="23" width="7.625" style="34"/>
  </cols>
  <sheetData>
    <row r="1" spans="1:23" ht="15" customHeight="1" thickBot="1">
      <c r="D1" s="34" t="s">
        <v>718</v>
      </c>
      <c r="G1" s="1120" t="s">
        <v>797</v>
      </c>
    </row>
    <row r="2" spans="1:23" ht="30" customHeight="1">
      <c r="A2" s="118"/>
      <c r="B2" s="1776" t="s">
        <v>272</v>
      </c>
      <c r="C2" s="1777"/>
      <c r="D2" s="1769" t="s">
        <v>273</v>
      </c>
      <c r="E2" s="1770"/>
      <c r="F2" s="1771"/>
      <c r="G2" s="1772" t="s">
        <v>274</v>
      </c>
      <c r="H2" s="1770"/>
      <c r="I2" s="1771"/>
      <c r="J2" s="1773" t="s">
        <v>303</v>
      </c>
      <c r="K2" s="1774"/>
      <c r="L2" s="1775"/>
      <c r="M2" s="118"/>
      <c r="N2" s="105" t="s">
        <v>275</v>
      </c>
      <c r="O2" s="106" t="s">
        <v>276</v>
      </c>
      <c r="P2" s="106" t="s">
        <v>275</v>
      </c>
      <c r="Q2" s="107" t="s">
        <v>276</v>
      </c>
      <c r="R2" s="35"/>
      <c r="S2" s="35"/>
      <c r="T2" s="35"/>
      <c r="U2" s="35"/>
      <c r="V2" s="35"/>
      <c r="W2" s="35"/>
    </row>
    <row r="3" spans="1:23" ht="30" customHeight="1">
      <c r="A3" s="119"/>
      <c r="B3" s="1778"/>
      <c r="C3" s="1779"/>
      <c r="D3" s="36" t="s">
        <v>269</v>
      </c>
      <c r="E3" s="37" t="s">
        <v>270</v>
      </c>
      <c r="F3" s="36" t="s">
        <v>271</v>
      </c>
      <c r="G3" s="38" t="s">
        <v>269</v>
      </c>
      <c r="H3" s="37" t="s">
        <v>270</v>
      </c>
      <c r="I3" s="39" t="s">
        <v>271</v>
      </c>
      <c r="J3" s="36" t="s">
        <v>269</v>
      </c>
      <c r="K3" s="37" t="s">
        <v>270</v>
      </c>
      <c r="L3" s="40" t="s">
        <v>271</v>
      </c>
      <c r="M3" s="119"/>
      <c r="N3" s="108" t="s">
        <v>277</v>
      </c>
      <c r="O3" s="109" t="s">
        <v>277</v>
      </c>
      <c r="P3" s="109" t="s">
        <v>278</v>
      </c>
      <c r="Q3" s="110" t="s">
        <v>278</v>
      </c>
      <c r="R3" s="33"/>
      <c r="S3" s="33"/>
      <c r="T3" s="33"/>
      <c r="U3" s="33"/>
      <c r="V3" s="33"/>
      <c r="W3" s="33"/>
    </row>
    <row r="4" spans="1:23" ht="15" customHeight="1">
      <c r="A4" s="121"/>
      <c r="B4" s="41"/>
      <c r="C4" s="42"/>
      <c r="D4" s="41"/>
      <c r="E4" s="43"/>
      <c r="F4" s="41"/>
      <c r="G4" s="44"/>
      <c r="H4" s="43"/>
      <c r="I4" s="45"/>
      <c r="J4" s="41"/>
      <c r="K4" s="43"/>
      <c r="L4" s="46"/>
      <c r="M4" s="121"/>
      <c r="N4" s="122"/>
      <c r="O4" s="123"/>
      <c r="P4" s="123"/>
      <c r="Q4" s="124"/>
      <c r="R4" s="33"/>
      <c r="S4" s="33"/>
      <c r="T4" s="33"/>
      <c r="U4" s="33"/>
      <c r="V4" s="33"/>
      <c r="W4" s="33"/>
    </row>
    <row r="5" spans="1:23" ht="15" customHeight="1">
      <c r="A5" s="125"/>
      <c r="B5" s="126" t="s">
        <v>703</v>
      </c>
      <c r="C5" s="173">
        <v>1</v>
      </c>
      <c r="D5" s="128">
        <v>70</v>
      </c>
      <c r="E5" s="127">
        <v>70</v>
      </c>
      <c r="F5" s="128">
        <v>75</v>
      </c>
      <c r="G5" s="129">
        <v>0</v>
      </c>
      <c r="H5" s="130">
        <v>0</v>
      </c>
      <c r="I5" s="131">
        <v>0</v>
      </c>
      <c r="J5" s="632">
        <f>IF($D5="",NA,$G5+2000)</f>
        <v>2000</v>
      </c>
      <c r="K5" s="130">
        <f>IF(E5="",NA,H5)</f>
        <v>0</v>
      </c>
      <c r="L5" s="633">
        <f>IF($F5="",NA,$I5-500)</f>
        <v>-500</v>
      </c>
      <c r="M5" s="125">
        <v>1979</v>
      </c>
      <c r="N5" s="133">
        <v>50</v>
      </c>
      <c r="O5" s="134"/>
      <c r="P5" s="134">
        <v>0</v>
      </c>
      <c r="Q5" s="135"/>
    </row>
    <row r="6" spans="1:23" ht="15" customHeight="1">
      <c r="A6" s="120"/>
      <c r="B6" s="114"/>
      <c r="C6" s="174">
        <v>2</v>
      </c>
      <c r="D6" s="51">
        <v>70</v>
      </c>
      <c r="E6" s="50">
        <v>60</v>
      </c>
      <c r="F6" s="51">
        <v>75</v>
      </c>
      <c r="G6" s="52">
        <f t="shared" ref="G6:G69" si="0">D6-50+G5</f>
        <v>20</v>
      </c>
      <c r="H6" s="53">
        <f t="shared" ref="H6:H69" si="1">E6-50+H5</f>
        <v>10</v>
      </c>
      <c r="I6" s="54">
        <f t="shared" ref="I6:I69" si="2">F6-50+I5</f>
        <v>25</v>
      </c>
      <c r="J6" s="634">
        <f t="shared" ref="J6:J69" si="3">IF($D6="",NA,$G6+2000)</f>
        <v>2020</v>
      </c>
      <c r="K6" s="53">
        <f t="shared" ref="K6:K69" si="4">IF(E6="",NA,H6)</f>
        <v>10</v>
      </c>
      <c r="L6" s="58">
        <f t="shared" ref="L6:L69" si="5">IF($F6="",NA,$I6-500)</f>
        <v>-475</v>
      </c>
      <c r="M6" s="120"/>
      <c r="N6" s="111">
        <v>50</v>
      </c>
      <c r="O6" s="101"/>
      <c r="P6" s="101">
        <v>0</v>
      </c>
      <c r="Q6" s="102"/>
      <c r="R6" s="56"/>
      <c r="S6" s="56"/>
      <c r="T6" s="56"/>
      <c r="U6" s="56"/>
      <c r="V6" s="56"/>
      <c r="W6" s="56"/>
    </row>
    <row r="7" spans="1:23" ht="15" customHeight="1">
      <c r="A7" s="120"/>
      <c r="B7" s="114"/>
      <c r="C7" s="174">
        <v>3</v>
      </c>
      <c r="D7" s="51">
        <v>40</v>
      </c>
      <c r="E7" s="50">
        <v>50</v>
      </c>
      <c r="F7" s="51">
        <v>50</v>
      </c>
      <c r="G7" s="52">
        <f t="shared" si="0"/>
        <v>10</v>
      </c>
      <c r="H7" s="53">
        <f t="shared" si="1"/>
        <v>10</v>
      </c>
      <c r="I7" s="54">
        <f t="shared" si="2"/>
        <v>25</v>
      </c>
      <c r="J7" s="634">
        <f t="shared" si="3"/>
        <v>2010</v>
      </c>
      <c r="K7" s="53">
        <f t="shared" si="4"/>
        <v>10</v>
      </c>
      <c r="L7" s="58">
        <f t="shared" si="5"/>
        <v>-475</v>
      </c>
      <c r="M7" s="120"/>
      <c r="N7" s="111">
        <v>50</v>
      </c>
      <c r="O7" s="101"/>
      <c r="P7" s="101">
        <v>0</v>
      </c>
      <c r="Q7" s="102"/>
      <c r="R7" s="56"/>
      <c r="S7" s="56"/>
      <c r="T7" s="56"/>
      <c r="U7" s="56"/>
      <c r="V7" s="56"/>
      <c r="W7" s="56"/>
    </row>
    <row r="8" spans="1:23" ht="15" customHeight="1">
      <c r="A8" s="120"/>
      <c r="B8" s="114"/>
      <c r="C8" s="174">
        <v>4</v>
      </c>
      <c r="D8" s="51">
        <v>40</v>
      </c>
      <c r="E8" s="50">
        <v>60</v>
      </c>
      <c r="F8" s="51">
        <v>62</v>
      </c>
      <c r="G8" s="52">
        <f t="shared" si="0"/>
        <v>0</v>
      </c>
      <c r="H8" s="53">
        <f t="shared" si="1"/>
        <v>20</v>
      </c>
      <c r="I8" s="54">
        <f t="shared" si="2"/>
        <v>37</v>
      </c>
      <c r="J8" s="634">
        <f t="shared" si="3"/>
        <v>2000</v>
      </c>
      <c r="K8" s="53">
        <f t="shared" si="4"/>
        <v>20</v>
      </c>
      <c r="L8" s="58">
        <f t="shared" si="5"/>
        <v>-463</v>
      </c>
      <c r="M8" s="120"/>
      <c r="N8" s="111">
        <v>50</v>
      </c>
      <c r="O8" s="101"/>
      <c r="P8" s="101">
        <v>0</v>
      </c>
      <c r="Q8" s="102"/>
      <c r="R8" s="56"/>
      <c r="S8" s="56"/>
      <c r="T8" s="56"/>
      <c r="U8" s="56"/>
      <c r="V8" s="56"/>
      <c r="W8" s="56"/>
    </row>
    <row r="9" spans="1:23" ht="15" customHeight="1">
      <c r="A9" s="120"/>
      <c r="B9" s="114"/>
      <c r="C9" s="174">
        <v>5</v>
      </c>
      <c r="D9" s="51">
        <v>40</v>
      </c>
      <c r="E9" s="50">
        <v>60</v>
      </c>
      <c r="F9" s="51">
        <v>25</v>
      </c>
      <c r="G9" s="52">
        <f t="shared" si="0"/>
        <v>-10</v>
      </c>
      <c r="H9" s="53">
        <f t="shared" si="1"/>
        <v>30</v>
      </c>
      <c r="I9" s="1248">
        <f>F9-50+I8</f>
        <v>12</v>
      </c>
      <c r="J9" s="634">
        <f t="shared" si="3"/>
        <v>1990</v>
      </c>
      <c r="K9" s="53">
        <f t="shared" si="4"/>
        <v>30</v>
      </c>
      <c r="L9" s="58">
        <f t="shared" si="5"/>
        <v>-488</v>
      </c>
      <c r="M9" s="120"/>
      <c r="N9" s="111">
        <v>50</v>
      </c>
      <c r="O9" s="101"/>
      <c r="P9" s="101">
        <v>0</v>
      </c>
      <c r="Q9" s="102"/>
      <c r="R9" s="56"/>
      <c r="S9" s="56"/>
      <c r="T9" s="56"/>
      <c r="U9" s="56"/>
      <c r="V9" s="56"/>
      <c r="W9" s="56"/>
    </row>
    <row r="10" spans="1:23" ht="15" customHeight="1">
      <c r="A10" s="120"/>
      <c r="B10" s="114"/>
      <c r="C10" s="174">
        <v>6</v>
      </c>
      <c r="D10" s="51">
        <v>20</v>
      </c>
      <c r="E10" s="50">
        <v>60</v>
      </c>
      <c r="F10" s="51">
        <v>50</v>
      </c>
      <c r="G10" s="52">
        <f t="shared" si="0"/>
        <v>-40</v>
      </c>
      <c r="H10" s="53">
        <f t="shared" si="1"/>
        <v>40</v>
      </c>
      <c r="I10" s="54">
        <f t="shared" si="2"/>
        <v>12</v>
      </c>
      <c r="J10" s="634">
        <f t="shared" si="3"/>
        <v>1960</v>
      </c>
      <c r="K10" s="53">
        <f t="shared" si="4"/>
        <v>40</v>
      </c>
      <c r="L10" s="58">
        <f t="shared" si="5"/>
        <v>-488</v>
      </c>
      <c r="M10" s="120"/>
      <c r="N10" s="111">
        <v>50</v>
      </c>
      <c r="O10" s="101"/>
      <c r="P10" s="101">
        <v>0</v>
      </c>
      <c r="Q10" s="102"/>
      <c r="R10" s="56"/>
      <c r="S10" s="56"/>
      <c r="T10" s="56"/>
      <c r="U10" s="56"/>
      <c r="V10" s="56"/>
      <c r="W10" s="56"/>
    </row>
    <row r="11" spans="1:23" ht="15" customHeight="1">
      <c r="A11" s="120"/>
      <c r="B11" s="114"/>
      <c r="C11" s="174">
        <v>7</v>
      </c>
      <c r="D11" s="51">
        <v>35</v>
      </c>
      <c r="E11" s="50">
        <v>90</v>
      </c>
      <c r="F11" s="51">
        <v>63</v>
      </c>
      <c r="G11" s="52">
        <f t="shared" si="0"/>
        <v>-55</v>
      </c>
      <c r="H11" s="53">
        <f t="shared" si="1"/>
        <v>80</v>
      </c>
      <c r="I11" s="54">
        <f t="shared" si="2"/>
        <v>25</v>
      </c>
      <c r="J11" s="634">
        <f t="shared" si="3"/>
        <v>1945</v>
      </c>
      <c r="K11" s="53">
        <f t="shared" si="4"/>
        <v>80</v>
      </c>
      <c r="L11" s="58">
        <f t="shared" si="5"/>
        <v>-475</v>
      </c>
      <c r="M11" s="120"/>
      <c r="N11" s="111">
        <v>50</v>
      </c>
      <c r="O11" s="101"/>
      <c r="P11" s="101">
        <v>0</v>
      </c>
      <c r="Q11" s="102"/>
      <c r="R11" s="56"/>
      <c r="S11" s="56"/>
      <c r="T11" s="56"/>
      <c r="U11" s="56"/>
      <c r="V11" s="56"/>
      <c r="W11" s="56"/>
    </row>
    <row r="12" spans="1:23" ht="15" customHeight="1">
      <c r="A12" s="120"/>
      <c r="B12" s="114"/>
      <c r="C12" s="174">
        <v>8</v>
      </c>
      <c r="D12" s="51">
        <v>50</v>
      </c>
      <c r="E12" s="50">
        <v>80</v>
      </c>
      <c r="F12" s="51">
        <v>62</v>
      </c>
      <c r="G12" s="52">
        <f t="shared" si="0"/>
        <v>-55</v>
      </c>
      <c r="H12" s="53">
        <f t="shared" si="1"/>
        <v>110</v>
      </c>
      <c r="I12" s="54">
        <f t="shared" si="2"/>
        <v>37</v>
      </c>
      <c r="J12" s="634">
        <f t="shared" si="3"/>
        <v>1945</v>
      </c>
      <c r="K12" s="53">
        <f t="shared" si="4"/>
        <v>110</v>
      </c>
      <c r="L12" s="58">
        <f t="shared" si="5"/>
        <v>-463</v>
      </c>
      <c r="M12" s="120"/>
      <c r="N12" s="111">
        <v>50</v>
      </c>
      <c r="O12" s="101"/>
      <c r="P12" s="101">
        <v>0</v>
      </c>
      <c r="Q12" s="102"/>
      <c r="R12" s="56"/>
      <c r="S12" s="56"/>
      <c r="T12" s="56"/>
      <c r="U12" s="56"/>
      <c r="V12" s="56"/>
      <c r="W12" s="56"/>
    </row>
    <row r="13" spans="1:23" ht="15" customHeight="1">
      <c r="A13" s="120"/>
      <c r="B13" s="114"/>
      <c r="C13" s="174">
        <v>9</v>
      </c>
      <c r="D13" s="51">
        <v>55</v>
      </c>
      <c r="E13" s="50">
        <v>90</v>
      </c>
      <c r="F13" s="51">
        <v>63</v>
      </c>
      <c r="G13" s="52">
        <f t="shared" si="0"/>
        <v>-50</v>
      </c>
      <c r="H13" s="53">
        <f t="shared" si="1"/>
        <v>150</v>
      </c>
      <c r="I13" s="54">
        <f t="shared" si="2"/>
        <v>50</v>
      </c>
      <c r="J13" s="634">
        <f t="shared" si="3"/>
        <v>1950</v>
      </c>
      <c r="K13" s="53">
        <f t="shared" si="4"/>
        <v>150</v>
      </c>
      <c r="L13" s="58">
        <f t="shared" si="5"/>
        <v>-450</v>
      </c>
      <c r="M13" s="120"/>
      <c r="N13" s="111">
        <v>50</v>
      </c>
      <c r="O13" s="101"/>
      <c r="P13" s="101">
        <v>0</v>
      </c>
      <c r="Q13" s="102"/>
      <c r="R13" s="56"/>
      <c r="S13" s="56"/>
      <c r="T13" s="56"/>
      <c r="U13" s="56"/>
      <c r="V13" s="56"/>
      <c r="W13" s="56"/>
    </row>
    <row r="14" spans="1:23" ht="15" customHeight="1">
      <c r="A14" s="120"/>
      <c r="B14" s="114"/>
      <c r="C14" s="174">
        <v>10</v>
      </c>
      <c r="D14" s="51">
        <v>55</v>
      </c>
      <c r="E14" s="50">
        <v>60</v>
      </c>
      <c r="F14" s="51">
        <v>100</v>
      </c>
      <c r="G14" s="52">
        <f t="shared" si="0"/>
        <v>-45</v>
      </c>
      <c r="H14" s="53">
        <f t="shared" si="1"/>
        <v>160</v>
      </c>
      <c r="I14" s="54">
        <f t="shared" si="2"/>
        <v>100</v>
      </c>
      <c r="J14" s="634">
        <f t="shared" si="3"/>
        <v>1955</v>
      </c>
      <c r="K14" s="53">
        <f t="shared" si="4"/>
        <v>160</v>
      </c>
      <c r="L14" s="58">
        <f t="shared" si="5"/>
        <v>-400</v>
      </c>
      <c r="M14" s="120"/>
      <c r="N14" s="111">
        <v>50</v>
      </c>
      <c r="O14" s="101">
        <v>99</v>
      </c>
      <c r="P14" s="101">
        <v>0</v>
      </c>
      <c r="Q14" s="112">
        <v>2980</v>
      </c>
      <c r="R14" s="56"/>
      <c r="S14" s="56"/>
      <c r="T14" s="56"/>
      <c r="U14" s="56"/>
      <c r="V14" s="56"/>
      <c r="W14" s="56"/>
    </row>
    <row r="15" spans="1:23" ht="15" customHeight="1">
      <c r="A15" s="120"/>
      <c r="B15" s="114"/>
      <c r="C15" s="174">
        <v>11</v>
      </c>
      <c r="D15" s="51">
        <v>40</v>
      </c>
      <c r="E15" s="50">
        <v>50</v>
      </c>
      <c r="F15" s="51">
        <v>75</v>
      </c>
      <c r="G15" s="52">
        <f t="shared" si="0"/>
        <v>-55</v>
      </c>
      <c r="H15" s="53">
        <f t="shared" si="1"/>
        <v>160</v>
      </c>
      <c r="I15" s="54">
        <f t="shared" si="2"/>
        <v>125</v>
      </c>
      <c r="J15" s="634">
        <f t="shared" si="3"/>
        <v>1945</v>
      </c>
      <c r="K15" s="57">
        <f t="shared" si="4"/>
        <v>160</v>
      </c>
      <c r="L15" s="58">
        <f t="shared" si="5"/>
        <v>-375</v>
      </c>
      <c r="M15" s="120"/>
      <c r="N15" s="111">
        <v>50</v>
      </c>
      <c r="O15" s="101">
        <v>99</v>
      </c>
      <c r="P15" s="101">
        <v>0</v>
      </c>
      <c r="Q15" s="112">
        <v>2980</v>
      </c>
      <c r="R15" s="56"/>
      <c r="S15" s="56"/>
      <c r="T15" s="56"/>
      <c r="U15" s="56"/>
      <c r="V15" s="56"/>
      <c r="W15" s="56"/>
    </row>
    <row r="16" spans="1:23" ht="15" customHeight="1">
      <c r="A16" s="132"/>
      <c r="B16" s="115"/>
      <c r="C16" s="175">
        <v>12</v>
      </c>
      <c r="D16" s="59">
        <v>50</v>
      </c>
      <c r="E16" s="60">
        <v>50</v>
      </c>
      <c r="F16" s="59">
        <v>62</v>
      </c>
      <c r="G16" s="61">
        <f t="shared" si="0"/>
        <v>-55</v>
      </c>
      <c r="H16" s="62">
        <f t="shared" si="1"/>
        <v>160</v>
      </c>
      <c r="I16" s="63">
        <f t="shared" si="2"/>
        <v>137</v>
      </c>
      <c r="J16" s="635">
        <f t="shared" si="3"/>
        <v>1945</v>
      </c>
      <c r="K16" s="64">
        <f t="shared" si="4"/>
        <v>160</v>
      </c>
      <c r="L16" s="636">
        <f t="shared" si="5"/>
        <v>-363</v>
      </c>
      <c r="M16" s="132"/>
      <c r="N16" s="136">
        <v>50</v>
      </c>
      <c r="O16" s="137">
        <v>99</v>
      </c>
      <c r="P16" s="137">
        <v>0</v>
      </c>
      <c r="Q16" s="138">
        <v>2980</v>
      </c>
      <c r="R16" s="65"/>
      <c r="S16" s="65"/>
      <c r="T16" s="65"/>
      <c r="U16" s="65"/>
      <c r="V16" s="65"/>
      <c r="W16" s="65"/>
    </row>
    <row r="17" spans="1:23" ht="15" customHeight="1">
      <c r="A17" s="120"/>
      <c r="B17" s="103">
        <v>55</v>
      </c>
      <c r="C17" s="176">
        <v>1</v>
      </c>
      <c r="D17" s="66">
        <v>45</v>
      </c>
      <c r="E17" s="67">
        <v>40</v>
      </c>
      <c r="F17" s="66">
        <v>88</v>
      </c>
      <c r="G17" s="47">
        <f t="shared" si="0"/>
        <v>-60</v>
      </c>
      <c r="H17" s="48">
        <f t="shared" si="1"/>
        <v>150</v>
      </c>
      <c r="I17" s="49">
        <f t="shared" si="2"/>
        <v>175</v>
      </c>
      <c r="J17" s="630">
        <f t="shared" si="3"/>
        <v>1940</v>
      </c>
      <c r="K17" s="68">
        <f t="shared" si="4"/>
        <v>150</v>
      </c>
      <c r="L17" s="631">
        <f t="shared" si="5"/>
        <v>-325</v>
      </c>
      <c r="M17" s="120">
        <v>1980</v>
      </c>
      <c r="N17" s="111">
        <v>50</v>
      </c>
      <c r="O17" s="101">
        <v>99</v>
      </c>
      <c r="P17" s="101">
        <v>0</v>
      </c>
      <c r="Q17" s="112">
        <v>2980</v>
      </c>
    </row>
    <row r="18" spans="1:23" ht="15" customHeight="1">
      <c r="A18" s="120"/>
      <c r="B18" s="114"/>
      <c r="C18" s="174">
        <v>2</v>
      </c>
      <c r="D18" s="51">
        <v>30</v>
      </c>
      <c r="E18" s="50">
        <v>10</v>
      </c>
      <c r="F18" s="51">
        <v>81</v>
      </c>
      <c r="G18" s="52">
        <f t="shared" si="0"/>
        <v>-80</v>
      </c>
      <c r="H18" s="53">
        <f t="shared" si="1"/>
        <v>110</v>
      </c>
      <c r="I18" s="54">
        <f t="shared" si="2"/>
        <v>206</v>
      </c>
      <c r="J18" s="55">
        <f t="shared" si="3"/>
        <v>1920</v>
      </c>
      <c r="K18" s="57">
        <f t="shared" si="4"/>
        <v>110</v>
      </c>
      <c r="L18" s="58">
        <f t="shared" si="5"/>
        <v>-294</v>
      </c>
      <c r="M18" s="120"/>
      <c r="N18" s="111">
        <v>50</v>
      </c>
      <c r="O18" s="101">
        <v>99</v>
      </c>
      <c r="P18" s="101">
        <v>0</v>
      </c>
      <c r="Q18" s="112">
        <v>2980</v>
      </c>
      <c r="R18" s="56"/>
      <c r="S18" s="56"/>
      <c r="T18" s="56"/>
      <c r="U18" s="56"/>
      <c r="V18" s="56"/>
      <c r="W18" s="56"/>
    </row>
    <row r="19" spans="1:23" ht="15" customHeight="1">
      <c r="A19" s="120"/>
      <c r="B19" s="114"/>
      <c r="C19" s="174">
        <v>3</v>
      </c>
      <c r="D19" s="51">
        <v>35</v>
      </c>
      <c r="E19" s="50">
        <v>10</v>
      </c>
      <c r="F19" s="51">
        <v>69</v>
      </c>
      <c r="G19" s="52">
        <f t="shared" si="0"/>
        <v>-95</v>
      </c>
      <c r="H19" s="53">
        <f t="shared" si="1"/>
        <v>70</v>
      </c>
      <c r="I19" s="54">
        <f t="shared" si="2"/>
        <v>225</v>
      </c>
      <c r="J19" s="55">
        <f t="shared" si="3"/>
        <v>1905</v>
      </c>
      <c r="K19" s="57">
        <f t="shared" si="4"/>
        <v>70</v>
      </c>
      <c r="L19" s="58">
        <f t="shared" si="5"/>
        <v>-275</v>
      </c>
      <c r="M19" s="120"/>
      <c r="N19" s="111">
        <v>50</v>
      </c>
      <c r="O19" s="101">
        <v>99</v>
      </c>
      <c r="P19" s="101">
        <v>0</v>
      </c>
      <c r="Q19" s="112">
        <v>2980</v>
      </c>
      <c r="R19" s="56"/>
      <c r="S19" s="56"/>
      <c r="T19" s="56"/>
      <c r="U19" s="56"/>
      <c r="V19" s="56"/>
      <c r="W19" s="56"/>
    </row>
    <row r="20" spans="1:23" ht="15" customHeight="1">
      <c r="A20" s="120"/>
      <c r="B20" s="114"/>
      <c r="C20" s="174">
        <v>4</v>
      </c>
      <c r="D20" s="51">
        <v>55</v>
      </c>
      <c r="E20" s="50">
        <v>20</v>
      </c>
      <c r="F20" s="51">
        <v>50</v>
      </c>
      <c r="G20" s="52">
        <f t="shared" si="0"/>
        <v>-90</v>
      </c>
      <c r="H20" s="53">
        <f t="shared" si="1"/>
        <v>40</v>
      </c>
      <c r="I20" s="54">
        <f t="shared" si="2"/>
        <v>225</v>
      </c>
      <c r="J20" s="55">
        <f t="shared" si="3"/>
        <v>1910</v>
      </c>
      <c r="K20" s="57">
        <f t="shared" si="4"/>
        <v>40</v>
      </c>
      <c r="L20" s="58">
        <f t="shared" si="5"/>
        <v>-275</v>
      </c>
      <c r="M20" s="120"/>
      <c r="N20" s="111">
        <v>50</v>
      </c>
      <c r="O20" s="101">
        <v>99</v>
      </c>
      <c r="P20" s="101">
        <v>0</v>
      </c>
      <c r="Q20" s="112">
        <v>2980</v>
      </c>
      <c r="R20" s="56"/>
      <c r="S20" s="56"/>
      <c r="T20" s="56"/>
      <c r="U20" s="56"/>
      <c r="V20" s="56"/>
      <c r="W20" s="56"/>
    </row>
    <row r="21" spans="1:23" ht="15" customHeight="1">
      <c r="A21" s="120"/>
      <c r="B21" s="114"/>
      <c r="C21" s="174">
        <v>5</v>
      </c>
      <c r="D21" s="51">
        <v>40</v>
      </c>
      <c r="E21" s="50">
        <v>55</v>
      </c>
      <c r="F21" s="51">
        <v>75</v>
      </c>
      <c r="G21" s="52">
        <f t="shared" si="0"/>
        <v>-100</v>
      </c>
      <c r="H21" s="53">
        <f t="shared" si="1"/>
        <v>45</v>
      </c>
      <c r="I21" s="54">
        <f t="shared" si="2"/>
        <v>250</v>
      </c>
      <c r="J21" s="55">
        <f t="shared" si="3"/>
        <v>1900</v>
      </c>
      <c r="K21" s="57">
        <f t="shared" si="4"/>
        <v>45</v>
      </c>
      <c r="L21" s="58">
        <f t="shared" si="5"/>
        <v>-250</v>
      </c>
      <c r="M21" s="120"/>
      <c r="N21" s="111">
        <v>50</v>
      </c>
      <c r="O21" s="101">
        <v>99</v>
      </c>
      <c r="P21" s="101">
        <v>0</v>
      </c>
      <c r="Q21" s="112">
        <v>2980</v>
      </c>
      <c r="R21" s="56"/>
      <c r="S21" s="56"/>
      <c r="T21" s="56"/>
      <c r="U21" s="56"/>
      <c r="V21" s="56"/>
      <c r="W21" s="56"/>
    </row>
    <row r="22" spans="1:23" ht="15" customHeight="1">
      <c r="A22" s="120"/>
      <c r="B22" s="114"/>
      <c r="C22" s="174">
        <v>6</v>
      </c>
      <c r="D22" s="51">
        <v>10</v>
      </c>
      <c r="E22" s="50">
        <v>40</v>
      </c>
      <c r="F22" s="51">
        <v>63</v>
      </c>
      <c r="G22" s="52">
        <f t="shared" si="0"/>
        <v>-140</v>
      </c>
      <c r="H22" s="53">
        <f t="shared" si="1"/>
        <v>35</v>
      </c>
      <c r="I22" s="54">
        <f t="shared" si="2"/>
        <v>263</v>
      </c>
      <c r="J22" s="55">
        <f t="shared" si="3"/>
        <v>1860</v>
      </c>
      <c r="K22" s="57">
        <f t="shared" si="4"/>
        <v>35</v>
      </c>
      <c r="L22" s="58">
        <f t="shared" si="5"/>
        <v>-237</v>
      </c>
      <c r="M22" s="120"/>
      <c r="N22" s="111">
        <v>50</v>
      </c>
      <c r="O22" s="101">
        <v>99</v>
      </c>
      <c r="P22" s="101">
        <v>0</v>
      </c>
      <c r="Q22" s="112">
        <v>2980</v>
      </c>
      <c r="R22" s="56"/>
      <c r="S22" s="56"/>
      <c r="T22" s="56"/>
      <c r="U22" s="56"/>
      <c r="V22" s="56"/>
      <c r="W22" s="56"/>
    </row>
    <row r="23" spans="1:23" ht="15" customHeight="1">
      <c r="A23" s="120"/>
      <c r="B23" s="114"/>
      <c r="C23" s="174">
        <v>7</v>
      </c>
      <c r="D23" s="51">
        <v>0</v>
      </c>
      <c r="E23" s="50">
        <v>40</v>
      </c>
      <c r="F23" s="51">
        <v>62</v>
      </c>
      <c r="G23" s="52">
        <f t="shared" si="0"/>
        <v>-190</v>
      </c>
      <c r="H23" s="53">
        <f t="shared" si="1"/>
        <v>25</v>
      </c>
      <c r="I23" s="54">
        <f t="shared" si="2"/>
        <v>275</v>
      </c>
      <c r="J23" s="55">
        <f t="shared" si="3"/>
        <v>1810</v>
      </c>
      <c r="K23" s="57">
        <f t="shared" si="4"/>
        <v>25</v>
      </c>
      <c r="L23" s="58">
        <f t="shared" si="5"/>
        <v>-225</v>
      </c>
      <c r="M23" s="120"/>
      <c r="N23" s="111">
        <v>50</v>
      </c>
      <c r="O23" s="101">
        <v>99</v>
      </c>
      <c r="P23" s="101">
        <v>0</v>
      </c>
      <c r="Q23" s="112">
        <v>2980</v>
      </c>
      <c r="R23" s="56"/>
      <c r="S23" s="56"/>
      <c r="T23" s="56"/>
      <c r="U23" s="56"/>
      <c r="V23" s="56"/>
      <c r="W23" s="56"/>
    </row>
    <row r="24" spans="1:23" ht="15" customHeight="1">
      <c r="A24" s="120"/>
      <c r="B24" s="114"/>
      <c r="C24" s="174">
        <v>8</v>
      </c>
      <c r="D24" s="51">
        <v>10</v>
      </c>
      <c r="E24" s="50">
        <v>30</v>
      </c>
      <c r="F24" s="51">
        <v>50</v>
      </c>
      <c r="G24" s="52">
        <f t="shared" si="0"/>
        <v>-230</v>
      </c>
      <c r="H24" s="53">
        <f t="shared" si="1"/>
        <v>5</v>
      </c>
      <c r="I24" s="54">
        <f t="shared" si="2"/>
        <v>275</v>
      </c>
      <c r="J24" s="55">
        <f t="shared" si="3"/>
        <v>1770</v>
      </c>
      <c r="K24" s="57">
        <f t="shared" si="4"/>
        <v>5</v>
      </c>
      <c r="L24" s="58">
        <f t="shared" si="5"/>
        <v>-225</v>
      </c>
      <c r="M24" s="120"/>
      <c r="N24" s="111">
        <v>50</v>
      </c>
      <c r="O24" s="101">
        <v>99</v>
      </c>
      <c r="P24" s="101">
        <v>0</v>
      </c>
      <c r="Q24" s="112">
        <v>2980</v>
      </c>
      <c r="R24" s="56"/>
      <c r="S24" s="56"/>
      <c r="T24" s="56"/>
      <c r="U24" s="56"/>
      <c r="V24" s="56"/>
      <c r="W24" s="56"/>
    </row>
    <row r="25" spans="1:23" ht="15" customHeight="1">
      <c r="A25" s="120"/>
      <c r="B25" s="114"/>
      <c r="C25" s="174">
        <v>9</v>
      </c>
      <c r="D25" s="51">
        <v>10</v>
      </c>
      <c r="E25" s="50">
        <v>30</v>
      </c>
      <c r="F25" s="51">
        <v>50</v>
      </c>
      <c r="G25" s="52">
        <f t="shared" si="0"/>
        <v>-270</v>
      </c>
      <c r="H25" s="53">
        <f t="shared" si="1"/>
        <v>-15</v>
      </c>
      <c r="I25" s="54">
        <f t="shared" si="2"/>
        <v>275</v>
      </c>
      <c r="J25" s="55">
        <f t="shared" si="3"/>
        <v>1730</v>
      </c>
      <c r="K25" s="57">
        <f t="shared" si="4"/>
        <v>-15</v>
      </c>
      <c r="L25" s="58">
        <f t="shared" si="5"/>
        <v>-225</v>
      </c>
      <c r="M25" s="120"/>
      <c r="N25" s="111">
        <v>50</v>
      </c>
      <c r="O25" s="101">
        <v>99</v>
      </c>
      <c r="P25" s="101">
        <v>0</v>
      </c>
      <c r="Q25" s="112">
        <v>2980</v>
      </c>
      <c r="R25" s="56"/>
      <c r="S25" s="56"/>
      <c r="T25" s="56"/>
      <c r="U25" s="56"/>
      <c r="V25" s="56"/>
      <c r="W25" s="56"/>
    </row>
    <row r="26" spans="1:23" ht="15" customHeight="1">
      <c r="A26" s="120"/>
      <c r="B26" s="114"/>
      <c r="C26" s="174">
        <v>10</v>
      </c>
      <c r="D26" s="51">
        <v>20</v>
      </c>
      <c r="E26" s="50">
        <v>30</v>
      </c>
      <c r="F26" s="51">
        <v>50</v>
      </c>
      <c r="G26" s="52">
        <f t="shared" si="0"/>
        <v>-300</v>
      </c>
      <c r="H26" s="53">
        <f t="shared" si="1"/>
        <v>-35</v>
      </c>
      <c r="I26" s="54">
        <f t="shared" si="2"/>
        <v>275</v>
      </c>
      <c r="J26" s="55">
        <f t="shared" si="3"/>
        <v>1700</v>
      </c>
      <c r="K26" s="57">
        <f t="shared" si="4"/>
        <v>-35</v>
      </c>
      <c r="L26" s="58">
        <f t="shared" si="5"/>
        <v>-225</v>
      </c>
      <c r="M26" s="120"/>
      <c r="N26" s="111">
        <v>50</v>
      </c>
      <c r="O26" s="101">
        <v>99</v>
      </c>
      <c r="P26" s="101">
        <v>0</v>
      </c>
      <c r="Q26" s="112">
        <v>2980</v>
      </c>
      <c r="R26" s="56"/>
      <c r="S26" s="56"/>
      <c r="T26" s="56"/>
      <c r="U26" s="56"/>
      <c r="V26" s="56"/>
      <c r="W26" s="56"/>
    </row>
    <row r="27" spans="1:23" ht="15" customHeight="1">
      <c r="A27" s="120"/>
      <c r="B27" s="114"/>
      <c r="C27" s="174">
        <v>11</v>
      </c>
      <c r="D27" s="51">
        <v>20</v>
      </c>
      <c r="E27" s="50">
        <v>20</v>
      </c>
      <c r="F27" s="51">
        <v>38</v>
      </c>
      <c r="G27" s="52">
        <f t="shared" si="0"/>
        <v>-330</v>
      </c>
      <c r="H27" s="53">
        <f t="shared" si="1"/>
        <v>-65</v>
      </c>
      <c r="I27" s="54">
        <f t="shared" si="2"/>
        <v>263</v>
      </c>
      <c r="J27" s="55">
        <f t="shared" si="3"/>
        <v>1670</v>
      </c>
      <c r="K27" s="57">
        <f t="shared" si="4"/>
        <v>-65</v>
      </c>
      <c r="L27" s="58">
        <f t="shared" si="5"/>
        <v>-237</v>
      </c>
      <c r="M27" s="120"/>
      <c r="N27" s="111">
        <v>50</v>
      </c>
      <c r="O27" s="101">
        <v>99</v>
      </c>
      <c r="P27" s="101">
        <v>0</v>
      </c>
      <c r="Q27" s="112">
        <v>2980</v>
      </c>
      <c r="R27" s="56"/>
      <c r="S27" s="56"/>
      <c r="T27" s="56"/>
      <c r="U27" s="56"/>
      <c r="V27" s="56"/>
      <c r="W27" s="56"/>
    </row>
    <row r="28" spans="1:23" ht="15" customHeight="1">
      <c r="A28" s="120"/>
      <c r="B28" s="116"/>
      <c r="C28" s="177">
        <v>12</v>
      </c>
      <c r="D28" s="139">
        <v>25</v>
      </c>
      <c r="E28" s="140">
        <v>40</v>
      </c>
      <c r="F28" s="139">
        <v>37</v>
      </c>
      <c r="G28" s="141">
        <f t="shared" si="0"/>
        <v>-355</v>
      </c>
      <c r="H28" s="142">
        <f t="shared" si="1"/>
        <v>-75</v>
      </c>
      <c r="I28" s="143">
        <f t="shared" si="2"/>
        <v>250</v>
      </c>
      <c r="J28" s="637">
        <f t="shared" si="3"/>
        <v>1645</v>
      </c>
      <c r="K28" s="144">
        <f t="shared" si="4"/>
        <v>-75</v>
      </c>
      <c r="L28" s="638">
        <f t="shared" si="5"/>
        <v>-250</v>
      </c>
      <c r="M28" s="120"/>
      <c r="N28" s="145">
        <v>50</v>
      </c>
      <c r="O28" s="146">
        <v>99</v>
      </c>
      <c r="P28" s="146">
        <v>0</v>
      </c>
      <c r="Q28" s="147">
        <v>2980</v>
      </c>
      <c r="R28" s="65"/>
      <c r="S28" s="65"/>
      <c r="T28" s="65"/>
      <c r="U28" s="65"/>
      <c r="V28" s="65"/>
      <c r="W28" s="65"/>
    </row>
    <row r="29" spans="1:23" ht="15" customHeight="1">
      <c r="A29" s="125"/>
      <c r="B29" s="126">
        <v>56</v>
      </c>
      <c r="C29" s="173">
        <v>1</v>
      </c>
      <c r="D29" s="128">
        <v>30</v>
      </c>
      <c r="E29" s="127">
        <v>50</v>
      </c>
      <c r="F29" s="128">
        <v>38</v>
      </c>
      <c r="G29" s="129">
        <f t="shared" si="0"/>
        <v>-375</v>
      </c>
      <c r="H29" s="130">
        <f t="shared" si="1"/>
        <v>-75</v>
      </c>
      <c r="I29" s="131">
        <f t="shared" si="2"/>
        <v>238</v>
      </c>
      <c r="J29" s="632">
        <f t="shared" si="3"/>
        <v>1625</v>
      </c>
      <c r="K29" s="158">
        <f t="shared" si="4"/>
        <v>-75</v>
      </c>
      <c r="L29" s="633">
        <f t="shared" si="5"/>
        <v>-262</v>
      </c>
      <c r="M29" s="125">
        <v>1981</v>
      </c>
      <c r="N29" s="133">
        <v>50</v>
      </c>
      <c r="O29" s="134">
        <v>99</v>
      </c>
      <c r="P29" s="134">
        <v>0</v>
      </c>
      <c r="Q29" s="159">
        <v>2980</v>
      </c>
    </row>
    <row r="30" spans="1:23" ht="15" customHeight="1">
      <c r="A30" s="120"/>
      <c r="B30" s="114"/>
      <c r="C30" s="174">
        <v>2</v>
      </c>
      <c r="D30" s="51">
        <v>30</v>
      </c>
      <c r="E30" s="50">
        <v>30</v>
      </c>
      <c r="F30" s="51">
        <v>25</v>
      </c>
      <c r="G30" s="52">
        <f t="shared" si="0"/>
        <v>-395</v>
      </c>
      <c r="H30" s="53">
        <f t="shared" si="1"/>
        <v>-95</v>
      </c>
      <c r="I30" s="54">
        <f t="shared" si="2"/>
        <v>213</v>
      </c>
      <c r="J30" s="634">
        <f t="shared" si="3"/>
        <v>1605</v>
      </c>
      <c r="K30" s="57">
        <f t="shared" si="4"/>
        <v>-95</v>
      </c>
      <c r="L30" s="58">
        <f t="shared" si="5"/>
        <v>-287</v>
      </c>
      <c r="M30" s="120"/>
      <c r="N30" s="111">
        <v>50</v>
      </c>
      <c r="O30" s="101">
        <v>99</v>
      </c>
      <c r="P30" s="101">
        <v>0</v>
      </c>
      <c r="Q30" s="112">
        <v>2980</v>
      </c>
      <c r="R30" s="56"/>
      <c r="S30" s="56"/>
      <c r="T30" s="56"/>
      <c r="U30" s="56"/>
      <c r="V30" s="56"/>
      <c r="W30" s="56"/>
    </row>
    <row r="31" spans="1:23" ht="15" customHeight="1">
      <c r="A31" s="120"/>
      <c r="B31" s="114"/>
      <c r="C31" s="174">
        <v>3</v>
      </c>
      <c r="D31" s="51">
        <v>70</v>
      </c>
      <c r="E31" s="50">
        <v>50</v>
      </c>
      <c r="F31" s="51">
        <v>25</v>
      </c>
      <c r="G31" s="52">
        <f t="shared" si="0"/>
        <v>-375</v>
      </c>
      <c r="H31" s="53">
        <f t="shared" si="1"/>
        <v>-95</v>
      </c>
      <c r="I31" s="54">
        <f t="shared" si="2"/>
        <v>188</v>
      </c>
      <c r="J31" s="634">
        <f t="shared" si="3"/>
        <v>1625</v>
      </c>
      <c r="K31" s="57">
        <f t="shared" si="4"/>
        <v>-95</v>
      </c>
      <c r="L31" s="58">
        <f t="shared" si="5"/>
        <v>-312</v>
      </c>
      <c r="M31" s="120"/>
      <c r="N31" s="111">
        <v>50</v>
      </c>
      <c r="O31" s="101">
        <v>99</v>
      </c>
      <c r="P31" s="101">
        <v>0</v>
      </c>
      <c r="Q31" s="112">
        <v>2980</v>
      </c>
      <c r="R31" s="56"/>
      <c r="S31" s="56"/>
      <c r="T31" s="56"/>
      <c r="U31" s="56"/>
      <c r="V31" s="56"/>
      <c r="W31" s="56"/>
    </row>
    <row r="32" spans="1:23" ht="15" customHeight="1">
      <c r="A32" s="120"/>
      <c r="B32" s="114"/>
      <c r="C32" s="174">
        <v>4</v>
      </c>
      <c r="D32" s="51">
        <v>60</v>
      </c>
      <c r="E32" s="50">
        <v>30</v>
      </c>
      <c r="F32" s="51">
        <v>37</v>
      </c>
      <c r="G32" s="52">
        <f t="shared" si="0"/>
        <v>-365</v>
      </c>
      <c r="H32" s="53">
        <f t="shared" si="1"/>
        <v>-115</v>
      </c>
      <c r="I32" s="54">
        <f t="shared" si="2"/>
        <v>175</v>
      </c>
      <c r="J32" s="634">
        <f t="shared" si="3"/>
        <v>1635</v>
      </c>
      <c r="K32" s="57">
        <f t="shared" si="4"/>
        <v>-115</v>
      </c>
      <c r="L32" s="58">
        <f t="shared" si="5"/>
        <v>-325</v>
      </c>
      <c r="M32" s="120"/>
      <c r="N32" s="111">
        <v>50</v>
      </c>
      <c r="O32" s="101">
        <v>99</v>
      </c>
      <c r="P32" s="101">
        <v>0</v>
      </c>
      <c r="Q32" s="112">
        <v>2980</v>
      </c>
      <c r="R32" s="56"/>
      <c r="S32" s="56"/>
      <c r="T32" s="56"/>
      <c r="U32" s="56"/>
      <c r="V32" s="56"/>
      <c r="W32" s="56"/>
    </row>
    <row r="33" spans="1:23" ht="15" customHeight="1">
      <c r="A33" s="120"/>
      <c r="B33" s="114"/>
      <c r="C33" s="174">
        <v>5</v>
      </c>
      <c r="D33" s="51">
        <v>50</v>
      </c>
      <c r="E33" s="50">
        <v>40</v>
      </c>
      <c r="F33" s="51">
        <v>13</v>
      </c>
      <c r="G33" s="52">
        <f t="shared" si="0"/>
        <v>-365</v>
      </c>
      <c r="H33" s="53">
        <f t="shared" si="1"/>
        <v>-125</v>
      </c>
      <c r="I33" s="54">
        <f t="shared" si="2"/>
        <v>138</v>
      </c>
      <c r="J33" s="634">
        <f t="shared" si="3"/>
        <v>1635</v>
      </c>
      <c r="K33" s="57">
        <f t="shared" si="4"/>
        <v>-125</v>
      </c>
      <c r="L33" s="58">
        <f t="shared" si="5"/>
        <v>-362</v>
      </c>
      <c r="M33" s="120"/>
      <c r="N33" s="111">
        <v>50</v>
      </c>
      <c r="O33" s="101">
        <v>99</v>
      </c>
      <c r="P33" s="101">
        <v>0</v>
      </c>
      <c r="Q33" s="112">
        <v>2980</v>
      </c>
      <c r="R33" s="56"/>
      <c r="S33" s="56"/>
      <c r="T33" s="56"/>
      <c r="U33" s="56"/>
      <c r="V33" s="56"/>
      <c r="W33" s="56"/>
    </row>
    <row r="34" spans="1:23" ht="15" customHeight="1">
      <c r="A34" s="120"/>
      <c r="B34" s="114"/>
      <c r="C34" s="174">
        <v>6</v>
      </c>
      <c r="D34" s="51">
        <v>50</v>
      </c>
      <c r="E34" s="50">
        <v>40</v>
      </c>
      <c r="F34" s="51">
        <v>12</v>
      </c>
      <c r="G34" s="52">
        <f t="shared" si="0"/>
        <v>-365</v>
      </c>
      <c r="H34" s="53">
        <f t="shared" si="1"/>
        <v>-135</v>
      </c>
      <c r="I34" s="54">
        <f t="shared" si="2"/>
        <v>100</v>
      </c>
      <c r="J34" s="634">
        <f t="shared" si="3"/>
        <v>1635</v>
      </c>
      <c r="K34" s="57">
        <f t="shared" si="4"/>
        <v>-135</v>
      </c>
      <c r="L34" s="58">
        <f t="shared" si="5"/>
        <v>-400</v>
      </c>
      <c r="M34" s="120"/>
      <c r="N34" s="111">
        <v>50</v>
      </c>
      <c r="O34" s="101">
        <v>99</v>
      </c>
      <c r="P34" s="101">
        <v>0</v>
      </c>
      <c r="Q34" s="112">
        <v>2980</v>
      </c>
      <c r="R34" s="56"/>
      <c r="S34" s="56"/>
      <c r="T34" s="56"/>
      <c r="U34" s="56"/>
      <c r="V34" s="56"/>
      <c r="W34" s="56"/>
    </row>
    <row r="35" spans="1:23" ht="15" customHeight="1">
      <c r="A35" s="120"/>
      <c r="B35" s="114"/>
      <c r="C35" s="174">
        <v>7</v>
      </c>
      <c r="D35" s="51">
        <v>60</v>
      </c>
      <c r="E35" s="50">
        <v>40</v>
      </c>
      <c r="F35" s="51">
        <v>31</v>
      </c>
      <c r="G35" s="52">
        <f t="shared" si="0"/>
        <v>-355</v>
      </c>
      <c r="H35" s="53">
        <f t="shared" si="1"/>
        <v>-145</v>
      </c>
      <c r="I35" s="54">
        <f t="shared" si="2"/>
        <v>81</v>
      </c>
      <c r="J35" s="634">
        <f t="shared" si="3"/>
        <v>1645</v>
      </c>
      <c r="K35" s="57">
        <f t="shared" si="4"/>
        <v>-145</v>
      </c>
      <c r="L35" s="58">
        <f t="shared" si="5"/>
        <v>-419</v>
      </c>
      <c r="M35" s="120"/>
      <c r="N35" s="111">
        <v>50</v>
      </c>
      <c r="O35" s="101">
        <v>99</v>
      </c>
      <c r="P35" s="101">
        <v>0</v>
      </c>
      <c r="Q35" s="112">
        <v>2980</v>
      </c>
      <c r="R35" s="56"/>
      <c r="S35" s="56"/>
      <c r="T35" s="56"/>
      <c r="U35" s="56"/>
      <c r="V35" s="56"/>
      <c r="W35" s="56"/>
    </row>
    <row r="36" spans="1:23" ht="15" customHeight="1">
      <c r="A36" s="120"/>
      <c r="B36" s="114"/>
      <c r="C36" s="174">
        <v>8</v>
      </c>
      <c r="D36" s="51">
        <v>50</v>
      </c>
      <c r="E36" s="50">
        <v>20</v>
      </c>
      <c r="F36" s="51">
        <v>38</v>
      </c>
      <c r="G36" s="52">
        <f t="shared" si="0"/>
        <v>-355</v>
      </c>
      <c r="H36" s="53">
        <f t="shared" si="1"/>
        <v>-175</v>
      </c>
      <c r="I36" s="54">
        <f t="shared" si="2"/>
        <v>69</v>
      </c>
      <c r="J36" s="634">
        <f t="shared" si="3"/>
        <v>1645</v>
      </c>
      <c r="K36" s="57">
        <f t="shared" si="4"/>
        <v>-175</v>
      </c>
      <c r="L36" s="58">
        <f t="shared" si="5"/>
        <v>-431</v>
      </c>
      <c r="M36" s="120"/>
      <c r="N36" s="111">
        <v>50</v>
      </c>
      <c r="O36" s="101">
        <v>99</v>
      </c>
      <c r="P36" s="101">
        <v>0</v>
      </c>
      <c r="Q36" s="112">
        <v>2980</v>
      </c>
      <c r="R36" s="56"/>
      <c r="S36" s="56"/>
      <c r="T36" s="56"/>
      <c r="U36" s="56"/>
      <c r="V36" s="56"/>
      <c r="W36" s="56"/>
    </row>
    <row r="37" spans="1:23" ht="15" customHeight="1">
      <c r="A37" s="120"/>
      <c r="B37" s="114"/>
      <c r="C37" s="174">
        <v>9</v>
      </c>
      <c r="D37" s="51">
        <v>60</v>
      </c>
      <c r="E37" s="50">
        <v>20</v>
      </c>
      <c r="F37" s="51">
        <v>12</v>
      </c>
      <c r="G37" s="52">
        <f t="shared" si="0"/>
        <v>-345</v>
      </c>
      <c r="H37" s="53">
        <f t="shared" si="1"/>
        <v>-205</v>
      </c>
      <c r="I37" s="54">
        <f t="shared" si="2"/>
        <v>31</v>
      </c>
      <c r="J37" s="634">
        <f t="shared" si="3"/>
        <v>1655</v>
      </c>
      <c r="K37" s="57">
        <f t="shared" si="4"/>
        <v>-205</v>
      </c>
      <c r="L37" s="58">
        <f t="shared" si="5"/>
        <v>-469</v>
      </c>
      <c r="M37" s="120"/>
      <c r="N37" s="111">
        <v>50</v>
      </c>
      <c r="O37" s="101">
        <v>99</v>
      </c>
      <c r="P37" s="101">
        <v>0</v>
      </c>
      <c r="Q37" s="112">
        <v>2980</v>
      </c>
      <c r="R37" s="56"/>
      <c r="S37" s="56"/>
      <c r="T37" s="56"/>
      <c r="U37" s="56"/>
      <c r="V37" s="56"/>
      <c r="W37" s="56"/>
    </row>
    <row r="38" spans="1:23" ht="15" customHeight="1">
      <c r="A38" s="120"/>
      <c r="B38" s="114"/>
      <c r="C38" s="174">
        <v>10</v>
      </c>
      <c r="D38" s="51">
        <v>40</v>
      </c>
      <c r="E38" s="50">
        <v>30</v>
      </c>
      <c r="F38" s="51">
        <v>25</v>
      </c>
      <c r="G38" s="52">
        <f t="shared" si="0"/>
        <v>-355</v>
      </c>
      <c r="H38" s="53">
        <f t="shared" si="1"/>
        <v>-225</v>
      </c>
      <c r="I38" s="54">
        <f t="shared" si="2"/>
        <v>6</v>
      </c>
      <c r="J38" s="634">
        <f t="shared" si="3"/>
        <v>1645</v>
      </c>
      <c r="K38" s="57">
        <f t="shared" si="4"/>
        <v>-225</v>
      </c>
      <c r="L38" s="58">
        <f t="shared" si="5"/>
        <v>-494</v>
      </c>
      <c r="M38" s="120"/>
      <c r="N38" s="111">
        <v>50</v>
      </c>
      <c r="O38" s="101">
        <v>99</v>
      </c>
      <c r="P38" s="101">
        <v>0</v>
      </c>
      <c r="Q38" s="112">
        <v>2980</v>
      </c>
      <c r="R38" s="56"/>
      <c r="S38" s="56"/>
      <c r="T38" s="56"/>
      <c r="U38" s="56"/>
      <c r="V38" s="56"/>
      <c r="W38" s="56"/>
    </row>
    <row r="39" spans="1:23" ht="15" customHeight="1">
      <c r="A39" s="120"/>
      <c r="B39" s="114"/>
      <c r="C39" s="174">
        <v>11</v>
      </c>
      <c r="D39" s="51">
        <v>40</v>
      </c>
      <c r="E39" s="50">
        <v>20</v>
      </c>
      <c r="F39" s="51">
        <v>38</v>
      </c>
      <c r="G39" s="52">
        <f t="shared" si="0"/>
        <v>-365</v>
      </c>
      <c r="H39" s="53">
        <f t="shared" si="1"/>
        <v>-255</v>
      </c>
      <c r="I39" s="54">
        <f t="shared" si="2"/>
        <v>-6</v>
      </c>
      <c r="J39" s="634">
        <f t="shared" si="3"/>
        <v>1635</v>
      </c>
      <c r="K39" s="57">
        <f t="shared" si="4"/>
        <v>-255</v>
      </c>
      <c r="L39" s="58">
        <f t="shared" si="5"/>
        <v>-506</v>
      </c>
      <c r="M39" s="120"/>
      <c r="N39" s="111">
        <v>50</v>
      </c>
      <c r="O39" s="101">
        <v>99</v>
      </c>
      <c r="P39" s="101">
        <v>0</v>
      </c>
      <c r="Q39" s="112">
        <v>2980</v>
      </c>
      <c r="R39" s="56"/>
      <c r="S39" s="56"/>
      <c r="T39" s="56"/>
      <c r="U39" s="56"/>
      <c r="V39" s="56"/>
      <c r="W39" s="56"/>
    </row>
    <row r="40" spans="1:23" ht="15" customHeight="1">
      <c r="A40" s="132"/>
      <c r="B40" s="115"/>
      <c r="C40" s="175">
        <v>12</v>
      </c>
      <c r="D40" s="59">
        <v>40</v>
      </c>
      <c r="E40" s="60">
        <v>30</v>
      </c>
      <c r="F40" s="59">
        <v>37</v>
      </c>
      <c r="G40" s="61">
        <f t="shared" si="0"/>
        <v>-375</v>
      </c>
      <c r="H40" s="62">
        <f t="shared" si="1"/>
        <v>-275</v>
      </c>
      <c r="I40" s="63">
        <f t="shared" si="2"/>
        <v>-19</v>
      </c>
      <c r="J40" s="635">
        <f t="shared" si="3"/>
        <v>1625</v>
      </c>
      <c r="K40" s="64">
        <f t="shared" si="4"/>
        <v>-275</v>
      </c>
      <c r="L40" s="636">
        <f t="shared" si="5"/>
        <v>-519</v>
      </c>
      <c r="M40" s="132"/>
      <c r="N40" s="136">
        <v>50</v>
      </c>
      <c r="O40" s="137">
        <v>99</v>
      </c>
      <c r="P40" s="137">
        <v>0</v>
      </c>
      <c r="Q40" s="138">
        <v>2980</v>
      </c>
      <c r="R40" s="65"/>
      <c r="S40" s="65"/>
      <c r="T40" s="65"/>
      <c r="U40" s="65"/>
      <c r="V40" s="65"/>
      <c r="W40" s="65"/>
    </row>
    <row r="41" spans="1:23" ht="15" customHeight="1">
      <c r="A41" s="120"/>
      <c r="B41" s="103">
        <v>57</v>
      </c>
      <c r="C41" s="176">
        <v>1</v>
      </c>
      <c r="D41" s="66">
        <v>20</v>
      </c>
      <c r="E41" s="67">
        <v>20</v>
      </c>
      <c r="F41" s="66">
        <v>38</v>
      </c>
      <c r="G41" s="47">
        <f t="shared" si="0"/>
        <v>-405</v>
      </c>
      <c r="H41" s="48">
        <f t="shared" si="1"/>
        <v>-305</v>
      </c>
      <c r="I41" s="49">
        <f t="shared" si="2"/>
        <v>-31</v>
      </c>
      <c r="J41" s="630">
        <f t="shared" si="3"/>
        <v>1595</v>
      </c>
      <c r="K41" s="68">
        <f t="shared" si="4"/>
        <v>-305</v>
      </c>
      <c r="L41" s="631">
        <f t="shared" si="5"/>
        <v>-531</v>
      </c>
      <c r="M41" s="120">
        <v>1982</v>
      </c>
      <c r="N41" s="111">
        <v>50</v>
      </c>
      <c r="O41" s="101">
        <v>99</v>
      </c>
      <c r="P41" s="101">
        <v>0</v>
      </c>
      <c r="Q41" s="112">
        <v>2980</v>
      </c>
    </row>
    <row r="42" spans="1:23" ht="15" customHeight="1">
      <c r="A42" s="120"/>
      <c r="B42" s="114"/>
      <c r="C42" s="174">
        <v>2</v>
      </c>
      <c r="D42" s="51">
        <v>20</v>
      </c>
      <c r="E42" s="50">
        <v>40</v>
      </c>
      <c r="F42" s="51">
        <v>25</v>
      </c>
      <c r="G42" s="52">
        <f t="shared" si="0"/>
        <v>-435</v>
      </c>
      <c r="H42" s="53">
        <f t="shared" si="1"/>
        <v>-315</v>
      </c>
      <c r="I42" s="54">
        <f t="shared" si="2"/>
        <v>-56</v>
      </c>
      <c r="J42" s="55">
        <f t="shared" si="3"/>
        <v>1565</v>
      </c>
      <c r="K42" s="57">
        <f t="shared" si="4"/>
        <v>-315</v>
      </c>
      <c r="L42" s="58">
        <f t="shared" si="5"/>
        <v>-556</v>
      </c>
      <c r="M42" s="120"/>
      <c r="N42" s="111">
        <v>50</v>
      </c>
      <c r="O42" s="101">
        <v>99</v>
      </c>
      <c r="P42" s="101">
        <v>0</v>
      </c>
      <c r="Q42" s="112">
        <v>2980</v>
      </c>
      <c r="R42" s="56"/>
      <c r="S42" s="56"/>
      <c r="T42" s="56"/>
      <c r="U42" s="56"/>
      <c r="V42" s="56"/>
      <c r="W42" s="56"/>
    </row>
    <row r="43" spans="1:23" ht="15" customHeight="1">
      <c r="A43" s="120"/>
      <c r="B43" s="114"/>
      <c r="C43" s="174">
        <v>3</v>
      </c>
      <c r="D43" s="51">
        <v>25</v>
      </c>
      <c r="E43" s="50">
        <v>30</v>
      </c>
      <c r="F43" s="51">
        <v>25</v>
      </c>
      <c r="G43" s="52">
        <f t="shared" si="0"/>
        <v>-460</v>
      </c>
      <c r="H43" s="53">
        <f t="shared" si="1"/>
        <v>-335</v>
      </c>
      <c r="I43" s="54">
        <f t="shared" si="2"/>
        <v>-81</v>
      </c>
      <c r="J43" s="55">
        <f t="shared" si="3"/>
        <v>1540</v>
      </c>
      <c r="K43" s="57">
        <f t="shared" si="4"/>
        <v>-335</v>
      </c>
      <c r="L43" s="58">
        <f t="shared" si="5"/>
        <v>-581</v>
      </c>
      <c r="M43" s="120"/>
      <c r="N43" s="111">
        <v>50</v>
      </c>
      <c r="O43" s="101">
        <v>99</v>
      </c>
      <c r="P43" s="101">
        <v>0</v>
      </c>
      <c r="Q43" s="112">
        <v>2980</v>
      </c>
      <c r="R43" s="56"/>
      <c r="S43" s="56"/>
      <c r="T43" s="56"/>
      <c r="U43" s="56"/>
      <c r="V43" s="56"/>
      <c r="W43" s="56"/>
    </row>
    <row r="44" spans="1:23" ht="15" customHeight="1">
      <c r="A44" s="120"/>
      <c r="B44" s="114"/>
      <c r="C44" s="174">
        <v>4</v>
      </c>
      <c r="D44" s="51">
        <v>70</v>
      </c>
      <c r="E44" s="50">
        <v>40</v>
      </c>
      <c r="F44" s="51">
        <v>25</v>
      </c>
      <c r="G44" s="52">
        <f t="shared" si="0"/>
        <v>-440</v>
      </c>
      <c r="H44" s="53">
        <f t="shared" si="1"/>
        <v>-345</v>
      </c>
      <c r="I44" s="54">
        <f t="shared" si="2"/>
        <v>-106</v>
      </c>
      <c r="J44" s="55">
        <f t="shared" si="3"/>
        <v>1560</v>
      </c>
      <c r="K44" s="57">
        <f t="shared" si="4"/>
        <v>-345</v>
      </c>
      <c r="L44" s="58">
        <f t="shared" si="5"/>
        <v>-606</v>
      </c>
      <c r="M44" s="120"/>
      <c r="N44" s="111">
        <v>50</v>
      </c>
      <c r="O44" s="101">
        <v>99</v>
      </c>
      <c r="P44" s="101">
        <v>0</v>
      </c>
      <c r="Q44" s="112">
        <v>2980</v>
      </c>
      <c r="R44" s="56"/>
      <c r="S44" s="56"/>
      <c r="T44" s="56"/>
      <c r="U44" s="56"/>
      <c r="V44" s="56"/>
      <c r="W44" s="56"/>
    </row>
    <row r="45" spans="1:23" ht="15" customHeight="1">
      <c r="A45" s="120"/>
      <c r="B45" s="114"/>
      <c r="C45" s="174">
        <v>5</v>
      </c>
      <c r="D45" s="51">
        <v>80</v>
      </c>
      <c r="E45" s="50">
        <v>30</v>
      </c>
      <c r="F45" s="51">
        <v>37</v>
      </c>
      <c r="G45" s="52">
        <f t="shared" si="0"/>
        <v>-410</v>
      </c>
      <c r="H45" s="53">
        <f t="shared" si="1"/>
        <v>-365</v>
      </c>
      <c r="I45" s="54">
        <f t="shared" si="2"/>
        <v>-119</v>
      </c>
      <c r="J45" s="55">
        <f t="shared" si="3"/>
        <v>1590</v>
      </c>
      <c r="K45" s="57">
        <f t="shared" si="4"/>
        <v>-365</v>
      </c>
      <c r="L45" s="58">
        <f t="shared" si="5"/>
        <v>-619</v>
      </c>
      <c r="M45" s="120"/>
      <c r="N45" s="111">
        <v>50</v>
      </c>
      <c r="O45" s="101">
        <v>99</v>
      </c>
      <c r="P45" s="101">
        <v>0</v>
      </c>
      <c r="Q45" s="112">
        <v>2980</v>
      </c>
      <c r="R45" s="56"/>
      <c r="S45" s="56"/>
      <c r="T45" s="56"/>
      <c r="U45" s="56"/>
      <c r="V45" s="56"/>
      <c r="W45" s="56"/>
    </row>
    <row r="46" spans="1:23" ht="15" customHeight="1">
      <c r="A46" s="120"/>
      <c r="B46" s="114"/>
      <c r="C46" s="174">
        <v>6</v>
      </c>
      <c r="D46" s="51">
        <v>100</v>
      </c>
      <c r="E46" s="50">
        <v>30</v>
      </c>
      <c r="F46" s="51">
        <v>13</v>
      </c>
      <c r="G46" s="52">
        <f t="shared" si="0"/>
        <v>-360</v>
      </c>
      <c r="H46" s="53">
        <f t="shared" si="1"/>
        <v>-385</v>
      </c>
      <c r="I46" s="54">
        <f t="shared" si="2"/>
        <v>-156</v>
      </c>
      <c r="J46" s="55">
        <f t="shared" si="3"/>
        <v>1640</v>
      </c>
      <c r="K46" s="57">
        <f t="shared" si="4"/>
        <v>-385</v>
      </c>
      <c r="L46" s="58">
        <f t="shared" si="5"/>
        <v>-656</v>
      </c>
      <c r="M46" s="120"/>
      <c r="N46" s="111">
        <v>50</v>
      </c>
      <c r="O46" s="101">
        <v>99</v>
      </c>
      <c r="P46" s="101">
        <v>0</v>
      </c>
      <c r="Q46" s="112">
        <v>2980</v>
      </c>
      <c r="R46" s="56"/>
      <c r="S46" s="56"/>
      <c r="T46" s="56"/>
      <c r="U46" s="56"/>
      <c r="V46" s="56"/>
      <c r="W46" s="56"/>
    </row>
    <row r="47" spans="1:23" ht="15" customHeight="1">
      <c r="A47" s="120"/>
      <c r="B47" s="114"/>
      <c r="C47" s="174">
        <v>7</v>
      </c>
      <c r="D47" s="51">
        <v>70</v>
      </c>
      <c r="E47" s="50">
        <v>70</v>
      </c>
      <c r="F47" s="51">
        <v>25</v>
      </c>
      <c r="G47" s="52">
        <f t="shared" si="0"/>
        <v>-340</v>
      </c>
      <c r="H47" s="53">
        <f t="shared" si="1"/>
        <v>-365</v>
      </c>
      <c r="I47" s="54">
        <f t="shared" si="2"/>
        <v>-181</v>
      </c>
      <c r="J47" s="55">
        <f t="shared" si="3"/>
        <v>1660</v>
      </c>
      <c r="K47" s="57">
        <f t="shared" si="4"/>
        <v>-365</v>
      </c>
      <c r="L47" s="58">
        <f t="shared" si="5"/>
        <v>-681</v>
      </c>
      <c r="M47" s="120"/>
      <c r="N47" s="111">
        <v>50</v>
      </c>
      <c r="O47" s="101">
        <v>99</v>
      </c>
      <c r="P47" s="101">
        <v>0</v>
      </c>
      <c r="Q47" s="112">
        <v>2980</v>
      </c>
      <c r="R47" s="56"/>
      <c r="S47" s="56"/>
      <c r="T47" s="56"/>
      <c r="U47" s="56"/>
      <c r="V47" s="56"/>
      <c r="W47" s="56"/>
    </row>
    <row r="48" spans="1:23" ht="15" customHeight="1">
      <c r="A48" s="120"/>
      <c r="B48" s="114"/>
      <c r="C48" s="174">
        <v>8</v>
      </c>
      <c r="D48" s="51">
        <v>70</v>
      </c>
      <c r="E48" s="50">
        <v>40</v>
      </c>
      <c r="F48" s="51">
        <v>25</v>
      </c>
      <c r="G48" s="52">
        <f t="shared" si="0"/>
        <v>-320</v>
      </c>
      <c r="H48" s="53">
        <f t="shared" si="1"/>
        <v>-375</v>
      </c>
      <c r="I48" s="54">
        <f t="shared" si="2"/>
        <v>-206</v>
      </c>
      <c r="J48" s="55">
        <f t="shared" si="3"/>
        <v>1680</v>
      </c>
      <c r="K48" s="57">
        <f t="shared" si="4"/>
        <v>-375</v>
      </c>
      <c r="L48" s="58">
        <f t="shared" si="5"/>
        <v>-706</v>
      </c>
      <c r="M48" s="120"/>
      <c r="N48" s="111">
        <v>50</v>
      </c>
      <c r="O48" s="101">
        <v>99</v>
      </c>
      <c r="P48" s="101">
        <v>0</v>
      </c>
      <c r="Q48" s="112">
        <v>2980</v>
      </c>
      <c r="R48" s="56"/>
      <c r="S48" s="56"/>
      <c r="T48" s="56"/>
      <c r="U48" s="56"/>
      <c r="V48" s="56"/>
      <c r="W48" s="56"/>
    </row>
    <row r="49" spans="1:23" ht="15" customHeight="1">
      <c r="A49" s="120"/>
      <c r="B49" s="114"/>
      <c r="C49" s="174">
        <v>9</v>
      </c>
      <c r="D49" s="51">
        <v>70</v>
      </c>
      <c r="E49" s="50">
        <v>50</v>
      </c>
      <c r="F49" s="51">
        <v>37</v>
      </c>
      <c r="G49" s="52">
        <f t="shared" si="0"/>
        <v>-300</v>
      </c>
      <c r="H49" s="53">
        <f t="shared" si="1"/>
        <v>-375</v>
      </c>
      <c r="I49" s="54">
        <f t="shared" si="2"/>
        <v>-219</v>
      </c>
      <c r="J49" s="55">
        <f t="shared" si="3"/>
        <v>1700</v>
      </c>
      <c r="K49" s="57">
        <f t="shared" si="4"/>
        <v>-375</v>
      </c>
      <c r="L49" s="58">
        <f t="shared" si="5"/>
        <v>-719</v>
      </c>
      <c r="M49" s="120"/>
      <c r="N49" s="111">
        <v>50</v>
      </c>
      <c r="O49" s="101"/>
      <c r="P49" s="101">
        <v>0</v>
      </c>
      <c r="Q49" s="102"/>
      <c r="R49" s="56"/>
      <c r="S49" s="56"/>
      <c r="T49" s="56"/>
      <c r="U49" s="56"/>
      <c r="V49" s="56"/>
      <c r="W49" s="56"/>
    </row>
    <row r="50" spans="1:23" ht="15" customHeight="1">
      <c r="A50" s="120"/>
      <c r="B50" s="114"/>
      <c r="C50" s="174">
        <v>10</v>
      </c>
      <c r="D50" s="51">
        <v>40</v>
      </c>
      <c r="E50" s="50">
        <v>60</v>
      </c>
      <c r="F50" s="51">
        <v>63</v>
      </c>
      <c r="G50" s="52">
        <f t="shared" si="0"/>
        <v>-310</v>
      </c>
      <c r="H50" s="53">
        <f t="shared" si="1"/>
        <v>-365</v>
      </c>
      <c r="I50" s="54">
        <f t="shared" si="2"/>
        <v>-206</v>
      </c>
      <c r="J50" s="55">
        <f t="shared" si="3"/>
        <v>1690</v>
      </c>
      <c r="K50" s="57">
        <f t="shared" si="4"/>
        <v>-365</v>
      </c>
      <c r="L50" s="58">
        <f t="shared" si="5"/>
        <v>-706</v>
      </c>
      <c r="M50" s="120"/>
      <c r="N50" s="111">
        <v>50</v>
      </c>
      <c r="O50" s="101"/>
      <c r="P50" s="101">
        <v>0</v>
      </c>
      <c r="Q50" s="102"/>
      <c r="R50" s="56"/>
      <c r="S50" s="56"/>
      <c r="T50" s="56"/>
      <c r="U50" s="56"/>
      <c r="V50" s="56"/>
      <c r="W50" s="56"/>
    </row>
    <row r="51" spans="1:23" ht="15" customHeight="1">
      <c r="A51" s="120"/>
      <c r="B51" s="114"/>
      <c r="C51" s="174">
        <v>11</v>
      </c>
      <c r="D51" s="51">
        <v>40</v>
      </c>
      <c r="E51" s="50">
        <v>40</v>
      </c>
      <c r="F51" s="51">
        <v>12</v>
      </c>
      <c r="G51" s="52">
        <f t="shared" si="0"/>
        <v>-320</v>
      </c>
      <c r="H51" s="53">
        <f t="shared" si="1"/>
        <v>-375</v>
      </c>
      <c r="I51" s="54">
        <f t="shared" si="2"/>
        <v>-244</v>
      </c>
      <c r="J51" s="55">
        <f t="shared" si="3"/>
        <v>1680</v>
      </c>
      <c r="K51" s="57">
        <f t="shared" si="4"/>
        <v>-375</v>
      </c>
      <c r="L51" s="58">
        <f t="shared" si="5"/>
        <v>-744</v>
      </c>
      <c r="M51" s="120"/>
      <c r="N51" s="111">
        <v>50</v>
      </c>
      <c r="O51" s="101"/>
      <c r="P51" s="101">
        <v>0</v>
      </c>
      <c r="Q51" s="102"/>
      <c r="R51" s="56"/>
      <c r="S51" s="56"/>
      <c r="T51" s="56"/>
      <c r="U51" s="56"/>
      <c r="V51" s="56"/>
      <c r="W51" s="56"/>
    </row>
    <row r="52" spans="1:23" ht="15" customHeight="1">
      <c r="A52" s="120"/>
      <c r="B52" s="116"/>
      <c r="C52" s="177">
        <v>12</v>
      </c>
      <c r="D52" s="139">
        <v>50</v>
      </c>
      <c r="E52" s="140">
        <v>70</v>
      </c>
      <c r="F52" s="139">
        <v>38</v>
      </c>
      <c r="G52" s="141">
        <f t="shared" si="0"/>
        <v>-320</v>
      </c>
      <c r="H52" s="142">
        <f t="shared" si="1"/>
        <v>-355</v>
      </c>
      <c r="I52" s="143">
        <f t="shared" si="2"/>
        <v>-256</v>
      </c>
      <c r="J52" s="637">
        <f t="shared" si="3"/>
        <v>1680</v>
      </c>
      <c r="K52" s="144">
        <f t="shared" si="4"/>
        <v>-355</v>
      </c>
      <c r="L52" s="638">
        <f t="shared" si="5"/>
        <v>-756</v>
      </c>
      <c r="M52" s="120"/>
      <c r="N52" s="145">
        <v>50</v>
      </c>
      <c r="O52" s="146"/>
      <c r="P52" s="146">
        <v>0</v>
      </c>
      <c r="Q52" s="148"/>
      <c r="R52" s="65"/>
      <c r="S52" s="65"/>
      <c r="T52" s="65"/>
      <c r="U52" s="65"/>
      <c r="V52" s="65"/>
      <c r="W52" s="65"/>
    </row>
    <row r="53" spans="1:23" ht="15" customHeight="1">
      <c r="A53" s="125"/>
      <c r="B53" s="126">
        <v>58</v>
      </c>
      <c r="C53" s="173">
        <v>1</v>
      </c>
      <c r="D53" s="128">
        <v>65</v>
      </c>
      <c r="E53" s="127">
        <v>50</v>
      </c>
      <c r="F53" s="128">
        <v>50</v>
      </c>
      <c r="G53" s="129">
        <f t="shared" si="0"/>
        <v>-305</v>
      </c>
      <c r="H53" s="130">
        <f t="shared" si="1"/>
        <v>-355</v>
      </c>
      <c r="I53" s="131">
        <f t="shared" si="2"/>
        <v>-256</v>
      </c>
      <c r="J53" s="632">
        <f t="shared" si="3"/>
        <v>1695</v>
      </c>
      <c r="K53" s="158">
        <f t="shared" si="4"/>
        <v>-355</v>
      </c>
      <c r="L53" s="633">
        <f t="shared" si="5"/>
        <v>-756</v>
      </c>
      <c r="M53" s="125">
        <v>1983</v>
      </c>
      <c r="N53" s="133">
        <v>50</v>
      </c>
      <c r="O53" s="134"/>
      <c r="P53" s="134">
        <v>0</v>
      </c>
      <c r="Q53" s="135"/>
    </row>
    <row r="54" spans="1:23" ht="15" customHeight="1">
      <c r="A54" s="120"/>
      <c r="B54" s="114"/>
      <c r="C54" s="174">
        <v>2</v>
      </c>
      <c r="D54" s="51">
        <v>30</v>
      </c>
      <c r="E54" s="50">
        <v>50</v>
      </c>
      <c r="F54" s="51">
        <v>31</v>
      </c>
      <c r="G54" s="52">
        <f t="shared" si="0"/>
        <v>-325</v>
      </c>
      <c r="H54" s="53">
        <f t="shared" si="1"/>
        <v>-355</v>
      </c>
      <c r="I54" s="54">
        <f t="shared" si="2"/>
        <v>-275</v>
      </c>
      <c r="J54" s="634">
        <f t="shared" si="3"/>
        <v>1675</v>
      </c>
      <c r="K54" s="57">
        <f t="shared" si="4"/>
        <v>-355</v>
      </c>
      <c r="L54" s="58">
        <f t="shared" si="5"/>
        <v>-775</v>
      </c>
      <c r="M54" s="120"/>
      <c r="N54" s="111">
        <v>50</v>
      </c>
      <c r="O54" s="101"/>
      <c r="P54" s="101">
        <v>0</v>
      </c>
      <c r="Q54" s="102"/>
      <c r="R54" s="56"/>
      <c r="S54" s="56"/>
      <c r="T54" s="56"/>
      <c r="U54" s="56"/>
      <c r="V54" s="56"/>
      <c r="W54" s="56"/>
    </row>
    <row r="55" spans="1:23" ht="15" customHeight="1">
      <c r="A55" s="120"/>
      <c r="B55" s="114"/>
      <c r="C55" s="174">
        <v>3</v>
      </c>
      <c r="D55" s="51">
        <v>30</v>
      </c>
      <c r="E55" s="50">
        <v>70</v>
      </c>
      <c r="F55" s="51">
        <v>56</v>
      </c>
      <c r="G55" s="52">
        <f t="shared" si="0"/>
        <v>-345</v>
      </c>
      <c r="H55" s="53">
        <f t="shared" si="1"/>
        <v>-335</v>
      </c>
      <c r="I55" s="54">
        <f t="shared" si="2"/>
        <v>-269</v>
      </c>
      <c r="J55" s="634">
        <f t="shared" si="3"/>
        <v>1655</v>
      </c>
      <c r="K55" s="57">
        <f t="shared" si="4"/>
        <v>-335</v>
      </c>
      <c r="L55" s="58">
        <f t="shared" si="5"/>
        <v>-769</v>
      </c>
      <c r="M55" s="120"/>
      <c r="N55" s="111">
        <v>50</v>
      </c>
      <c r="O55" s="101"/>
      <c r="P55" s="101">
        <v>0</v>
      </c>
      <c r="Q55" s="102"/>
      <c r="R55" s="56"/>
      <c r="S55" s="56"/>
      <c r="T55" s="56"/>
      <c r="U55" s="56"/>
      <c r="V55" s="56"/>
      <c r="W55" s="56"/>
    </row>
    <row r="56" spans="1:23" ht="15" customHeight="1">
      <c r="A56" s="120"/>
      <c r="B56" s="114"/>
      <c r="C56" s="174">
        <v>4</v>
      </c>
      <c r="D56" s="51">
        <v>30</v>
      </c>
      <c r="E56" s="50">
        <v>60</v>
      </c>
      <c r="F56" s="51">
        <v>50</v>
      </c>
      <c r="G56" s="52">
        <f t="shared" si="0"/>
        <v>-365</v>
      </c>
      <c r="H56" s="53">
        <f t="shared" si="1"/>
        <v>-325</v>
      </c>
      <c r="I56" s="54">
        <f t="shared" si="2"/>
        <v>-269</v>
      </c>
      <c r="J56" s="634">
        <f t="shared" si="3"/>
        <v>1635</v>
      </c>
      <c r="K56" s="57">
        <f t="shared" si="4"/>
        <v>-325</v>
      </c>
      <c r="L56" s="58">
        <f t="shared" si="5"/>
        <v>-769</v>
      </c>
      <c r="M56" s="120"/>
      <c r="N56" s="111">
        <v>50</v>
      </c>
      <c r="O56" s="101"/>
      <c r="P56" s="101">
        <v>0</v>
      </c>
      <c r="Q56" s="102"/>
      <c r="R56" s="56"/>
      <c r="S56" s="56"/>
      <c r="T56" s="56"/>
      <c r="U56" s="56"/>
      <c r="V56" s="56"/>
      <c r="W56" s="56"/>
    </row>
    <row r="57" spans="1:23" ht="15" customHeight="1">
      <c r="A57" s="120"/>
      <c r="B57" s="114"/>
      <c r="C57" s="174">
        <v>5</v>
      </c>
      <c r="D57" s="51">
        <v>20</v>
      </c>
      <c r="E57" s="50">
        <v>35</v>
      </c>
      <c r="F57" s="51">
        <v>50</v>
      </c>
      <c r="G57" s="52">
        <f t="shared" si="0"/>
        <v>-395</v>
      </c>
      <c r="H57" s="53">
        <f t="shared" si="1"/>
        <v>-340</v>
      </c>
      <c r="I57" s="54">
        <f t="shared" si="2"/>
        <v>-269</v>
      </c>
      <c r="J57" s="634">
        <f t="shared" si="3"/>
        <v>1605</v>
      </c>
      <c r="K57" s="57">
        <f t="shared" si="4"/>
        <v>-340</v>
      </c>
      <c r="L57" s="58">
        <f t="shared" si="5"/>
        <v>-769</v>
      </c>
      <c r="M57" s="120"/>
      <c r="N57" s="111">
        <v>50</v>
      </c>
      <c r="O57" s="101"/>
      <c r="P57" s="101">
        <v>0</v>
      </c>
      <c r="Q57" s="102"/>
      <c r="R57" s="56"/>
      <c r="S57" s="56"/>
      <c r="T57" s="56"/>
      <c r="U57" s="56"/>
      <c r="V57" s="56"/>
      <c r="W57" s="56"/>
    </row>
    <row r="58" spans="1:23" ht="15" customHeight="1">
      <c r="A58" s="120"/>
      <c r="B58" s="114"/>
      <c r="C58" s="174">
        <v>6</v>
      </c>
      <c r="D58" s="51">
        <v>30</v>
      </c>
      <c r="E58" s="50">
        <v>40</v>
      </c>
      <c r="F58" s="51">
        <v>50</v>
      </c>
      <c r="G58" s="52">
        <f t="shared" si="0"/>
        <v>-415</v>
      </c>
      <c r="H58" s="53">
        <f t="shared" si="1"/>
        <v>-350</v>
      </c>
      <c r="I58" s="54">
        <f t="shared" si="2"/>
        <v>-269</v>
      </c>
      <c r="J58" s="634">
        <f t="shared" si="3"/>
        <v>1585</v>
      </c>
      <c r="K58" s="57">
        <f t="shared" si="4"/>
        <v>-350</v>
      </c>
      <c r="L58" s="58">
        <f t="shared" si="5"/>
        <v>-769</v>
      </c>
      <c r="M58" s="120"/>
      <c r="N58" s="111">
        <v>50</v>
      </c>
      <c r="O58" s="101"/>
      <c r="P58" s="101">
        <v>0</v>
      </c>
      <c r="Q58" s="102"/>
      <c r="R58" s="56"/>
      <c r="S58" s="56"/>
      <c r="T58" s="56"/>
      <c r="U58" s="56"/>
      <c r="V58" s="56"/>
      <c r="W58" s="56"/>
    </row>
    <row r="59" spans="1:23" ht="15" customHeight="1">
      <c r="A59" s="120"/>
      <c r="B59" s="114"/>
      <c r="C59" s="174">
        <v>7</v>
      </c>
      <c r="D59" s="51">
        <v>20</v>
      </c>
      <c r="E59" s="50">
        <v>30</v>
      </c>
      <c r="F59" s="51">
        <v>63</v>
      </c>
      <c r="G59" s="52">
        <f t="shared" si="0"/>
        <v>-445</v>
      </c>
      <c r="H59" s="53">
        <f t="shared" si="1"/>
        <v>-370</v>
      </c>
      <c r="I59" s="54">
        <f t="shared" si="2"/>
        <v>-256</v>
      </c>
      <c r="J59" s="634">
        <f t="shared" si="3"/>
        <v>1555</v>
      </c>
      <c r="K59" s="57">
        <f t="shared" si="4"/>
        <v>-370</v>
      </c>
      <c r="L59" s="58">
        <f t="shared" si="5"/>
        <v>-756</v>
      </c>
      <c r="M59" s="120"/>
      <c r="N59" s="111">
        <v>50</v>
      </c>
      <c r="O59" s="101"/>
      <c r="P59" s="101">
        <v>0</v>
      </c>
      <c r="Q59" s="102"/>
      <c r="R59" s="56"/>
      <c r="S59" s="56"/>
      <c r="T59" s="56"/>
      <c r="U59" s="56"/>
      <c r="V59" s="56"/>
      <c r="W59" s="56"/>
    </row>
    <row r="60" spans="1:23" ht="15" customHeight="1">
      <c r="A60" s="120"/>
      <c r="B60" s="114"/>
      <c r="C60" s="174">
        <v>8</v>
      </c>
      <c r="D60" s="51">
        <v>40</v>
      </c>
      <c r="E60" s="50">
        <v>20</v>
      </c>
      <c r="F60" s="51">
        <v>37</v>
      </c>
      <c r="G60" s="52">
        <f t="shared" si="0"/>
        <v>-455</v>
      </c>
      <c r="H60" s="53">
        <f t="shared" si="1"/>
        <v>-400</v>
      </c>
      <c r="I60" s="54">
        <f t="shared" si="2"/>
        <v>-269</v>
      </c>
      <c r="J60" s="634">
        <f t="shared" si="3"/>
        <v>1545</v>
      </c>
      <c r="K60" s="57">
        <f t="shared" si="4"/>
        <v>-400</v>
      </c>
      <c r="L60" s="58">
        <f t="shared" si="5"/>
        <v>-769</v>
      </c>
      <c r="M60" s="120"/>
      <c r="N60" s="111">
        <v>50</v>
      </c>
      <c r="O60" s="101"/>
      <c r="P60" s="101">
        <v>0</v>
      </c>
      <c r="Q60" s="102"/>
      <c r="R60" s="56"/>
      <c r="S60" s="56"/>
      <c r="T60" s="56"/>
      <c r="U60" s="56"/>
      <c r="V60" s="56"/>
      <c r="W60" s="56"/>
    </row>
    <row r="61" spans="1:23" ht="15" customHeight="1">
      <c r="A61" s="120"/>
      <c r="B61" s="114"/>
      <c r="C61" s="174">
        <v>9</v>
      </c>
      <c r="D61" s="51">
        <v>55</v>
      </c>
      <c r="E61" s="50">
        <v>60</v>
      </c>
      <c r="F61" s="51">
        <v>13</v>
      </c>
      <c r="G61" s="52">
        <f t="shared" si="0"/>
        <v>-450</v>
      </c>
      <c r="H61" s="53">
        <f t="shared" si="1"/>
        <v>-390</v>
      </c>
      <c r="I61" s="54">
        <f t="shared" si="2"/>
        <v>-306</v>
      </c>
      <c r="J61" s="634">
        <f t="shared" si="3"/>
        <v>1550</v>
      </c>
      <c r="K61" s="57">
        <f t="shared" si="4"/>
        <v>-390</v>
      </c>
      <c r="L61" s="58">
        <f t="shared" si="5"/>
        <v>-806</v>
      </c>
      <c r="M61" s="120"/>
      <c r="N61" s="111">
        <v>50</v>
      </c>
      <c r="O61" s="101"/>
      <c r="P61" s="101">
        <v>0</v>
      </c>
      <c r="Q61" s="102"/>
      <c r="R61" s="56"/>
      <c r="S61" s="56"/>
      <c r="T61" s="56"/>
      <c r="U61" s="56"/>
      <c r="V61" s="56"/>
      <c r="W61" s="56"/>
    </row>
    <row r="62" spans="1:23" ht="15" customHeight="1">
      <c r="A62" s="120"/>
      <c r="B62" s="114"/>
      <c r="C62" s="174">
        <v>10</v>
      </c>
      <c r="D62" s="51">
        <v>60</v>
      </c>
      <c r="E62" s="50">
        <v>60</v>
      </c>
      <c r="F62" s="51">
        <v>12</v>
      </c>
      <c r="G62" s="52">
        <f t="shared" si="0"/>
        <v>-440</v>
      </c>
      <c r="H62" s="53">
        <f t="shared" si="1"/>
        <v>-380</v>
      </c>
      <c r="I62" s="54">
        <f t="shared" si="2"/>
        <v>-344</v>
      </c>
      <c r="J62" s="634">
        <f t="shared" si="3"/>
        <v>1560</v>
      </c>
      <c r="K62" s="57">
        <f t="shared" si="4"/>
        <v>-380</v>
      </c>
      <c r="L62" s="58">
        <f t="shared" si="5"/>
        <v>-844</v>
      </c>
      <c r="M62" s="120"/>
      <c r="N62" s="111">
        <v>50</v>
      </c>
      <c r="O62" s="101"/>
      <c r="P62" s="101">
        <v>0</v>
      </c>
      <c r="Q62" s="102"/>
      <c r="R62" s="56"/>
      <c r="S62" s="56"/>
      <c r="T62" s="56"/>
      <c r="U62" s="56"/>
      <c r="V62" s="56"/>
      <c r="W62" s="56"/>
    </row>
    <row r="63" spans="1:23" ht="15" customHeight="1">
      <c r="A63" s="120"/>
      <c r="B63" s="114"/>
      <c r="C63" s="174">
        <v>11</v>
      </c>
      <c r="D63" s="51">
        <v>80</v>
      </c>
      <c r="E63" s="50">
        <v>70</v>
      </c>
      <c r="F63" s="51">
        <v>25</v>
      </c>
      <c r="G63" s="52">
        <f t="shared" si="0"/>
        <v>-410</v>
      </c>
      <c r="H63" s="53">
        <f t="shared" si="1"/>
        <v>-360</v>
      </c>
      <c r="I63" s="54">
        <f t="shared" si="2"/>
        <v>-369</v>
      </c>
      <c r="J63" s="634">
        <f t="shared" si="3"/>
        <v>1590</v>
      </c>
      <c r="K63" s="57">
        <f t="shared" si="4"/>
        <v>-360</v>
      </c>
      <c r="L63" s="58">
        <f t="shared" si="5"/>
        <v>-869</v>
      </c>
      <c r="M63" s="120"/>
      <c r="N63" s="111">
        <v>50</v>
      </c>
      <c r="O63" s="101"/>
      <c r="P63" s="101">
        <v>0</v>
      </c>
      <c r="Q63" s="102"/>
      <c r="R63" s="56"/>
      <c r="S63" s="56"/>
      <c r="T63" s="56"/>
      <c r="U63" s="56"/>
      <c r="V63" s="56"/>
      <c r="W63" s="56"/>
    </row>
    <row r="64" spans="1:23" ht="15" customHeight="1">
      <c r="A64" s="132"/>
      <c r="B64" s="115"/>
      <c r="C64" s="175">
        <v>12</v>
      </c>
      <c r="D64" s="59">
        <v>60</v>
      </c>
      <c r="E64" s="60">
        <v>60</v>
      </c>
      <c r="F64" s="59">
        <v>32</v>
      </c>
      <c r="G64" s="61">
        <f t="shared" si="0"/>
        <v>-400</v>
      </c>
      <c r="H64" s="62">
        <f t="shared" si="1"/>
        <v>-350</v>
      </c>
      <c r="I64" s="63">
        <f t="shared" si="2"/>
        <v>-387</v>
      </c>
      <c r="J64" s="635">
        <f t="shared" si="3"/>
        <v>1600</v>
      </c>
      <c r="K64" s="64">
        <f t="shared" si="4"/>
        <v>-350</v>
      </c>
      <c r="L64" s="636">
        <f t="shared" si="5"/>
        <v>-887</v>
      </c>
      <c r="M64" s="132"/>
      <c r="N64" s="136">
        <v>50</v>
      </c>
      <c r="O64" s="137"/>
      <c r="P64" s="137">
        <v>0</v>
      </c>
      <c r="Q64" s="160"/>
      <c r="R64" s="65"/>
      <c r="S64" s="65"/>
      <c r="T64" s="65"/>
      <c r="U64" s="65"/>
      <c r="V64" s="65"/>
      <c r="W64" s="65"/>
    </row>
    <row r="65" spans="1:23" ht="15" customHeight="1">
      <c r="A65" s="120"/>
      <c r="B65" s="103">
        <v>59</v>
      </c>
      <c r="C65" s="176">
        <v>1</v>
      </c>
      <c r="D65" s="66">
        <v>70</v>
      </c>
      <c r="E65" s="67">
        <v>100</v>
      </c>
      <c r="F65" s="66">
        <v>50</v>
      </c>
      <c r="G65" s="47">
        <f t="shared" si="0"/>
        <v>-380</v>
      </c>
      <c r="H65" s="48">
        <f t="shared" si="1"/>
        <v>-300</v>
      </c>
      <c r="I65" s="49">
        <f t="shared" si="2"/>
        <v>-387</v>
      </c>
      <c r="J65" s="630">
        <f t="shared" si="3"/>
        <v>1620</v>
      </c>
      <c r="K65" s="68">
        <f t="shared" si="4"/>
        <v>-300</v>
      </c>
      <c r="L65" s="631">
        <f t="shared" si="5"/>
        <v>-887</v>
      </c>
      <c r="M65" s="120">
        <v>1984</v>
      </c>
      <c r="N65" s="111">
        <v>50</v>
      </c>
      <c r="O65" s="101"/>
      <c r="P65" s="101">
        <v>0</v>
      </c>
      <c r="Q65" s="102"/>
    </row>
    <row r="66" spans="1:23" ht="15" customHeight="1">
      <c r="A66" s="120"/>
      <c r="B66" s="114"/>
      <c r="C66" s="174">
        <v>2</v>
      </c>
      <c r="D66" s="51">
        <v>80</v>
      </c>
      <c r="E66" s="50">
        <v>60</v>
      </c>
      <c r="F66" s="51">
        <v>62</v>
      </c>
      <c r="G66" s="52">
        <f t="shared" si="0"/>
        <v>-350</v>
      </c>
      <c r="H66" s="53">
        <f t="shared" si="1"/>
        <v>-290</v>
      </c>
      <c r="I66" s="54">
        <f t="shared" si="2"/>
        <v>-375</v>
      </c>
      <c r="J66" s="55">
        <f t="shared" si="3"/>
        <v>1650</v>
      </c>
      <c r="K66" s="57">
        <f t="shared" si="4"/>
        <v>-290</v>
      </c>
      <c r="L66" s="58">
        <f t="shared" si="5"/>
        <v>-875</v>
      </c>
      <c r="M66" s="120"/>
      <c r="N66" s="111">
        <v>50</v>
      </c>
      <c r="O66" s="101"/>
      <c r="P66" s="101">
        <v>0</v>
      </c>
      <c r="Q66" s="102"/>
      <c r="R66" s="56"/>
      <c r="S66" s="56"/>
      <c r="T66" s="56"/>
      <c r="U66" s="56"/>
      <c r="V66" s="56"/>
      <c r="W66" s="56"/>
    </row>
    <row r="67" spans="1:23" ht="15" customHeight="1">
      <c r="A67" s="120"/>
      <c r="B67" s="114"/>
      <c r="C67" s="174">
        <v>3</v>
      </c>
      <c r="D67" s="51">
        <v>70</v>
      </c>
      <c r="E67" s="50">
        <v>80</v>
      </c>
      <c r="F67" s="51">
        <v>38</v>
      </c>
      <c r="G67" s="52">
        <f t="shared" si="0"/>
        <v>-330</v>
      </c>
      <c r="H67" s="53">
        <f t="shared" si="1"/>
        <v>-260</v>
      </c>
      <c r="I67" s="54">
        <f t="shared" si="2"/>
        <v>-387</v>
      </c>
      <c r="J67" s="55">
        <f t="shared" si="3"/>
        <v>1670</v>
      </c>
      <c r="K67" s="57">
        <f t="shared" si="4"/>
        <v>-260</v>
      </c>
      <c r="L67" s="58">
        <f t="shared" si="5"/>
        <v>-887</v>
      </c>
      <c r="M67" s="120"/>
      <c r="N67" s="111">
        <v>50</v>
      </c>
      <c r="O67" s="101"/>
      <c r="P67" s="101">
        <v>0</v>
      </c>
      <c r="Q67" s="102"/>
      <c r="R67" s="56"/>
      <c r="S67" s="56"/>
      <c r="T67" s="56"/>
      <c r="U67" s="56"/>
      <c r="V67" s="56"/>
      <c r="W67" s="56"/>
    </row>
    <row r="68" spans="1:23" ht="15" customHeight="1">
      <c r="A68" s="120"/>
      <c r="B68" s="114"/>
      <c r="C68" s="174">
        <v>4</v>
      </c>
      <c r="D68" s="51">
        <v>90</v>
      </c>
      <c r="E68" s="50">
        <v>80</v>
      </c>
      <c r="F68" s="51">
        <v>75</v>
      </c>
      <c r="G68" s="52">
        <f t="shared" si="0"/>
        <v>-290</v>
      </c>
      <c r="H68" s="53">
        <f t="shared" si="1"/>
        <v>-230</v>
      </c>
      <c r="I68" s="54">
        <f t="shared" si="2"/>
        <v>-362</v>
      </c>
      <c r="J68" s="55">
        <f t="shared" si="3"/>
        <v>1710</v>
      </c>
      <c r="K68" s="57">
        <f t="shared" si="4"/>
        <v>-230</v>
      </c>
      <c r="L68" s="58">
        <f t="shared" si="5"/>
        <v>-862</v>
      </c>
      <c r="M68" s="120"/>
      <c r="N68" s="111">
        <v>50</v>
      </c>
      <c r="O68" s="101"/>
      <c r="P68" s="101">
        <v>0</v>
      </c>
      <c r="Q68" s="102"/>
      <c r="R68" s="56"/>
      <c r="S68" s="56"/>
      <c r="T68" s="56"/>
      <c r="U68" s="56"/>
      <c r="V68" s="56"/>
      <c r="W68" s="56"/>
    </row>
    <row r="69" spans="1:23" ht="15" customHeight="1">
      <c r="A69" s="120"/>
      <c r="B69" s="114"/>
      <c r="C69" s="174">
        <v>5</v>
      </c>
      <c r="D69" s="51">
        <v>70</v>
      </c>
      <c r="E69" s="50">
        <v>80</v>
      </c>
      <c r="F69" s="51">
        <v>62</v>
      </c>
      <c r="G69" s="52">
        <f t="shared" si="0"/>
        <v>-270</v>
      </c>
      <c r="H69" s="53">
        <f t="shared" si="1"/>
        <v>-200</v>
      </c>
      <c r="I69" s="54">
        <f t="shared" si="2"/>
        <v>-350</v>
      </c>
      <c r="J69" s="55">
        <f t="shared" si="3"/>
        <v>1730</v>
      </c>
      <c r="K69" s="57">
        <f t="shared" si="4"/>
        <v>-200</v>
      </c>
      <c r="L69" s="58">
        <f t="shared" si="5"/>
        <v>-850</v>
      </c>
      <c r="M69" s="120"/>
      <c r="N69" s="111">
        <v>50</v>
      </c>
      <c r="O69" s="101"/>
      <c r="P69" s="101">
        <v>0</v>
      </c>
      <c r="Q69" s="102"/>
      <c r="R69" s="56"/>
      <c r="S69" s="56"/>
      <c r="T69" s="56"/>
      <c r="U69" s="56"/>
      <c r="V69" s="56"/>
      <c r="W69" s="56"/>
    </row>
    <row r="70" spans="1:23" ht="15" customHeight="1">
      <c r="A70" s="120"/>
      <c r="B70" s="114"/>
      <c r="C70" s="174">
        <v>6</v>
      </c>
      <c r="D70" s="51">
        <v>70</v>
      </c>
      <c r="E70" s="50">
        <v>90</v>
      </c>
      <c r="F70" s="51">
        <v>63</v>
      </c>
      <c r="G70" s="52">
        <f t="shared" ref="G70:G133" si="6">D70-50+G69</f>
        <v>-250</v>
      </c>
      <c r="H70" s="53">
        <f t="shared" ref="H70:H133" si="7">E70-50+H69</f>
        <v>-160</v>
      </c>
      <c r="I70" s="54">
        <f t="shared" ref="I70:I133" si="8">F70-50+I69</f>
        <v>-337</v>
      </c>
      <c r="J70" s="55">
        <f t="shared" ref="J70:J133" si="9">IF($D70="",NA,$G70+2000)</f>
        <v>1750</v>
      </c>
      <c r="K70" s="57">
        <f t="shared" ref="K70:K133" si="10">IF(E70="",NA,H70)</f>
        <v>-160</v>
      </c>
      <c r="L70" s="58">
        <f t="shared" ref="L70:L133" si="11">IF($F70="",NA,$I70-500)</f>
        <v>-837</v>
      </c>
      <c r="M70" s="120"/>
      <c r="N70" s="111">
        <v>50</v>
      </c>
      <c r="O70" s="101"/>
      <c r="P70" s="101">
        <v>0</v>
      </c>
      <c r="Q70" s="102"/>
      <c r="R70" s="56"/>
      <c r="S70" s="56"/>
      <c r="T70" s="56"/>
      <c r="U70" s="56"/>
      <c r="V70" s="56"/>
      <c r="W70" s="56"/>
    </row>
    <row r="71" spans="1:23" ht="15" customHeight="1">
      <c r="A71" s="120"/>
      <c r="B71" s="114"/>
      <c r="C71" s="174">
        <v>7</v>
      </c>
      <c r="D71" s="51">
        <v>80</v>
      </c>
      <c r="E71" s="50">
        <v>45</v>
      </c>
      <c r="F71" s="51">
        <v>25</v>
      </c>
      <c r="G71" s="52">
        <f t="shared" si="6"/>
        <v>-220</v>
      </c>
      <c r="H71" s="53">
        <f t="shared" si="7"/>
        <v>-165</v>
      </c>
      <c r="I71" s="54">
        <f t="shared" si="8"/>
        <v>-362</v>
      </c>
      <c r="J71" s="55">
        <f t="shared" si="9"/>
        <v>1780</v>
      </c>
      <c r="K71" s="57">
        <f t="shared" si="10"/>
        <v>-165</v>
      </c>
      <c r="L71" s="58">
        <f t="shared" si="11"/>
        <v>-862</v>
      </c>
      <c r="M71" s="120"/>
      <c r="N71" s="111">
        <v>50</v>
      </c>
      <c r="O71" s="101"/>
      <c r="P71" s="101">
        <v>0</v>
      </c>
      <c r="Q71" s="102"/>
      <c r="R71" s="56"/>
      <c r="S71" s="56"/>
      <c r="T71" s="56"/>
      <c r="U71" s="56"/>
      <c r="V71" s="56"/>
      <c r="W71" s="56"/>
    </row>
    <row r="72" spans="1:23" ht="15" customHeight="1">
      <c r="A72" s="120"/>
      <c r="B72" s="114"/>
      <c r="C72" s="174">
        <v>8</v>
      </c>
      <c r="D72" s="51">
        <v>65</v>
      </c>
      <c r="E72" s="50">
        <v>60</v>
      </c>
      <c r="F72" s="51">
        <v>50</v>
      </c>
      <c r="G72" s="52">
        <f t="shared" si="6"/>
        <v>-205</v>
      </c>
      <c r="H72" s="53">
        <f t="shared" si="7"/>
        <v>-155</v>
      </c>
      <c r="I72" s="54">
        <f t="shared" si="8"/>
        <v>-362</v>
      </c>
      <c r="J72" s="55">
        <f t="shared" si="9"/>
        <v>1795</v>
      </c>
      <c r="K72" s="57">
        <f t="shared" si="10"/>
        <v>-155</v>
      </c>
      <c r="L72" s="58">
        <f t="shared" si="11"/>
        <v>-862</v>
      </c>
      <c r="M72" s="120"/>
      <c r="N72" s="111">
        <v>50</v>
      </c>
      <c r="O72" s="101"/>
      <c r="P72" s="101">
        <v>0</v>
      </c>
      <c r="Q72" s="102"/>
      <c r="R72" s="56"/>
      <c r="S72" s="56"/>
      <c r="T72" s="56"/>
      <c r="U72" s="56"/>
      <c r="V72" s="56"/>
      <c r="W72" s="56"/>
    </row>
    <row r="73" spans="1:23" ht="15" customHeight="1">
      <c r="A73" s="120"/>
      <c r="B73" s="114"/>
      <c r="C73" s="174">
        <v>9</v>
      </c>
      <c r="D73" s="51">
        <v>50</v>
      </c>
      <c r="E73" s="50">
        <v>60</v>
      </c>
      <c r="F73" s="51">
        <v>62</v>
      </c>
      <c r="G73" s="52">
        <f t="shared" si="6"/>
        <v>-205</v>
      </c>
      <c r="H73" s="53">
        <f t="shared" si="7"/>
        <v>-145</v>
      </c>
      <c r="I73" s="54">
        <f t="shared" si="8"/>
        <v>-350</v>
      </c>
      <c r="J73" s="55">
        <f t="shared" si="9"/>
        <v>1795</v>
      </c>
      <c r="K73" s="57">
        <f t="shared" si="10"/>
        <v>-145</v>
      </c>
      <c r="L73" s="58">
        <f t="shared" si="11"/>
        <v>-850</v>
      </c>
      <c r="M73" s="120"/>
      <c r="N73" s="111">
        <v>50</v>
      </c>
      <c r="O73" s="101"/>
      <c r="P73" s="101">
        <v>0</v>
      </c>
      <c r="Q73" s="102"/>
      <c r="R73" s="56"/>
      <c r="S73" s="56"/>
      <c r="T73" s="56"/>
      <c r="U73" s="56"/>
      <c r="V73" s="56"/>
      <c r="W73" s="56"/>
    </row>
    <row r="74" spans="1:23" ht="15" customHeight="1">
      <c r="A74" s="120"/>
      <c r="B74" s="114"/>
      <c r="C74" s="174">
        <v>10</v>
      </c>
      <c r="D74" s="51">
        <v>50</v>
      </c>
      <c r="E74" s="50">
        <v>40</v>
      </c>
      <c r="F74" s="51">
        <v>63</v>
      </c>
      <c r="G74" s="52">
        <f t="shared" si="6"/>
        <v>-205</v>
      </c>
      <c r="H74" s="53">
        <f t="shared" si="7"/>
        <v>-155</v>
      </c>
      <c r="I74" s="54">
        <f t="shared" si="8"/>
        <v>-337</v>
      </c>
      <c r="J74" s="55">
        <f t="shared" si="9"/>
        <v>1795</v>
      </c>
      <c r="K74" s="57">
        <f t="shared" si="10"/>
        <v>-155</v>
      </c>
      <c r="L74" s="58">
        <f t="shared" si="11"/>
        <v>-837</v>
      </c>
      <c r="M74" s="120"/>
      <c r="N74" s="111">
        <v>50</v>
      </c>
      <c r="O74" s="101"/>
      <c r="P74" s="101">
        <v>0</v>
      </c>
      <c r="Q74" s="102"/>
      <c r="R74" s="56"/>
      <c r="S74" s="56"/>
      <c r="T74" s="56"/>
      <c r="U74" s="56"/>
      <c r="V74" s="56"/>
      <c r="W74" s="56"/>
    </row>
    <row r="75" spans="1:23" ht="15" customHeight="1">
      <c r="A75" s="120"/>
      <c r="B75" s="114"/>
      <c r="C75" s="174">
        <v>11</v>
      </c>
      <c r="D75" s="51">
        <v>50</v>
      </c>
      <c r="E75" s="50">
        <v>40</v>
      </c>
      <c r="F75" s="51">
        <v>62</v>
      </c>
      <c r="G75" s="52">
        <f t="shared" si="6"/>
        <v>-205</v>
      </c>
      <c r="H75" s="53">
        <f t="shared" si="7"/>
        <v>-165</v>
      </c>
      <c r="I75" s="54">
        <f t="shared" si="8"/>
        <v>-325</v>
      </c>
      <c r="J75" s="55">
        <f t="shared" si="9"/>
        <v>1795</v>
      </c>
      <c r="K75" s="57">
        <f t="shared" si="10"/>
        <v>-165</v>
      </c>
      <c r="L75" s="58">
        <f t="shared" si="11"/>
        <v>-825</v>
      </c>
      <c r="M75" s="120"/>
      <c r="N75" s="111">
        <v>50</v>
      </c>
      <c r="O75" s="101"/>
      <c r="P75" s="101">
        <v>0</v>
      </c>
      <c r="Q75" s="102"/>
      <c r="R75" s="56"/>
      <c r="S75" s="56"/>
      <c r="T75" s="56"/>
      <c r="U75" s="56"/>
      <c r="V75" s="56"/>
      <c r="W75" s="56"/>
    </row>
    <row r="76" spans="1:23" ht="15" customHeight="1">
      <c r="A76" s="120"/>
      <c r="B76" s="116"/>
      <c r="C76" s="177">
        <v>12</v>
      </c>
      <c r="D76" s="139">
        <v>60</v>
      </c>
      <c r="E76" s="140">
        <v>60</v>
      </c>
      <c r="F76" s="139">
        <v>63</v>
      </c>
      <c r="G76" s="141">
        <f t="shared" si="6"/>
        <v>-195</v>
      </c>
      <c r="H76" s="142">
        <f t="shared" si="7"/>
        <v>-155</v>
      </c>
      <c r="I76" s="143">
        <f t="shared" si="8"/>
        <v>-312</v>
      </c>
      <c r="J76" s="637">
        <f t="shared" si="9"/>
        <v>1805</v>
      </c>
      <c r="K76" s="144">
        <f t="shared" si="10"/>
        <v>-155</v>
      </c>
      <c r="L76" s="638">
        <f t="shared" si="11"/>
        <v>-812</v>
      </c>
      <c r="M76" s="120"/>
      <c r="N76" s="145">
        <v>50</v>
      </c>
      <c r="O76" s="146"/>
      <c r="P76" s="146">
        <v>0</v>
      </c>
      <c r="Q76" s="148"/>
      <c r="R76" s="65"/>
      <c r="S76" s="65"/>
      <c r="T76" s="65"/>
      <c r="U76" s="65"/>
      <c r="V76" s="65"/>
      <c r="W76" s="65"/>
    </row>
    <row r="77" spans="1:23" ht="15" customHeight="1">
      <c r="A77" s="125"/>
      <c r="B77" s="126">
        <v>60</v>
      </c>
      <c r="C77" s="173">
        <v>1</v>
      </c>
      <c r="D77" s="128">
        <v>20</v>
      </c>
      <c r="E77" s="127">
        <v>60</v>
      </c>
      <c r="F77" s="128">
        <v>75</v>
      </c>
      <c r="G77" s="129">
        <f t="shared" si="6"/>
        <v>-225</v>
      </c>
      <c r="H77" s="130">
        <f t="shared" si="7"/>
        <v>-145</v>
      </c>
      <c r="I77" s="131">
        <f t="shared" si="8"/>
        <v>-287</v>
      </c>
      <c r="J77" s="632">
        <f t="shared" si="9"/>
        <v>1775</v>
      </c>
      <c r="K77" s="158">
        <f t="shared" si="10"/>
        <v>-145</v>
      </c>
      <c r="L77" s="633">
        <f t="shared" si="11"/>
        <v>-787</v>
      </c>
      <c r="M77" s="125">
        <v>1985</v>
      </c>
      <c r="N77" s="133">
        <v>50</v>
      </c>
      <c r="O77" s="134"/>
      <c r="P77" s="134">
        <v>0</v>
      </c>
      <c r="Q77" s="135"/>
    </row>
    <row r="78" spans="1:23" ht="15" customHeight="1">
      <c r="A78" s="120"/>
      <c r="B78" s="114"/>
      <c r="C78" s="174">
        <v>2</v>
      </c>
      <c r="D78" s="51">
        <v>55</v>
      </c>
      <c r="E78" s="50">
        <v>80</v>
      </c>
      <c r="F78" s="51">
        <v>62</v>
      </c>
      <c r="G78" s="52">
        <f t="shared" si="6"/>
        <v>-220</v>
      </c>
      <c r="H78" s="53">
        <f t="shared" si="7"/>
        <v>-115</v>
      </c>
      <c r="I78" s="54">
        <f t="shared" si="8"/>
        <v>-275</v>
      </c>
      <c r="J78" s="634">
        <f t="shared" si="9"/>
        <v>1780</v>
      </c>
      <c r="K78" s="57">
        <f t="shared" si="10"/>
        <v>-115</v>
      </c>
      <c r="L78" s="58">
        <f t="shared" si="11"/>
        <v>-775</v>
      </c>
      <c r="M78" s="120"/>
      <c r="N78" s="111">
        <v>50</v>
      </c>
      <c r="O78" s="101"/>
      <c r="P78" s="101">
        <v>0</v>
      </c>
      <c r="Q78" s="102"/>
      <c r="R78" s="56"/>
      <c r="S78" s="56"/>
      <c r="T78" s="56"/>
      <c r="U78" s="56"/>
      <c r="V78" s="56"/>
      <c r="W78" s="56"/>
    </row>
    <row r="79" spans="1:23" ht="15" customHeight="1">
      <c r="A79" s="120"/>
      <c r="B79" s="114"/>
      <c r="C79" s="174">
        <v>3</v>
      </c>
      <c r="D79" s="51">
        <v>60</v>
      </c>
      <c r="E79" s="50">
        <v>30</v>
      </c>
      <c r="F79" s="51">
        <v>50</v>
      </c>
      <c r="G79" s="52">
        <f t="shared" si="6"/>
        <v>-210</v>
      </c>
      <c r="H79" s="53">
        <f t="shared" si="7"/>
        <v>-135</v>
      </c>
      <c r="I79" s="54">
        <f t="shared" si="8"/>
        <v>-275</v>
      </c>
      <c r="J79" s="634">
        <f t="shared" si="9"/>
        <v>1790</v>
      </c>
      <c r="K79" s="57">
        <f t="shared" si="10"/>
        <v>-135</v>
      </c>
      <c r="L79" s="58">
        <f t="shared" si="11"/>
        <v>-775</v>
      </c>
      <c r="M79" s="120"/>
      <c r="N79" s="111">
        <v>50</v>
      </c>
      <c r="O79" s="101"/>
      <c r="P79" s="101">
        <v>0</v>
      </c>
      <c r="Q79" s="102"/>
      <c r="R79" s="56"/>
      <c r="S79" s="56"/>
      <c r="T79" s="56"/>
      <c r="U79" s="56"/>
      <c r="V79" s="56"/>
      <c r="W79" s="56"/>
    </row>
    <row r="80" spans="1:23" ht="15" customHeight="1">
      <c r="A80" s="120"/>
      <c r="B80" s="114"/>
      <c r="C80" s="174">
        <v>4</v>
      </c>
      <c r="D80" s="51">
        <v>55</v>
      </c>
      <c r="E80" s="50">
        <v>70</v>
      </c>
      <c r="F80" s="51">
        <v>13</v>
      </c>
      <c r="G80" s="52">
        <f t="shared" si="6"/>
        <v>-205</v>
      </c>
      <c r="H80" s="53">
        <f t="shared" si="7"/>
        <v>-115</v>
      </c>
      <c r="I80" s="54">
        <f t="shared" si="8"/>
        <v>-312</v>
      </c>
      <c r="J80" s="634">
        <f t="shared" si="9"/>
        <v>1795</v>
      </c>
      <c r="K80" s="57">
        <f t="shared" si="10"/>
        <v>-115</v>
      </c>
      <c r="L80" s="58">
        <f t="shared" si="11"/>
        <v>-812</v>
      </c>
      <c r="M80" s="120"/>
      <c r="N80" s="111">
        <v>50</v>
      </c>
      <c r="O80" s="101"/>
      <c r="P80" s="101">
        <v>0</v>
      </c>
      <c r="Q80" s="102"/>
      <c r="R80" s="56"/>
      <c r="S80" s="56"/>
      <c r="T80" s="56"/>
      <c r="U80" s="56"/>
      <c r="V80" s="56"/>
      <c r="W80" s="56"/>
    </row>
    <row r="81" spans="1:23" ht="15" customHeight="1">
      <c r="A81" s="120"/>
      <c r="B81" s="114"/>
      <c r="C81" s="174">
        <v>5</v>
      </c>
      <c r="D81" s="51">
        <v>40</v>
      </c>
      <c r="E81" s="50">
        <v>60</v>
      </c>
      <c r="F81" s="51">
        <v>25</v>
      </c>
      <c r="G81" s="52">
        <f t="shared" si="6"/>
        <v>-215</v>
      </c>
      <c r="H81" s="53">
        <f t="shared" si="7"/>
        <v>-105</v>
      </c>
      <c r="I81" s="54">
        <f t="shared" si="8"/>
        <v>-337</v>
      </c>
      <c r="J81" s="634">
        <f t="shared" si="9"/>
        <v>1785</v>
      </c>
      <c r="K81" s="57">
        <f t="shared" si="10"/>
        <v>-105</v>
      </c>
      <c r="L81" s="58">
        <f t="shared" si="11"/>
        <v>-837</v>
      </c>
      <c r="M81" s="120"/>
      <c r="N81" s="111">
        <v>50</v>
      </c>
      <c r="O81" s="101"/>
      <c r="P81" s="101">
        <v>0</v>
      </c>
      <c r="Q81" s="102"/>
      <c r="R81" s="56"/>
      <c r="S81" s="56"/>
      <c r="T81" s="56"/>
      <c r="U81" s="56"/>
      <c r="V81" s="56"/>
      <c r="W81" s="56"/>
    </row>
    <row r="82" spans="1:23" ht="15" customHeight="1">
      <c r="A82" s="120"/>
      <c r="B82" s="114"/>
      <c r="C82" s="174">
        <v>6</v>
      </c>
      <c r="D82" s="51">
        <v>40</v>
      </c>
      <c r="E82" s="50">
        <v>70</v>
      </c>
      <c r="F82" s="51">
        <v>37</v>
      </c>
      <c r="G82" s="52">
        <f t="shared" si="6"/>
        <v>-225</v>
      </c>
      <c r="H82" s="53">
        <f t="shared" si="7"/>
        <v>-85</v>
      </c>
      <c r="I82" s="54">
        <f t="shared" si="8"/>
        <v>-350</v>
      </c>
      <c r="J82" s="634">
        <f t="shared" si="9"/>
        <v>1775</v>
      </c>
      <c r="K82" s="57">
        <f t="shared" si="10"/>
        <v>-85</v>
      </c>
      <c r="L82" s="58">
        <f t="shared" si="11"/>
        <v>-850</v>
      </c>
      <c r="M82" s="120"/>
      <c r="N82" s="111">
        <v>50</v>
      </c>
      <c r="O82" s="101"/>
      <c r="P82" s="101">
        <v>0</v>
      </c>
      <c r="Q82" s="102"/>
      <c r="R82" s="56"/>
      <c r="S82" s="56"/>
      <c r="T82" s="56"/>
      <c r="U82" s="56"/>
      <c r="V82" s="56"/>
      <c r="W82" s="56"/>
    </row>
    <row r="83" spans="1:23" ht="15" customHeight="1">
      <c r="A83" s="120"/>
      <c r="B83" s="114"/>
      <c r="C83" s="174">
        <v>7</v>
      </c>
      <c r="D83" s="51">
        <v>50</v>
      </c>
      <c r="E83" s="50">
        <v>40</v>
      </c>
      <c r="F83" s="51">
        <v>50</v>
      </c>
      <c r="G83" s="52">
        <f t="shared" si="6"/>
        <v>-225</v>
      </c>
      <c r="H83" s="53">
        <f t="shared" si="7"/>
        <v>-95</v>
      </c>
      <c r="I83" s="54">
        <f t="shared" si="8"/>
        <v>-350</v>
      </c>
      <c r="J83" s="634">
        <f t="shared" si="9"/>
        <v>1775</v>
      </c>
      <c r="K83" s="57">
        <f t="shared" si="10"/>
        <v>-95</v>
      </c>
      <c r="L83" s="58">
        <f t="shared" si="11"/>
        <v>-850</v>
      </c>
      <c r="M83" s="120"/>
      <c r="N83" s="111">
        <v>50</v>
      </c>
      <c r="O83" s="101"/>
      <c r="P83" s="101">
        <v>0</v>
      </c>
      <c r="Q83" s="102"/>
      <c r="R83" s="56"/>
      <c r="S83" s="56"/>
      <c r="T83" s="56"/>
      <c r="U83" s="56"/>
      <c r="V83" s="56"/>
      <c r="W83" s="56"/>
    </row>
    <row r="84" spans="1:23" ht="15" customHeight="1">
      <c r="A84" s="120"/>
      <c r="B84" s="114"/>
      <c r="C84" s="174">
        <v>8</v>
      </c>
      <c r="D84" s="51">
        <v>50</v>
      </c>
      <c r="E84" s="50">
        <v>55</v>
      </c>
      <c r="F84" s="51">
        <v>50</v>
      </c>
      <c r="G84" s="52">
        <f t="shared" si="6"/>
        <v>-225</v>
      </c>
      <c r="H84" s="53">
        <f t="shared" si="7"/>
        <v>-90</v>
      </c>
      <c r="I84" s="54">
        <f t="shared" si="8"/>
        <v>-350</v>
      </c>
      <c r="J84" s="634">
        <f t="shared" si="9"/>
        <v>1775</v>
      </c>
      <c r="K84" s="57">
        <f t="shared" si="10"/>
        <v>-90</v>
      </c>
      <c r="L84" s="58">
        <f t="shared" si="11"/>
        <v>-850</v>
      </c>
      <c r="M84" s="120"/>
      <c r="N84" s="111">
        <v>50</v>
      </c>
      <c r="O84" s="101"/>
      <c r="P84" s="101">
        <v>0</v>
      </c>
      <c r="Q84" s="102"/>
      <c r="R84" s="56"/>
      <c r="S84" s="56"/>
      <c r="T84" s="56"/>
      <c r="U84" s="56"/>
      <c r="V84" s="56"/>
      <c r="W84" s="56"/>
    </row>
    <row r="85" spans="1:23" ht="15" customHeight="1">
      <c r="A85" s="120"/>
      <c r="B85" s="114"/>
      <c r="C85" s="174">
        <v>9</v>
      </c>
      <c r="D85" s="51">
        <v>55</v>
      </c>
      <c r="E85" s="50">
        <v>40</v>
      </c>
      <c r="F85" s="51">
        <v>63</v>
      </c>
      <c r="G85" s="52">
        <f t="shared" si="6"/>
        <v>-220</v>
      </c>
      <c r="H85" s="53">
        <f t="shared" si="7"/>
        <v>-100</v>
      </c>
      <c r="I85" s="54">
        <f t="shared" si="8"/>
        <v>-337</v>
      </c>
      <c r="J85" s="634">
        <f t="shared" si="9"/>
        <v>1780</v>
      </c>
      <c r="K85" s="57">
        <f t="shared" si="10"/>
        <v>-100</v>
      </c>
      <c r="L85" s="58">
        <f t="shared" si="11"/>
        <v>-837</v>
      </c>
      <c r="M85" s="120"/>
      <c r="N85" s="111">
        <v>50</v>
      </c>
      <c r="O85" s="101"/>
      <c r="P85" s="101">
        <v>0</v>
      </c>
      <c r="Q85" s="102"/>
      <c r="R85" s="56"/>
      <c r="S85" s="56"/>
      <c r="T85" s="56"/>
      <c r="U85" s="56"/>
      <c r="V85" s="56"/>
      <c r="W85" s="56"/>
    </row>
    <row r="86" spans="1:23" ht="15" customHeight="1">
      <c r="A86" s="120"/>
      <c r="B86" s="114"/>
      <c r="C86" s="174">
        <v>10</v>
      </c>
      <c r="D86" s="51">
        <v>50</v>
      </c>
      <c r="E86" s="50">
        <v>60</v>
      </c>
      <c r="F86" s="51">
        <v>37</v>
      </c>
      <c r="G86" s="52">
        <f t="shared" si="6"/>
        <v>-220</v>
      </c>
      <c r="H86" s="53">
        <f t="shared" si="7"/>
        <v>-90</v>
      </c>
      <c r="I86" s="54">
        <f t="shared" si="8"/>
        <v>-350</v>
      </c>
      <c r="J86" s="634">
        <f t="shared" si="9"/>
        <v>1780</v>
      </c>
      <c r="K86" s="57">
        <f t="shared" si="10"/>
        <v>-90</v>
      </c>
      <c r="L86" s="58">
        <f t="shared" si="11"/>
        <v>-850</v>
      </c>
      <c r="M86" s="120"/>
      <c r="N86" s="111">
        <v>50</v>
      </c>
      <c r="O86" s="101"/>
      <c r="P86" s="101">
        <v>0</v>
      </c>
      <c r="Q86" s="102"/>
      <c r="R86" s="56"/>
      <c r="S86" s="56"/>
      <c r="T86" s="56"/>
      <c r="U86" s="56"/>
      <c r="V86" s="56"/>
      <c r="W86" s="56"/>
    </row>
    <row r="87" spans="1:23" ht="15" customHeight="1">
      <c r="A87" s="120"/>
      <c r="B87" s="114"/>
      <c r="C87" s="174">
        <v>11</v>
      </c>
      <c r="D87" s="51">
        <v>40</v>
      </c>
      <c r="E87" s="50">
        <v>40</v>
      </c>
      <c r="F87" s="51">
        <v>57</v>
      </c>
      <c r="G87" s="52">
        <f t="shared" si="6"/>
        <v>-230</v>
      </c>
      <c r="H87" s="53">
        <f t="shared" si="7"/>
        <v>-100</v>
      </c>
      <c r="I87" s="54">
        <f t="shared" si="8"/>
        <v>-343</v>
      </c>
      <c r="J87" s="634">
        <f t="shared" si="9"/>
        <v>1770</v>
      </c>
      <c r="K87" s="57">
        <f t="shared" si="10"/>
        <v>-100</v>
      </c>
      <c r="L87" s="58">
        <f t="shared" si="11"/>
        <v>-843</v>
      </c>
      <c r="M87" s="120"/>
      <c r="N87" s="111">
        <v>50</v>
      </c>
      <c r="O87" s="101">
        <v>99</v>
      </c>
      <c r="P87" s="101">
        <v>0</v>
      </c>
      <c r="Q87" s="112">
        <v>2980</v>
      </c>
      <c r="R87" s="56"/>
      <c r="S87" s="56"/>
      <c r="T87" s="56"/>
      <c r="U87" s="56"/>
      <c r="V87" s="56"/>
      <c r="W87" s="56"/>
    </row>
    <row r="88" spans="1:23" ht="15" customHeight="1">
      <c r="A88" s="132"/>
      <c r="B88" s="115"/>
      <c r="C88" s="175">
        <v>12</v>
      </c>
      <c r="D88" s="59">
        <v>65</v>
      </c>
      <c r="E88" s="60">
        <v>20</v>
      </c>
      <c r="F88" s="59">
        <v>37</v>
      </c>
      <c r="G88" s="61">
        <f t="shared" si="6"/>
        <v>-215</v>
      </c>
      <c r="H88" s="62">
        <f t="shared" si="7"/>
        <v>-130</v>
      </c>
      <c r="I88" s="63">
        <f t="shared" si="8"/>
        <v>-356</v>
      </c>
      <c r="J88" s="635">
        <f t="shared" si="9"/>
        <v>1785</v>
      </c>
      <c r="K88" s="64">
        <f t="shared" si="10"/>
        <v>-130</v>
      </c>
      <c r="L88" s="636">
        <f t="shared" si="11"/>
        <v>-856</v>
      </c>
      <c r="M88" s="132"/>
      <c r="N88" s="136">
        <v>50</v>
      </c>
      <c r="O88" s="137">
        <v>99</v>
      </c>
      <c r="P88" s="137">
        <v>0</v>
      </c>
      <c r="Q88" s="138">
        <v>2980</v>
      </c>
      <c r="R88" s="65"/>
      <c r="S88" s="65"/>
      <c r="T88" s="65"/>
      <c r="U88" s="65"/>
      <c r="V88" s="65"/>
      <c r="W88" s="65"/>
    </row>
    <row r="89" spans="1:23" ht="15" customHeight="1">
      <c r="A89" s="120"/>
      <c r="B89" s="103">
        <v>61</v>
      </c>
      <c r="C89" s="176">
        <v>1</v>
      </c>
      <c r="D89" s="66">
        <v>50</v>
      </c>
      <c r="E89" s="67">
        <v>40</v>
      </c>
      <c r="F89" s="66">
        <v>25</v>
      </c>
      <c r="G89" s="47">
        <f t="shared" si="6"/>
        <v>-215</v>
      </c>
      <c r="H89" s="48">
        <f t="shared" si="7"/>
        <v>-140</v>
      </c>
      <c r="I89" s="49">
        <f t="shared" si="8"/>
        <v>-381</v>
      </c>
      <c r="J89" s="630">
        <f t="shared" si="9"/>
        <v>1785</v>
      </c>
      <c r="K89" s="68">
        <f t="shared" si="10"/>
        <v>-140</v>
      </c>
      <c r="L89" s="631">
        <f t="shared" si="11"/>
        <v>-881</v>
      </c>
      <c r="M89" s="120">
        <v>1986</v>
      </c>
      <c r="N89" s="111">
        <v>50</v>
      </c>
      <c r="O89" s="101">
        <v>99</v>
      </c>
      <c r="P89" s="101">
        <v>0</v>
      </c>
      <c r="Q89" s="112">
        <v>2980</v>
      </c>
    </row>
    <row r="90" spans="1:23" ht="15" customHeight="1">
      <c r="A90" s="120"/>
      <c r="B90" s="114"/>
      <c r="C90" s="174">
        <v>2</v>
      </c>
      <c r="D90" s="51">
        <v>35</v>
      </c>
      <c r="E90" s="50">
        <v>35</v>
      </c>
      <c r="F90" s="51">
        <v>38</v>
      </c>
      <c r="G90" s="52">
        <f t="shared" si="6"/>
        <v>-230</v>
      </c>
      <c r="H90" s="53">
        <f t="shared" si="7"/>
        <v>-155</v>
      </c>
      <c r="I90" s="54">
        <f t="shared" si="8"/>
        <v>-393</v>
      </c>
      <c r="J90" s="55">
        <f t="shared" si="9"/>
        <v>1770</v>
      </c>
      <c r="K90" s="57">
        <f t="shared" si="10"/>
        <v>-155</v>
      </c>
      <c r="L90" s="58">
        <f t="shared" si="11"/>
        <v>-893</v>
      </c>
      <c r="M90" s="120"/>
      <c r="N90" s="111">
        <v>50</v>
      </c>
      <c r="O90" s="101">
        <v>99</v>
      </c>
      <c r="P90" s="101">
        <v>0</v>
      </c>
      <c r="Q90" s="112">
        <v>2980</v>
      </c>
      <c r="R90" s="56"/>
      <c r="S90" s="56"/>
      <c r="T90" s="56"/>
      <c r="U90" s="56"/>
      <c r="V90" s="56"/>
      <c r="W90" s="56"/>
    </row>
    <row r="91" spans="1:23" ht="15" customHeight="1">
      <c r="A91" s="120"/>
      <c r="B91" s="114"/>
      <c r="C91" s="174">
        <v>3</v>
      </c>
      <c r="D91" s="51">
        <v>50</v>
      </c>
      <c r="E91" s="50">
        <v>40</v>
      </c>
      <c r="F91" s="51">
        <v>25</v>
      </c>
      <c r="G91" s="52">
        <f t="shared" si="6"/>
        <v>-230</v>
      </c>
      <c r="H91" s="53">
        <f t="shared" si="7"/>
        <v>-165</v>
      </c>
      <c r="I91" s="54">
        <f t="shared" si="8"/>
        <v>-418</v>
      </c>
      <c r="J91" s="55">
        <f t="shared" si="9"/>
        <v>1770</v>
      </c>
      <c r="K91" s="57">
        <f t="shared" si="10"/>
        <v>-165</v>
      </c>
      <c r="L91" s="58">
        <f t="shared" si="11"/>
        <v>-918</v>
      </c>
      <c r="M91" s="120"/>
      <c r="N91" s="111">
        <v>50</v>
      </c>
      <c r="O91" s="101">
        <v>99</v>
      </c>
      <c r="P91" s="101">
        <v>0</v>
      </c>
      <c r="Q91" s="112">
        <v>2980</v>
      </c>
      <c r="R91" s="56"/>
      <c r="S91" s="56"/>
      <c r="T91" s="56"/>
      <c r="U91" s="56"/>
      <c r="V91" s="56"/>
      <c r="W91" s="56"/>
    </row>
    <row r="92" spans="1:23" ht="15" customHeight="1">
      <c r="A92" s="120"/>
      <c r="B92" s="114"/>
      <c r="C92" s="174">
        <v>4</v>
      </c>
      <c r="D92" s="51">
        <v>60</v>
      </c>
      <c r="E92" s="50">
        <v>40</v>
      </c>
      <c r="F92" s="51">
        <v>25</v>
      </c>
      <c r="G92" s="52">
        <f t="shared" si="6"/>
        <v>-220</v>
      </c>
      <c r="H92" s="53">
        <f t="shared" si="7"/>
        <v>-175</v>
      </c>
      <c r="I92" s="54">
        <f t="shared" si="8"/>
        <v>-443</v>
      </c>
      <c r="J92" s="55">
        <f t="shared" si="9"/>
        <v>1780</v>
      </c>
      <c r="K92" s="57">
        <f t="shared" si="10"/>
        <v>-175</v>
      </c>
      <c r="L92" s="58">
        <f t="shared" si="11"/>
        <v>-943</v>
      </c>
      <c r="M92" s="120"/>
      <c r="N92" s="111">
        <v>50</v>
      </c>
      <c r="O92" s="101">
        <v>99</v>
      </c>
      <c r="P92" s="101">
        <v>0</v>
      </c>
      <c r="Q92" s="112">
        <v>2980</v>
      </c>
      <c r="R92" s="56"/>
      <c r="S92" s="56"/>
      <c r="T92" s="56"/>
      <c r="U92" s="56"/>
      <c r="V92" s="56"/>
      <c r="W92" s="56"/>
    </row>
    <row r="93" spans="1:23" ht="15" customHeight="1">
      <c r="A93" s="120"/>
      <c r="B93" s="114"/>
      <c r="C93" s="174">
        <v>5</v>
      </c>
      <c r="D93" s="51">
        <v>45</v>
      </c>
      <c r="E93" s="50">
        <v>50</v>
      </c>
      <c r="F93" s="51">
        <v>37</v>
      </c>
      <c r="G93" s="52">
        <f t="shared" si="6"/>
        <v>-225</v>
      </c>
      <c r="H93" s="53">
        <f t="shared" si="7"/>
        <v>-175</v>
      </c>
      <c r="I93" s="54">
        <f t="shared" si="8"/>
        <v>-456</v>
      </c>
      <c r="J93" s="55">
        <f t="shared" si="9"/>
        <v>1775</v>
      </c>
      <c r="K93" s="57">
        <f t="shared" si="10"/>
        <v>-175</v>
      </c>
      <c r="L93" s="58">
        <f t="shared" si="11"/>
        <v>-956</v>
      </c>
      <c r="M93" s="120"/>
      <c r="N93" s="111">
        <v>50</v>
      </c>
      <c r="O93" s="101">
        <v>99</v>
      </c>
      <c r="P93" s="101">
        <v>0</v>
      </c>
      <c r="Q93" s="112">
        <v>2980</v>
      </c>
      <c r="R93" s="56"/>
      <c r="S93" s="56"/>
      <c r="T93" s="56"/>
      <c r="U93" s="56"/>
      <c r="V93" s="56"/>
      <c r="W93" s="56"/>
    </row>
    <row r="94" spans="1:23" ht="15" customHeight="1">
      <c r="A94" s="120"/>
      <c r="B94" s="114"/>
      <c r="C94" s="174">
        <v>6</v>
      </c>
      <c r="D94" s="51">
        <v>50</v>
      </c>
      <c r="E94" s="50">
        <v>50</v>
      </c>
      <c r="F94" s="51">
        <v>38</v>
      </c>
      <c r="G94" s="52">
        <f t="shared" si="6"/>
        <v>-225</v>
      </c>
      <c r="H94" s="53">
        <f t="shared" si="7"/>
        <v>-175</v>
      </c>
      <c r="I94" s="54">
        <f t="shared" si="8"/>
        <v>-468</v>
      </c>
      <c r="J94" s="55">
        <f t="shared" si="9"/>
        <v>1775</v>
      </c>
      <c r="K94" s="57">
        <f t="shared" si="10"/>
        <v>-175</v>
      </c>
      <c r="L94" s="58">
        <f t="shared" si="11"/>
        <v>-968</v>
      </c>
      <c r="M94" s="120"/>
      <c r="N94" s="111">
        <v>50</v>
      </c>
      <c r="O94" s="101">
        <v>99</v>
      </c>
      <c r="P94" s="101">
        <v>0</v>
      </c>
      <c r="Q94" s="112">
        <v>2980</v>
      </c>
      <c r="R94" s="56"/>
      <c r="S94" s="56"/>
      <c r="T94" s="56"/>
      <c r="U94" s="56"/>
      <c r="V94" s="56"/>
      <c r="W94" s="56"/>
    </row>
    <row r="95" spans="1:23" ht="15" customHeight="1">
      <c r="A95" s="120"/>
      <c r="B95" s="114"/>
      <c r="C95" s="174">
        <v>7</v>
      </c>
      <c r="D95" s="51">
        <v>40</v>
      </c>
      <c r="E95" s="50">
        <v>60</v>
      </c>
      <c r="F95" s="51">
        <v>25</v>
      </c>
      <c r="G95" s="52">
        <f t="shared" si="6"/>
        <v>-235</v>
      </c>
      <c r="H95" s="53">
        <f t="shared" si="7"/>
        <v>-165</v>
      </c>
      <c r="I95" s="54">
        <f t="shared" si="8"/>
        <v>-493</v>
      </c>
      <c r="J95" s="55">
        <f t="shared" si="9"/>
        <v>1765</v>
      </c>
      <c r="K95" s="57">
        <f t="shared" si="10"/>
        <v>-165</v>
      </c>
      <c r="L95" s="58">
        <f t="shared" si="11"/>
        <v>-993</v>
      </c>
      <c r="M95" s="120"/>
      <c r="N95" s="111">
        <v>50</v>
      </c>
      <c r="O95" s="101">
        <v>99</v>
      </c>
      <c r="P95" s="101">
        <v>0</v>
      </c>
      <c r="Q95" s="112">
        <v>2980</v>
      </c>
      <c r="R95" s="56"/>
      <c r="S95" s="56"/>
      <c r="T95" s="56"/>
      <c r="U95" s="56"/>
      <c r="V95" s="56"/>
      <c r="W95" s="56"/>
    </row>
    <row r="96" spans="1:23" ht="15" customHeight="1">
      <c r="A96" s="120"/>
      <c r="B96" s="114"/>
      <c r="C96" s="174">
        <v>8</v>
      </c>
      <c r="D96" s="51">
        <v>35</v>
      </c>
      <c r="E96" s="50">
        <v>30</v>
      </c>
      <c r="F96" s="51">
        <v>0</v>
      </c>
      <c r="G96" s="52">
        <f t="shared" si="6"/>
        <v>-250</v>
      </c>
      <c r="H96" s="53">
        <f t="shared" si="7"/>
        <v>-185</v>
      </c>
      <c r="I96" s="54">
        <f t="shared" si="8"/>
        <v>-543</v>
      </c>
      <c r="J96" s="55">
        <f t="shared" si="9"/>
        <v>1750</v>
      </c>
      <c r="K96" s="57">
        <f t="shared" si="10"/>
        <v>-185</v>
      </c>
      <c r="L96" s="58">
        <f t="shared" si="11"/>
        <v>-1043</v>
      </c>
      <c r="M96" s="120"/>
      <c r="N96" s="111">
        <v>50</v>
      </c>
      <c r="O96" s="101">
        <v>99</v>
      </c>
      <c r="P96" s="101">
        <v>0</v>
      </c>
      <c r="Q96" s="112">
        <v>2980</v>
      </c>
      <c r="R96" s="56"/>
      <c r="S96" s="56"/>
      <c r="T96" s="56"/>
      <c r="U96" s="56"/>
      <c r="V96" s="56"/>
      <c r="W96" s="56"/>
    </row>
    <row r="97" spans="1:23" ht="15" customHeight="1">
      <c r="A97" s="120"/>
      <c r="B97" s="114"/>
      <c r="C97" s="174">
        <v>9</v>
      </c>
      <c r="D97" s="51">
        <v>70</v>
      </c>
      <c r="E97" s="50">
        <v>40</v>
      </c>
      <c r="F97" s="51">
        <v>37</v>
      </c>
      <c r="G97" s="52">
        <f t="shared" si="6"/>
        <v>-230</v>
      </c>
      <c r="H97" s="53">
        <f t="shared" si="7"/>
        <v>-195</v>
      </c>
      <c r="I97" s="54">
        <f t="shared" si="8"/>
        <v>-556</v>
      </c>
      <c r="J97" s="55">
        <f t="shared" si="9"/>
        <v>1770</v>
      </c>
      <c r="K97" s="57">
        <f t="shared" si="10"/>
        <v>-195</v>
      </c>
      <c r="L97" s="58">
        <f t="shared" si="11"/>
        <v>-1056</v>
      </c>
      <c r="M97" s="120"/>
      <c r="N97" s="111">
        <v>50</v>
      </c>
      <c r="O97" s="101">
        <v>99</v>
      </c>
      <c r="P97" s="101">
        <v>0</v>
      </c>
      <c r="Q97" s="112">
        <v>2980</v>
      </c>
      <c r="R97" s="56"/>
      <c r="S97" s="56"/>
      <c r="T97" s="56"/>
      <c r="U97" s="56"/>
      <c r="V97" s="56"/>
      <c r="W97" s="56"/>
    </row>
    <row r="98" spans="1:23" ht="15" customHeight="1">
      <c r="A98" s="120"/>
      <c r="B98" s="114"/>
      <c r="C98" s="174">
        <v>10</v>
      </c>
      <c r="D98" s="51">
        <v>65</v>
      </c>
      <c r="E98" s="50">
        <v>40</v>
      </c>
      <c r="F98" s="51">
        <v>25</v>
      </c>
      <c r="G98" s="52">
        <f t="shared" si="6"/>
        <v>-215</v>
      </c>
      <c r="H98" s="53">
        <f t="shared" si="7"/>
        <v>-205</v>
      </c>
      <c r="I98" s="54">
        <f t="shared" si="8"/>
        <v>-581</v>
      </c>
      <c r="J98" s="55">
        <f t="shared" si="9"/>
        <v>1785</v>
      </c>
      <c r="K98" s="57">
        <f t="shared" si="10"/>
        <v>-205</v>
      </c>
      <c r="L98" s="58">
        <f t="shared" si="11"/>
        <v>-1081</v>
      </c>
      <c r="M98" s="120"/>
      <c r="N98" s="111">
        <v>50</v>
      </c>
      <c r="O98" s="101">
        <v>99</v>
      </c>
      <c r="P98" s="101">
        <v>0</v>
      </c>
      <c r="Q98" s="112">
        <v>2980</v>
      </c>
      <c r="R98" s="56"/>
      <c r="S98" s="56"/>
      <c r="T98" s="56"/>
      <c r="U98" s="56"/>
      <c r="V98" s="56"/>
      <c r="W98" s="56"/>
    </row>
    <row r="99" spans="1:23" ht="15" customHeight="1">
      <c r="A99" s="120"/>
      <c r="B99" s="114"/>
      <c r="C99" s="174">
        <v>11</v>
      </c>
      <c r="D99" s="51">
        <v>60</v>
      </c>
      <c r="E99" s="50">
        <v>50</v>
      </c>
      <c r="F99" s="51">
        <v>13</v>
      </c>
      <c r="G99" s="52">
        <f t="shared" si="6"/>
        <v>-205</v>
      </c>
      <c r="H99" s="53">
        <f t="shared" si="7"/>
        <v>-205</v>
      </c>
      <c r="I99" s="54">
        <f t="shared" si="8"/>
        <v>-618</v>
      </c>
      <c r="J99" s="55">
        <f t="shared" si="9"/>
        <v>1795</v>
      </c>
      <c r="K99" s="57">
        <f t="shared" si="10"/>
        <v>-205</v>
      </c>
      <c r="L99" s="58">
        <f t="shared" si="11"/>
        <v>-1118</v>
      </c>
      <c r="M99" s="120"/>
      <c r="N99" s="111">
        <v>50</v>
      </c>
      <c r="O99" s="101">
        <v>99</v>
      </c>
      <c r="P99" s="101">
        <v>0</v>
      </c>
      <c r="Q99" s="112">
        <v>2980</v>
      </c>
      <c r="R99" s="56"/>
      <c r="S99" s="56"/>
      <c r="T99" s="56"/>
      <c r="U99" s="56"/>
      <c r="V99" s="56"/>
      <c r="W99" s="56"/>
    </row>
    <row r="100" spans="1:23" ht="15" customHeight="1">
      <c r="A100" s="120"/>
      <c r="B100" s="116"/>
      <c r="C100" s="177">
        <v>12</v>
      </c>
      <c r="D100" s="139">
        <v>80</v>
      </c>
      <c r="E100" s="140">
        <v>25</v>
      </c>
      <c r="F100" s="139">
        <v>12</v>
      </c>
      <c r="G100" s="141">
        <f t="shared" si="6"/>
        <v>-175</v>
      </c>
      <c r="H100" s="142">
        <f t="shared" si="7"/>
        <v>-230</v>
      </c>
      <c r="I100" s="143">
        <f t="shared" si="8"/>
        <v>-656</v>
      </c>
      <c r="J100" s="637">
        <f t="shared" si="9"/>
        <v>1825</v>
      </c>
      <c r="K100" s="144">
        <f t="shared" si="10"/>
        <v>-230</v>
      </c>
      <c r="L100" s="638">
        <f t="shared" si="11"/>
        <v>-1156</v>
      </c>
      <c r="M100" s="120"/>
      <c r="N100" s="145">
        <v>50</v>
      </c>
      <c r="O100" s="146">
        <v>99</v>
      </c>
      <c r="P100" s="146">
        <v>0</v>
      </c>
      <c r="Q100" s="147">
        <v>2980</v>
      </c>
      <c r="R100" s="65"/>
      <c r="S100" s="65"/>
      <c r="T100" s="65"/>
      <c r="U100" s="65"/>
      <c r="V100" s="65"/>
      <c r="W100" s="65"/>
    </row>
    <row r="101" spans="1:23" ht="15" customHeight="1">
      <c r="A101" s="125"/>
      <c r="B101" s="126">
        <v>62</v>
      </c>
      <c r="C101" s="173">
        <v>1</v>
      </c>
      <c r="D101" s="128">
        <v>90</v>
      </c>
      <c r="E101" s="127">
        <v>90</v>
      </c>
      <c r="F101" s="128">
        <v>25</v>
      </c>
      <c r="G101" s="129">
        <f t="shared" si="6"/>
        <v>-135</v>
      </c>
      <c r="H101" s="130">
        <f t="shared" si="7"/>
        <v>-190</v>
      </c>
      <c r="I101" s="131">
        <f t="shared" si="8"/>
        <v>-681</v>
      </c>
      <c r="J101" s="632">
        <f t="shared" si="9"/>
        <v>1865</v>
      </c>
      <c r="K101" s="158">
        <f t="shared" si="10"/>
        <v>-190</v>
      </c>
      <c r="L101" s="633">
        <f t="shared" si="11"/>
        <v>-1181</v>
      </c>
      <c r="M101" s="125">
        <v>1987</v>
      </c>
      <c r="N101" s="133">
        <v>50</v>
      </c>
      <c r="O101" s="134">
        <v>99</v>
      </c>
      <c r="P101" s="134">
        <v>0</v>
      </c>
      <c r="Q101" s="159">
        <v>2980</v>
      </c>
    </row>
    <row r="102" spans="1:23" ht="15" customHeight="1">
      <c r="A102" s="120"/>
      <c r="B102" s="114"/>
      <c r="C102" s="174">
        <v>2</v>
      </c>
      <c r="D102" s="51">
        <v>85</v>
      </c>
      <c r="E102" s="50">
        <v>80</v>
      </c>
      <c r="F102" s="51">
        <v>13</v>
      </c>
      <c r="G102" s="52">
        <f t="shared" si="6"/>
        <v>-100</v>
      </c>
      <c r="H102" s="53">
        <f t="shared" si="7"/>
        <v>-160</v>
      </c>
      <c r="I102" s="54">
        <f t="shared" si="8"/>
        <v>-718</v>
      </c>
      <c r="J102" s="634">
        <f t="shared" si="9"/>
        <v>1900</v>
      </c>
      <c r="K102" s="57">
        <f t="shared" si="10"/>
        <v>-160</v>
      </c>
      <c r="L102" s="58">
        <f t="shared" si="11"/>
        <v>-1218</v>
      </c>
      <c r="M102" s="120"/>
      <c r="N102" s="111">
        <v>50</v>
      </c>
      <c r="O102" s="101">
        <v>99</v>
      </c>
      <c r="P102" s="101">
        <v>0</v>
      </c>
      <c r="Q102" s="112">
        <v>2980</v>
      </c>
      <c r="R102" s="56"/>
      <c r="S102" s="56"/>
      <c r="T102" s="56"/>
      <c r="U102" s="56"/>
      <c r="V102" s="56"/>
      <c r="W102" s="56"/>
    </row>
    <row r="103" spans="1:23" ht="15" customHeight="1">
      <c r="A103" s="120"/>
      <c r="B103" s="114"/>
      <c r="C103" s="174">
        <v>3</v>
      </c>
      <c r="D103" s="51">
        <v>60</v>
      </c>
      <c r="E103" s="50">
        <v>70</v>
      </c>
      <c r="F103" s="51">
        <v>50</v>
      </c>
      <c r="G103" s="52">
        <f t="shared" si="6"/>
        <v>-90</v>
      </c>
      <c r="H103" s="53">
        <f t="shared" si="7"/>
        <v>-140</v>
      </c>
      <c r="I103" s="54">
        <f t="shared" si="8"/>
        <v>-718</v>
      </c>
      <c r="J103" s="634">
        <f t="shared" si="9"/>
        <v>1910</v>
      </c>
      <c r="K103" s="57">
        <f t="shared" si="10"/>
        <v>-140</v>
      </c>
      <c r="L103" s="58">
        <f t="shared" si="11"/>
        <v>-1218</v>
      </c>
      <c r="M103" s="120"/>
      <c r="N103" s="111">
        <v>50</v>
      </c>
      <c r="O103" s="101"/>
      <c r="P103" s="101">
        <v>0</v>
      </c>
      <c r="Q103" s="102"/>
      <c r="R103" s="56"/>
      <c r="S103" s="56"/>
      <c r="T103" s="56"/>
      <c r="U103" s="56"/>
      <c r="V103" s="56"/>
      <c r="W103" s="56"/>
    </row>
    <row r="104" spans="1:23" ht="15" customHeight="1">
      <c r="A104" s="120"/>
      <c r="B104" s="114"/>
      <c r="C104" s="174">
        <v>4</v>
      </c>
      <c r="D104" s="51">
        <v>75</v>
      </c>
      <c r="E104" s="50">
        <v>70</v>
      </c>
      <c r="F104" s="51">
        <v>25</v>
      </c>
      <c r="G104" s="52">
        <f t="shared" si="6"/>
        <v>-65</v>
      </c>
      <c r="H104" s="53">
        <f t="shared" si="7"/>
        <v>-120</v>
      </c>
      <c r="I104" s="54">
        <f t="shared" si="8"/>
        <v>-743</v>
      </c>
      <c r="J104" s="634">
        <f t="shared" si="9"/>
        <v>1935</v>
      </c>
      <c r="K104" s="57">
        <f t="shared" si="10"/>
        <v>-120</v>
      </c>
      <c r="L104" s="58">
        <f t="shared" si="11"/>
        <v>-1243</v>
      </c>
      <c r="M104" s="120"/>
      <c r="N104" s="111">
        <v>50</v>
      </c>
      <c r="O104" s="101"/>
      <c r="P104" s="101">
        <v>0</v>
      </c>
      <c r="Q104" s="102"/>
      <c r="R104" s="56"/>
      <c r="S104" s="56"/>
      <c r="T104" s="56"/>
      <c r="U104" s="56"/>
      <c r="V104" s="56"/>
      <c r="W104" s="56"/>
    </row>
    <row r="105" spans="1:23" ht="15" customHeight="1">
      <c r="A105" s="120"/>
      <c r="B105" s="114"/>
      <c r="C105" s="174">
        <v>5</v>
      </c>
      <c r="D105" s="51">
        <v>100</v>
      </c>
      <c r="E105" s="50">
        <v>60</v>
      </c>
      <c r="F105" s="51">
        <v>43</v>
      </c>
      <c r="G105" s="52">
        <f t="shared" si="6"/>
        <v>-15</v>
      </c>
      <c r="H105" s="53">
        <f t="shared" si="7"/>
        <v>-110</v>
      </c>
      <c r="I105" s="54">
        <f t="shared" si="8"/>
        <v>-750</v>
      </c>
      <c r="J105" s="634">
        <f t="shared" si="9"/>
        <v>1985</v>
      </c>
      <c r="K105" s="57">
        <f t="shared" si="10"/>
        <v>-110</v>
      </c>
      <c r="L105" s="58">
        <f t="shared" si="11"/>
        <v>-1250</v>
      </c>
      <c r="M105" s="120"/>
      <c r="N105" s="111">
        <v>50</v>
      </c>
      <c r="O105" s="101"/>
      <c r="P105" s="101">
        <v>0</v>
      </c>
      <c r="Q105" s="102"/>
      <c r="R105" s="56"/>
      <c r="S105" s="56"/>
      <c r="T105" s="56"/>
      <c r="U105" s="56"/>
      <c r="V105" s="56"/>
      <c r="W105" s="56"/>
    </row>
    <row r="106" spans="1:23" ht="15" customHeight="1">
      <c r="A106" s="120"/>
      <c r="B106" s="114"/>
      <c r="C106" s="174">
        <v>6</v>
      </c>
      <c r="D106" s="51">
        <v>100</v>
      </c>
      <c r="E106" s="50">
        <v>60</v>
      </c>
      <c r="F106" s="51">
        <v>63</v>
      </c>
      <c r="G106" s="52">
        <f t="shared" si="6"/>
        <v>35</v>
      </c>
      <c r="H106" s="53">
        <f t="shared" si="7"/>
        <v>-100</v>
      </c>
      <c r="I106" s="54">
        <f t="shared" si="8"/>
        <v>-737</v>
      </c>
      <c r="J106" s="634">
        <f t="shared" si="9"/>
        <v>2035</v>
      </c>
      <c r="K106" s="57">
        <f t="shared" si="10"/>
        <v>-100</v>
      </c>
      <c r="L106" s="58">
        <f t="shared" si="11"/>
        <v>-1237</v>
      </c>
      <c r="M106" s="120"/>
      <c r="N106" s="111">
        <v>50</v>
      </c>
      <c r="O106" s="101"/>
      <c r="P106" s="101">
        <v>0</v>
      </c>
      <c r="Q106" s="102"/>
      <c r="R106" s="56"/>
      <c r="S106" s="56"/>
      <c r="T106" s="56"/>
      <c r="U106" s="56"/>
      <c r="V106" s="56"/>
      <c r="W106" s="56"/>
    </row>
    <row r="107" spans="1:23" ht="15" customHeight="1">
      <c r="A107" s="120"/>
      <c r="B107" s="114"/>
      <c r="C107" s="174">
        <v>7</v>
      </c>
      <c r="D107" s="51">
        <v>100</v>
      </c>
      <c r="E107" s="50">
        <v>70</v>
      </c>
      <c r="F107" s="51">
        <v>25</v>
      </c>
      <c r="G107" s="52">
        <f t="shared" si="6"/>
        <v>85</v>
      </c>
      <c r="H107" s="53">
        <f t="shared" si="7"/>
        <v>-80</v>
      </c>
      <c r="I107" s="54">
        <f t="shared" si="8"/>
        <v>-762</v>
      </c>
      <c r="J107" s="634">
        <f t="shared" si="9"/>
        <v>2085</v>
      </c>
      <c r="K107" s="57">
        <f t="shared" si="10"/>
        <v>-80</v>
      </c>
      <c r="L107" s="58">
        <f t="shared" si="11"/>
        <v>-1262</v>
      </c>
      <c r="M107" s="120"/>
      <c r="N107" s="111">
        <v>50</v>
      </c>
      <c r="O107" s="101"/>
      <c r="P107" s="101">
        <v>0</v>
      </c>
      <c r="Q107" s="102"/>
      <c r="R107" s="56"/>
      <c r="S107" s="56"/>
      <c r="T107" s="56"/>
      <c r="U107" s="56"/>
      <c r="V107" s="56"/>
      <c r="W107" s="56"/>
    </row>
    <row r="108" spans="1:23" ht="15" customHeight="1">
      <c r="A108" s="120"/>
      <c r="B108" s="114"/>
      <c r="C108" s="174">
        <v>8</v>
      </c>
      <c r="D108" s="51">
        <v>80</v>
      </c>
      <c r="E108" s="50">
        <v>80</v>
      </c>
      <c r="F108" s="51">
        <v>50</v>
      </c>
      <c r="G108" s="52">
        <f t="shared" si="6"/>
        <v>115</v>
      </c>
      <c r="H108" s="53">
        <f t="shared" si="7"/>
        <v>-50</v>
      </c>
      <c r="I108" s="54">
        <f t="shared" si="8"/>
        <v>-762</v>
      </c>
      <c r="J108" s="634">
        <f t="shared" si="9"/>
        <v>2115</v>
      </c>
      <c r="K108" s="57">
        <f t="shared" si="10"/>
        <v>-50</v>
      </c>
      <c r="L108" s="58">
        <f t="shared" si="11"/>
        <v>-1262</v>
      </c>
      <c r="M108" s="120"/>
      <c r="N108" s="111">
        <v>50</v>
      </c>
      <c r="O108" s="101"/>
      <c r="P108" s="101">
        <v>0</v>
      </c>
      <c r="Q108" s="102"/>
      <c r="R108" s="56"/>
      <c r="S108" s="56"/>
      <c r="T108" s="56"/>
      <c r="U108" s="56"/>
      <c r="V108" s="56"/>
      <c r="W108" s="56"/>
    </row>
    <row r="109" spans="1:23" ht="15" customHeight="1">
      <c r="A109" s="120"/>
      <c r="B109" s="114"/>
      <c r="C109" s="174">
        <v>9</v>
      </c>
      <c r="D109" s="51">
        <v>90</v>
      </c>
      <c r="E109" s="50">
        <v>50</v>
      </c>
      <c r="F109" s="51">
        <v>37</v>
      </c>
      <c r="G109" s="52">
        <f t="shared" si="6"/>
        <v>155</v>
      </c>
      <c r="H109" s="53">
        <f t="shared" si="7"/>
        <v>-50</v>
      </c>
      <c r="I109" s="54">
        <f t="shared" si="8"/>
        <v>-775</v>
      </c>
      <c r="J109" s="634">
        <f t="shared" si="9"/>
        <v>2155</v>
      </c>
      <c r="K109" s="57">
        <f t="shared" si="10"/>
        <v>-50</v>
      </c>
      <c r="L109" s="58">
        <f t="shared" si="11"/>
        <v>-1275</v>
      </c>
      <c r="M109" s="120"/>
      <c r="N109" s="111">
        <v>50</v>
      </c>
      <c r="O109" s="101"/>
      <c r="P109" s="101">
        <v>0</v>
      </c>
      <c r="Q109" s="102"/>
      <c r="R109" s="56"/>
      <c r="S109" s="56"/>
      <c r="T109" s="56"/>
      <c r="U109" s="56"/>
      <c r="V109" s="56"/>
      <c r="W109" s="56"/>
    </row>
    <row r="110" spans="1:23" ht="15" customHeight="1">
      <c r="A110" s="120"/>
      <c r="B110" s="114"/>
      <c r="C110" s="174">
        <v>10</v>
      </c>
      <c r="D110" s="51">
        <v>90</v>
      </c>
      <c r="E110" s="50">
        <v>90</v>
      </c>
      <c r="F110" s="51">
        <v>38</v>
      </c>
      <c r="G110" s="52">
        <f t="shared" si="6"/>
        <v>195</v>
      </c>
      <c r="H110" s="53">
        <f t="shared" si="7"/>
        <v>-10</v>
      </c>
      <c r="I110" s="54">
        <f t="shared" si="8"/>
        <v>-787</v>
      </c>
      <c r="J110" s="634">
        <f t="shared" si="9"/>
        <v>2195</v>
      </c>
      <c r="K110" s="57">
        <f t="shared" si="10"/>
        <v>-10</v>
      </c>
      <c r="L110" s="58">
        <f t="shared" si="11"/>
        <v>-1287</v>
      </c>
      <c r="M110" s="120"/>
      <c r="N110" s="111">
        <v>50</v>
      </c>
      <c r="O110" s="101"/>
      <c r="P110" s="101">
        <v>0</v>
      </c>
      <c r="Q110" s="102"/>
      <c r="R110" s="56"/>
      <c r="S110" s="56"/>
      <c r="T110" s="56"/>
      <c r="U110" s="56"/>
      <c r="V110" s="56"/>
      <c r="W110" s="56"/>
    </row>
    <row r="111" spans="1:23" ht="15" customHeight="1">
      <c r="A111" s="120"/>
      <c r="B111" s="114"/>
      <c r="C111" s="174">
        <v>11</v>
      </c>
      <c r="D111" s="51">
        <v>90</v>
      </c>
      <c r="E111" s="50">
        <v>80</v>
      </c>
      <c r="F111" s="51">
        <v>50</v>
      </c>
      <c r="G111" s="52">
        <f t="shared" si="6"/>
        <v>235</v>
      </c>
      <c r="H111" s="53">
        <f t="shared" si="7"/>
        <v>20</v>
      </c>
      <c r="I111" s="54">
        <f t="shared" si="8"/>
        <v>-787</v>
      </c>
      <c r="J111" s="634">
        <f t="shared" si="9"/>
        <v>2235</v>
      </c>
      <c r="K111" s="57">
        <f t="shared" si="10"/>
        <v>20</v>
      </c>
      <c r="L111" s="58">
        <f t="shared" si="11"/>
        <v>-1287</v>
      </c>
      <c r="M111" s="120"/>
      <c r="N111" s="111">
        <v>50</v>
      </c>
      <c r="O111" s="101"/>
      <c r="P111" s="101">
        <v>0</v>
      </c>
      <c r="Q111" s="102"/>
      <c r="R111" s="56"/>
      <c r="S111" s="56"/>
      <c r="T111" s="56"/>
      <c r="U111" s="56"/>
      <c r="V111" s="56"/>
      <c r="W111" s="56"/>
    </row>
    <row r="112" spans="1:23" ht="15" customHeight="1">
      <c r="A112" s="132"/>
      <c r="B112" s="115"/>
      <c r="C112" s="175">
        <v>12</v>
      </c>
      <c r="D112" s="59">
        <v>80</v>
      </c>
      <c r="E112" s="60">
        <v>80</v>
      </c>
      <c r="F112" s="59">
        <v>50</v>
      </c>
      <c r="G112" s="69">
        <f t="shared" si="6"/>
        <v>265</v>
      </c>
      <c r="H112" s="64">
        <f t="shared" si="7"/>
        <v>50</v>
      </c>
      <c r="I112" s="70">
        <f t="shared" si="8"/>
        <v>-787</v>
      </c>
      <c r="J112" s="635">
        <f t="shared" si="9"/>
        <v>2265</v>
      </c>
      <c r="K112" s="64">
        <f t="shared" si="10"/>
        <v>50</v>
      </c>
      <c r="L112" s="636">
        <f t="shared" si="11"/>
        <v>-1287</v>
      </c>
      <c r="M112" s="132"/>
      <c r="N112" s="136">
        <v>50</v>
      </c>
      <c r="O112" s="137"/>
      <c r="P112" s="137">
        <v>0</v>
      </c>
      <c r="Q112" s="160"/>
      <c r="R112" s="65"/>
      <c r="S112" s="65"/>
      <c r="T112" s="65"/>
      <c r="U112" s="65"/>
      <c r="V112" s="65"/>
      <c r="W112" s="65"/>
    </row>
    <row r="113" spans="1:23" ht="15" customHeight="1">
      <c r="A113" s="120"/>
      <c r="B113" s="103">
        <v>63</v>
      </c>
      <c r="C113" s="176">
        <v>1</v>
      </c>
      <c r="D113" s="66">
        <v>85.714285714285708</v>
      </c>
      <c r="E113" s="67">
        <v>75</v>
      </c>
      <c r="F113" s="66">
        <v>85.714285714285708</v>
      </c>
      <c r="G113" s="47">
        <f t="shared" si="6"/>
        <v>300.71428571428572</v>
      </c>
      <c r="H113" s="48">
        <f t="shared" si="7"/>
        <v>75</v>
      </c>
      <c r="I113" s="71">
        <f t="shared" si="8"/>
        <v>-751.28571428571433</v>
      </c>
      <c r="J113" s="630">
        <f t="shared" si="9"/>
        <v>2300.7142857142858</v>
      </c>
      <c r="K113" s="68">
        <f t="shared" si="10"/>
        <v>75</v>
      </c>
      <c r="L113" s="631">
        <f t="shared" si="11"/>
        <v>-1251.2857142857142</v>
      </c>
      <c r="M113" s="120">
        <v>1988</v>
      </c>
      <c r="N113" s="111">
        <v>50</v>
      </c>
      <c r="O113" s="101"/>
      <c r="P113" s="101">
        <v>0</v>
      </c>
      <c r="Q113" s="102"/>
    </row>
    <row r="114" spans="1:23" ht="15" customHeight="1">
      <c r="A114" s="120"/>
      <c r="B114" s="114"/>
      <c r="C114" s="174">
        <v>2</v>
      </c>
      <c r="D114" s="51">
        <v>85.714285714285708</v>
      </c>
      <c r="E114" s="50">
        <v>75</v>
      </c>
      <c r="F114" s="51">
        <v>85.714285714285708</v>
      </c>
      <c r="G114" s="52">
        <f t="shared" si="6"/>
        <v>336.42857142857144</v>
      </c>
      <c r="H114" s="53">
        <f t="shared" si="7"/>
        <v>100</v>
      </c>
      <c r="I114" s="72">
        <f t="shared" si="8"/>
        <v>-715.57142857142867</v>
      </c>
      <c r="J114" s="55">
        <f t="shared" si="9"/>
        <v>2336.4285714285716</v>
      </c>
      <c r="K114" s="57">
        <f t="shared" si="10"/>
        <v>100</v>
      </c>
      <c r="L114" s="58">
        <f t="shared" si="11"/>
        <v>-1215.5714285714287</v>
      </c>
      <c r="M114" s="120"/>
      <c r="N114" s="111">
        <v>50</v>
      </c>
      <c r="O114" s="101"/>
      <c r="P114" s="101">
        <v>0</v>
      </c>
      <c r="Q114" s="102"/>
      <c r="R114" s="56"/>
      <c r="S114" s="56"/>
      <c r="T114" s="56"/>
      <c r="U114" s="56"/>
      <c r="V114" s="56"/>
      <c r="W114" s="56"/>
    </row>
    <row r="115" spans="1:23" ht="15" customHeight="1">
      <c r="A115" s="120"/>
      <c r="B115" s="114"/>
      <c r="C115" s="174">
        <v>3</v>
      </c>
      <c r="D115" s="51">
        <v>85.714285714285708</v>
      </c>
      <c r="E115" s="50">
        <v>75</v>
      </c>
      <c r="F115" s="51">
        <v>71.428571428571431</v>
      </c>
      <c r="G115" s="52">
        <f t="shared" si="6"/>
        <v>372.14285714285717</v>
      </c>
      <c r="H115" s="53">
        <f t="shared" si="7"/>
        <v>125</v>
      </c>
      <c r="I115" s="72">
        <f t="shared" si="8"/>
        <v>-694.14285714285722</v>
      </c>
      <c r="J115" s="55">
        <f t="shared" si="9"/>
        <v>2372.1428571428573</v>
      </c>
      <c r="K115" s="57">
        <f t="shared" si="10"/>
        <v>125</v>
      </c>
      <c r="L115" s="58">
        <f t="shared" si="11"/>
        <v>-1194.1428571428573</v>
      </c>
      <c r="M115" s="120"/>
      <c r="N115" s="111">
        <v>50</v>
      </c>
      <c r="O115" s="101"/>
      <c r="P115" s="101">
        <v>0</v>
      </c>
      <c r="Q115" s="102"/>
      <c r="R115" s="56"/>
      <c r="S115" s="56"/>
      <c r="T115" s="56"/>
      <c r="U115" s="56"/>
      <c r="V115" s="56"/>
      <c r="W115" s="56"/>
    </row>
    <row r="116" spans="1:23" ht="15" customHeight="1">
      <c r="A116" s="120"/>
      <c r="B116" s="114"/>
      <c r="C116" s="174">
        <v>4</v>
      </c>
      <c r="D116" s="51">
        <v>85.714285714285708</v>
      </c>
      <c r="E116" s="50">
        <v>75</v>
      </c>
      <c r="F116" s="51">
        <v>71.428571428571431</v>
      </c>
      <c r="G116" s="52">
        <f t="shared" si="6"/>
        <v>407.85714285714289</v>
      </c>
      <c r="H116" s="53">
        <f t="shared" si="7"/>
        <v>150</v>
      </c>
      <c r="I116" s="72">
        <f t="shared" si="8"/>
        <v>-672.71428571428578</v>
      </c>
      <c r="J116" s="55">
        <f t="shared" si="9"/>
        <v>2407.8571428571431</v>
      </c>
      <c r="K116" s="57">
        <f t="shared" si="10"/>
        <v>150</v>
      </c>
      <c r="L116" s="58">
        <f t="shared" si="11"/>
        <v>-1172.7142857142858</v>
      </c>
      <c r="M116" s="120"/>
      <c r="N116" s="111">
        <v>50</v>
      </c>
      <c r="O116" s="101"/>
      <c r="P116" s="101">
        <v>0</v>
      </c>
      <c r="Q116" s="102"/>
      <c r="R116" s="56"/>
      <c r="S116" s="56"/>
      <c r="T116" s="56"/>
      <c r="U116" s="56"/>
      <c r="V116" s="56"/>
      <c r="W116" s="56"/>
    </row>
    <row r="117" spans="1:23" ht="15" customHeight="1">
      <c r="A117" s="120"/>
      <c r="B117" s="114"/>
      <c r="C117" s="174">
        <v>5</v>
      </c>
      <c r="D117" s="51">
        <v>85.714285714285708</v>
      </c>
      <c r="E117" s="50">
        <v>75</v>
      </c>
      <c r="F117" s="51">
        <v>85.714285714285708</v>
      </c>
      <c r="G117" s="52">
        <f t="shared" si="6"/>
        <v>443.57142857142861</v>
      </c>
      <c r="H117" s="53">
        <f t="shared" si="7"/>
        <v>175</v>
      </c>
      <c r="I117" s="72">
        <f t="shared" si="8"/>
        <v>-637.00000000000011</v>
      </c>
      <c r="J117" s="55">
        <f t="shared" si="9"/>
        <v>2443.5714285714284</v>
      </c>
      <c r="K117" s="57">
        <f t="shared" si="10"/>
        <v>175</v>
      </c>
      <c r="L117" s="58">
        <f t="shared" si="11"/>
        <v>-1137</v>
      </c>
      <c r="M117" s="120"/>
      <c r="N117" s="111">
        <v>50</v>
      </c>
      <c r="O117" s="101"/>
      <c r="P117" s="101">
        <v>0</v>
      </c>
      <c r="Q117" s="102"/>
      <c r="R117" s="56"/>
      <c r="S117" s="56"/>
      <c r="T117" s="56"/>
      <c r="U117" s="56"/>
      <c r="V117" s="56"/>
      <c r="W117" s="56"/>
    </row>
    <row r="118" spans="1:23" ht="15" customHeight="1">
      <c r="A118" s="120"/>
      <c r="B118" s="114"/>
      <c r="C118" s="174">
        <v>6</v>
      </c>
      <c r="D118" s="51">
        <v>42.857142857142854</v>
      </c>
      <c r="E118" s="50">
        <v>75</v>
      </c>
      <c r="F118" s="51">
        <v>14.285714285714286</v>
      </c>
      <c r="G118" s="52">
        <f t="shared" si="6"/>
        <v>436.42857142857144</v>
      </c>
      <c r="H118" s="53">
        <f t="shared" si="7"/>
        <v>200</v>
      </c>
      <c r="I118" s="72">
        <f t="shared" si="8"/>
        <v>-672.71428571428578</v>
      </c>
      <c r="J118" s="55">
        <f t="shared" si="9"/>
        <v>2436.4285714285716</v>
      </c>
      <c r="K118" s="57">
        <f t="shared" si="10"/>
        <v>200</v>
      </c>
      <c r="L118" s="58">
        <f t="shared" si="11"/>
        <v>-1172.7142857142858</v>
      </c>
      <c r="M118" s="120"/>
      <c r="N118" s="111">
        <v>50</v>
      </c>
      <c r="O118" s="101"/>
      <c r="P118" s="101">
        <v>0</v>
      </c>
      <c r="Q118" s="102"/>
      <c r="R118" s="56"/>
      <c r="S118" s="56"/>
      <c r="T118" s="56"/>
      <c r="U118" s="56"/>
      <c r="V118" s="56"/>
      <c r="W118" s="56"/>
    </row>
    <row r="119" spans="1:23" ht="15" customHeight="1">
      <c r="A119" s="120"/>
      <c r="B119" s="114"/>
      <c r="C119" s="174">
        <v>7</v>
      </c>
      <c r="D119" s="51">
        <v>71.428571428571431</v>
      </c>
      <c r="E119" s="50">
        <v>50</v>
      </c>
      <c r="F119" s="51">
        <v>57.142857142857146</v>
      </c>
      <c r="G119" s="52">
        <f t="shared" si="6"/>
        <v>457.85714285714289</v>
      </c>
      <c r="H119" s="53">
        <f t="shared" si="7"/>
        <v>200</v>
      </c>
      <c r="I119" s="72">
        <f t="shared" si="8"/>
        <v>-665.57142857142867</v>
      </c>
      <c r="J119" s="55">
        <f t="shared" si="9"/>
        <v>2457.8571428571431</v>
      </c>
      <c r="K119" s="57">
        <f t="shared" si="10"/>
        <v>200</v>
      </c>
      <c r="L119" s="58">
        <f t="shared" si="11"/>
        <v>-1165.5714285714287</v>
      </c>
      <c r="M119" s="120"/>
      <c r="N119" s="111">
        <v>50</v>
      </c>
      <c r="O119" s="101"/>
      <c r="P119" s="101">
        <v>0</v>
      </c>
      <c r="Q119" s="102"/>
      <c r="R119" s="56"/>
      <c r="S119" s="56"/>
      <c r="T119" s="56"/>
      <c r="U119" s="56"/>
      <c r="V119" s="56"/>
      <c r="W119" s="56"/>
    </row>
    <row r="120" spans="1:23" ht="15" customHeight="1">
      <c r="A120" s="120"/>
      <c r="B120" s="114"/>
      <c r="C120" s="174">
        <v>8</v>
      </c>
      <c r="D120" s="51">
        <v>28.571428571428573</v>
      </c>
      <c r="E120" s="50">
        <v>50</v>
      </c>
      <c r="F120" s="51">
        <v>71.428571428571431</v>
      </c>
      <c r="G120" s="52">
        <f t="shared" si="6"/>
        <v>436.42857142857144</v>
      </c>
      <c r="H120" s="53">
        <f t="shared" si="7"/>
        <v>200</v>
      </c>
      <c r="I120" s="72">
        <f t="shared" si="8"/>
        <v>-644.14285714285722</v>
      </c>
      <c r="J120" s="55">
        <f t="shared" si="9"/>
        <v>2436.4285714285716</v>
      </c>
      <c r="K120" s="57">
        <f t="shared" si="10"/>
        <v>200</v>
      </c>
      <c r="L120" s="58">
        <f t="shared" si="11"/>
        <v>-1144.1428571428573</v>
      </c>
      <c r="M120" s="120"/>
      <c r="N120" s="111">
        <v>50</v>
      </c>
      <c r="O120" s="101"/>
      <c r="P120" s="101">
        <v>0</v>
      </c>
      <c r="Q120" s="102"/>
      <c r="R120" s="56"/>
      <c r="S120" s="56"/>
      <c r="T120" s="56"/>
      <c r="U120" s="56"/>
      <c r="V120" s="56"/>
      <c r="W120" s="56"/>
    </row>
    <row r="121" spans="1:23" ht="15" customHeight="1">
      <c r="A121" s="120"/>
      <c r="B121" s="114"/>
      <c r="C121" s="174">
        <v>9</v>
      </c>
      <c r="D121" s="51">
        <v>85.714285714285708</v>
      </c>
      <c r="E121" s="50">
        <v>75</v>
      </c>
      <c r="F121" s="51">
        <v>85.714285714285708</v>
      </c>
      <c r="G121" s="52">
        <f t="shared" si="6"/>
        <v>472.14285714285717</v>
      </c>
      <c r="H121" s="53">
        <f t="shared" si="7"/>
        <v>225</v>
      </c>
      <c r="I121" s="72">
        <f t="shared" si="8"/>
        <v>-608.42857142857156</v>
      </c>
      <c r="J121" s="55">
        <f t="shared" si="9"/>
        <v>2472.1428571428573</v>
      </c>
      <c r="K121" s="57">
        <f t="shared" si="10"/>
        <v>225</v>
      </c>
      <c r="L121" s="58">
        <f t="shared" si="11"/>
        <v>-1108.4285714285716</v>
      </c>
      <c r="M121" s="120"/>
      <c r="N121" s="111">
        <v>50</v>
      </c>
      <c r="O121" s="101"/>
      <c r="P121" s="101">
        <v>0</v>
      </c>
      <c r="Q121" s="102"/>
      <c r="R121" s="56"/>
      <c r="S121" s="56"/>
      <c r="T121" s="56"/>
      <c r="U121" s="56"/>
      <c r="V121" s="56"/>
      <c r="W121" s="56"/>
    </row>
    <row r="122" spans="1:23" ht="15" customHeight="1">
      <c r="A122" s="120"/>
      <c r="B122" s="114"/>
      <c r="C122" s="174">
        <v>10</v>
      </c>
      <c r="D122" s="51">
        <v>85.714285714285708</v>
      </c>
      <c r="E122" s="50">
        <v>50</v>
      </c>
      <c r="F122" s="51">
        <v>57.142857142857146</v>
      </c>
      <c r="G122" s="52">
        <f t="shared" si="6"/>
        <v>507.85714285714289</v>
      </c>
      <c r="H122" s="53">
        <f t="shared" si="7"/>
        <v>225</v>
      </c>
      <c r="I122" s="72">
        <f t="shared" si="8"/>
        <v>-601.28571428571445</v>
      </c>
      <c r="J122" s="55">
        <f t="shared" si="9"/>
        <v>2507.8571428571431</v>
      </c>
      <c r="K122" s="57">
        <f t="shared" si="10"/>
        <v>225</v>
      </c>
      <c r="L122" s="58">
        <f t="shared" si="11"/>
        <v>-1101.2857142857144</v>
      </c>
      <c r="M122" s="120"/>
      <c r="N122" s="111">
        <v>50</v>
      </c>
      <c r="O122" s="101"/>
      <c r="P122" s="101">
        <v>0</v>
      </c>
      <c r="Q122" s="102"/>
      <c r="R122" s="56"/>
      <c r="S122" s="56"/>
      <c r="T122" s="56"/>
      <c r="U122" s="56"/>
      <c r="V122" s="56"/>
      <c r="W122" s="56"/>
    </row>
    <row r="123" spans="1:23" ht="15" customHeight="1">
      <c r="A123" s="120"/>
      <c r="B123" s="114"/>
      <c r="C123" s="174">
        <v>11</v>
      </c>
      <c r="D123" s="51">
        <v>78.571428571428569</v>
      </c>
      <c r="E123" s="50">
        <v>75</v>
      </c>
      <c r="F123" s="51">
        <v>71.428571428571431</v>
      </c>
      <c r="G123" s="52">
        <f t="shared" si="6"/>
        <v>536.42857142857144</v>
      </c>
      <c r="H123" s="53">
        <f t="shared" si="7"/>
        <v>250</v>
      </c>
      <c r="I123" s="72">
        <f t="shared" si="8"/>
        <v>-579.857142857143</v>
      </c>
      <c r="J123" s="55">
        <f t="shared" si="9"/>
        <v>2536.4285714285716</v>
      </c>
      <c r="K123" s="57">
        <f t="shared" si="10"/>
        <v>250</v>
      </c>
      <c r="L123" s="58">
        <f t="shared" si="11"/>
        <v>-1079.8571428571431</v>
      </c>
      <c r="M123" s="120"/>
      <c r="N123" s="111">
        <v>50</v>
      </c>
      <c r="O123" s="101"/>
      <c r="P123" s="101">
        <v>0</v>
      </c>
      <c r="Q123" s="102"/>
      <c r="R123" s="56"/>
      <c r="S123" s="56"/>
      <c r="T123" s="56"/>
      <c r="U123" s="56"/>
      <c r="V123" s="56"/>
      <c r="W123" s="56"/>
    </row>
    <row r="124" spans="1:23" ht="15" customHeight="1">
      <c r="A124" s="120"/>
      <c r="B124" s="116"/>
      <c r="C124" s="177">
        <v>12</v>
      </c>
      <c r="D124" s="139">
        <v>57.142857142857146</v>
      </c>
      <c r="E124" s="140">
        <v>87.5</v>
      </c>
      <c r="F124" s="139">
        <v>57.142857142857146</v>
      </c>
      <c r="G124" s="141">
        <f t="shared" si="6"/>
        <v>543.57142857142856</v>
      </c>
      <c r="H124" s="142">
        <f t="shared" si="7"/>
        <v>287.5</v>
      </c>
      <c r="I124" s="149">
        <f t="shared" si="8"/>
        <v>-572.71428571428589</v>
      </c>
      <c r="J124" s="637">
        <f t="shared" si="9"/>
        <v>2543.5714285714284</v>
      </c>
      <c r="K124" s="144">
        <f t="shared" si="10"/>
        <v>287.5</v>
      </c>
      <c r="L124" s="638">
        <f t="shared" si="11"/>
        <v>-1072.7142857142858</v>
      </c>
      <c r="M124" s="120"/>
      <c r="N124" s="145">
        <v>50</v>
      </c>
      <c r="O124" s="146"/>
      <c r="P124" s="146">
        <v>0</v>
      </c>
      <c r="Q124" s="148"/>
      <c r="R124" s="65"/>
      <c r="S124" s="65"/>
      <c r="T124" s="65"/>
      <c r="U124" s="65"/>
      <c r="V124" s="65"/>
      <c r="W124" s="65"/>
    </row>
    <row r="125" spans="1:23" ht="15" customHeight="1">
      <c r="A125" s="125"/>
      <c r="B125" s="126" t="s">
        <v>338</v>
      </c>
      <c r="C125" s="173">
        <v>1</v>
      </c>
      <c r="D125" s="161">
        <v>57.142857142857146</v>
      </c>
      <c r="E125" s="162">
        <v>62.5</v>
      </c>
      <c r="F125" s="161">
        <v>57.142857142857146</v>
      </c>
      <c r="G125" s="163">
        <f t="shared" si="6"/>
        <v>550.71428571428567</v>
      </c>
      <c r="H125" s="158">
        <f t="shared" si="7"/>
        <v>300</v>
      </c>
      <c r="I125" s="164">
        <f t="shared" si="8"/>
        <v>-565.57142857142878</v>
      </c>
      <c r="J125" s="632">
        <f t="shared" si="9"/>
        <v>2550.7142857142858</v>
      </c>
      <c r="K125" s="158">
        <f t="shared" si="10"/>
        <v>300</v>
      </c>
      <c r="L125" s="633">
        <f t="shared" si="11"/>
        <v>-1065.5714285714289</v>
      </c>
      <c r="M125" s="125">
        <v>1989</v>
      </c>
      <c r="N125" s="133">
        <v>50</v>
      </c>
      <c r="O125" s="134"/>
      <c r="P125" s="134">
        <v>0</v>
      </c>
      <c r="Q125" s="135"/>
      <c r="S125" s="76"/>
      <c r="T125" s="76"/>
    </row>
    <row r="126" spans="1:23" ht="15" customHeight="1">
      <c r="A126" s="120"/>
      <c r="B126" s="114"/>
      <c r="C126" s="174">
        <v>2</v>
      </c>
      <c r="D126" s="77">
        <v>28.571428571428573</v>
      </c>
      <c r="E126" s="78">
        <v>25</v>
      </c>
      <c r="F126" s="77">
        <v>71.428571428571431</v>
      </c>
      <c r="G126" s="79">
        <f t="shared" si="6"/>
        <v>529.28571428571422</v>
      </c>
      <c r="H126" s="57">
        <f t="shared" si="7"/>
        <v>275</v>
      </c>
      <c r="I126" s="72">
        <f t="shared" si="8"/>
        <v>-544.14285714285734</v>
      </c>
      <c r="J126" s="634">
        <f t="shared" si="9"/>
        <v>2529.2857142857142</v>
      </c>
      <c r="K126" s="57">
        <f t="shared" si="10"/>
        <v>275</v>
      </c>
      <c r="L126" s="58">
        <f t="shared" si="11"/>
        <v>-1044.1428571428573</v>
      </c>
      <c r="M126" s="120"/>
      <c r="N126" s="111">
        <v>50</v>
      </c>
      <c r="O126" s="101"/>
      <c r="P126" s="101">
        <v>0</v>
      </c>
      <c r="Q126" s="102"/>
      <c r="R126" s="56"/>
      <c r="S126" s="80"/>
      <c r="T126" s="80"/>
      <c r="U126" s="56"/>
      <c r="V126" s="56"/>
      <c r="W126" s="56"/>
    </row>
    <row r="127" spans="1:23" ht="15" customHeight="1">
      <c r="A127" s="120"/>
      <c r="B127" s="114"/>
      <c r="C127" s="174">
        <v>3</v>
      </c>
      <c r="D127" s="77">
        <v>92.857142857142861</v>
      </c>
      <c r="E127" s="78">
        <v>75</v>
      </c>
      <c r="F127" s="77">
        <v>85.714285714285708</v>
      </c>
      <c r="G127" s="79">
        <f t="shared" si="6"/>
        <v>572.14285714285711</v>
      </c>
      <c r="H127" s="57">
        <f t="shared" si="7"/>
        <v>300</v>
      </c>
      <c r="I127" s="72">
        <f t="shared" si="8"/>
        <v>-508.42857142857162</v>
      </c>
      <c r="J127" s="634">
        <f t="shared" si="9"/>
        <v>2572.1428571428569</v>
      </c>
      <c r="K127" s="57">
        <f t="shared" si="10"/>
        <v>300</v>
      </c>
      <c r="L127" s="58">
        <f t="shared" si="11"/>
        <v>-1008.4285714285716</v>
      </c>
      <c r="M127" s="120"/>
      <c r="N127" s="111">
        <v>50</v>
      </c>
      <c r="O127" s="101"/>
      <c r="P127" s="101">
        <v>0</v>
      </c>
      <c r="Q127" s="102"/>
      <c r="R127" s="56"/>
      <c r="S127" s="80"/>
      <c r="T127" s="80"/>
      <c r="U127" s="56"/>
      <c r="V127" s="56"/>
      <c r="W127" s="56"/>
    </row>
    <row r="128" spans="1:23" ht="15" customHeight="1">
      <c r="A128" s="120"/>
      <c r="B128" s="114"/>
      <c r="C128" s="174">
        <v>4</v>
      </c>
      <c r="D128" s="77">
        <v>85.714285714285708</v>
      </c>
      <c r="E128" s="78">
        <v>50</v>
      </c>
      <c r="F128" s="77">
        <v>28.571428571428573</v>
      </c>
      <c r="G128" s="79">
        <f t="shared" si="6"/>
        <v>607.85714285714278</v>
      </c>
      <c r="H128" s="57">
        <f t="shared" si="7"/>
        <v>300</v>
      </c>
      <c r="I128" s="72">
        <f t="shared" si="8"/>
        <v>-529.857142857143</v>
      </c>
      <c r="J128" s="634">
        <f t="shared" si="9"/>
        <v>2607.8571428571427</v>
      </c>
      <c r="K128" s="57">
        <f t="shared" si="10"/>
        <v>300</v>
      </c>
      <c r="L128" s="58">
        <f t="shared" si="11"/>
        <v>-1029.8571428571431</v>
      </c>
      <c r="M128" s="120"/>
      <c r="N128" s="111">
        <v>50</v>
      </c>
      <c r="O128" s="101"/>
      <c r="P128" s="101">
        <v>0</v>
      </c>
      <c r="Q128" s="102"/>
      <c r="R128" s="56"/>
      <c r="S128" s="80"/>
      <c r="T128" s="80"/>
      <c r="U128" s="56"/>
      <c r="V128" s="56"/>
      <c r="W128" s="56"/>
    </row>
    <row r="129" spans="1:23" ht="15" customHeight="1">
      <c r="A129" s="120"/>
      <c r="B129" s="114"/>
      <c r="C129" s="174">
        <v>5</v>
      </c>
      <c r="D129" s="77">
        <v>78.571428571428569</v>
      </c>
      <c r="E129" s="78">
        <v>75</v>
      </c>
      <c r="F129" s="77">
        <v>64.285714285714292</v>
      </c>
      <c r="G129" s="79">
        <f t="shared" si="6"/>
        <v>636.42857142857133</v>
      </c>
      <c r="H129" s="57">
        <f t="shared" si="7"/>
        <v>325</v>
      </c>
      <c r="I129" s="72">
        <f t="shared" si="8"/>
        <v>-515.57142857142867</v>
      </c>
      <c r="J129" s="634">
        <f t="shared" si="9"/>
        <v>2636.4285714285716</v>
      </c>
      <c r="K129" s="57">
        <f t="shared" si="10"/>
        <v>325</v>
      </c>
      <c r="L129" s="58">
        <f t="shared" si="11"/>
        <v>-1015.5714285714287</v>
      </c>
      <c r="M129" s="120"/>
      <c r="N129" s="111">
        <v>50</v>
      </c>
      <c r="O129" s="101"/>
      <c r="P129" s="101">
        <v>0</v>
      </c>
      <c r="Q129" s="102"/>
      <c r="R129" s="56"/>
      <c r="S129" s="80"/>
      <c r="T129" s="80"/>
      <c r="U129" s="56"/>
      <c r="V129" s="56"/>
      <c r="W129" s="56"/>
    </row>
    <row r="130" spans="1:23" ht="15" customHeight="1">
      <c r="A130" s="120"/>
      <c r="B130" s="114"/>
      <c r="C130" s="174">
        <v>6</v>
      </c>
      <c r="D130" s="77">
        <v>100</v>
      </c>
      <c r="E130" s="78">
        <v>62.5</v>
      </c>
      <c r="F130" s="77">
        <v>100</v>
      </c>
      <c r="G130" s="79">
        <f t="shared" si="6"/>
        <v>686.42857142857133</v>
      </c>
      <c r="H130" s="57">
        <f t="shared" si="7"/>
        <v>337.5</v>
      </c>
      <c r="I130" s="72">
        <f t="shared" si="8"/>
        <v>-465.57142857142867</v>
      </c>
      <c r="J130" s="634">
        <f t="shared" si="9"/>
        <v>2686.4285714285716</v>
      </c>
      <c r="K130" s="57">
        <f t="shared" si="10"/>
        <v>337.5</v>
      </c>
      <c r="L130" s="58">
        <f t="shared" si="11"/>
        <v>-965.57142857142867</v>
      </c>
      <c r="M130" s="120"/>
      <c r="N130" s="111">
        <v>50</v>
      </c>
      <c r="O130" s="101"/>
      <c r="P130" s="101">
        <v>0</v>
      </c>
      <c r="Q130" s="102"/>
      <c r="R130" s="56"/>
      <c r="S130" s="80"/>
      <c r="T130" s="80"/>
      <c r="U130" s="56"/>
      <c r="V130" s="56"/>
      <c r="W130" s="56"/>
    </row>
    <row r="131" spans="1:23" ht="15" customHeight="1">
      <c r="A131" s="120"/>
      <c r="B131" s="114"/>
      <c r="C131" s="174">
        <v>7</v>
      </c>
      <c r="D131" s="77">
        <v>71.428571428571431</v>
      </c>
      <c r="E131" s="78">
        <v>75</v>
      </c>
      <c r="F131" s="77">
        <v>71.428571428571431</v>
      </c>
      <c r="G131" s="79">
        <f t="shared" si="6"/>
        <v>707.85714285714278</v>
      </c>
      <c r="H131" s="57">
        <f t="shared" si="7"/>
        <v>362.5</v>
      </c>
      <c r="I131" s="72">
        <f t="shared" si="8"/>
        <v>-444.14285714285722</v>
      </c>
      <c r="J131" s="634">
        <f t="shared" si="9"/>
        <v>2707.8571428571427</v>
      </c>
      <c r="K131" s="57">
        <f t="shared" si="10"/>
        <v>362.5</v>
      </c>
      <c r="L131" s="58">
        <f t="shared" si="11"/>
        <v>-944.14285714285722</v>
      </c>
      <c r="M131" s="120"/>
      <c r="N131" s="111">
        <v>50</v>
      </c>
      <c r="O131" s="101"/>
      <c r="P131" s="101">
        <v>0</v>
      </c>
      <c r="Q131" s="102"/>
      <c r="R131" s="56"/>
      <c r="S131" s="80"/>
      <c r="T131" s="80"/>
      <c r="U131" s="56"/>
      <c r="V131" s="56"/>
      <c r="W131" s="56"/>
    </row>
    <row r="132" spans="1:23" ht="15" customHeight="1">
      <c r="A132" s="120"/>
      <c r="B132" s="114"/>
      <c r="C132" s="174">
        <v>8</v>
      </c>
      <c r="D132" s="77">
        <v>57.142857142857146</v>
      </c>
      <c r="E132" s="78">
        <v>87.5</v>
      </c>
      <c r="F132" s="77">
        <v>57.142857142857146</v>
      </c>
      <c r="G132" s="79">
        <f t="shared" si="6"/>
        <v>714.99999999999989</v>
      </c>
      <c r="H132" s="57">
        <f t="shared" si="7"/>
        <v>400</v>
      </c>
      <c r="I132" s="72">
        <f t="shared" si="8"/>
        <v>-437.00000000000006</v>
      </c>
      <c r="J132" s="634">
        <f t="shared" si="9"/>
        <v>2715</v>
      </c>
      <c r="K132" s="57">
        <f t="shared" si="10"/>
        <v>400</v>
      </c>
      <c r="L132" s="58">
        <f t="shared" si="11"/>
        <v>-937</v>
      </c>
      <c r="M132" s="120"/>
      <c r="N132" s="111">
        <v>50</v>
      </c>
      <c r="O132" s="101"/>
      <c r="P132" s="101">
        <v>0</v>
      </c>
      <c r="Q132" s="102"/>
      <c r="R132" s="56"/>
      <c r="S132" s="80"/>
      <c r="T132" s="80"/>
      <c r="U132" s="56"/>
      <c r="V132" s="56"/>
      <c r="W132" s="56"/>
    </row>
    <row r="133" spans="1:23" ht="15" customHeight="1">
      <c r="A133" s="120"/>
      <c r="B133" s="114"/>
      <c r="C133" s="174">
        <v>9</v>
      </c>
      <c r="D133" s="77">
        <v>57.142857142857146</v>
      </c>
      <c r="E133" s="78">
        <v>87.5</v>
      </c>
      <c r="F133" s="77">
        <v>85.714285714285708</v>
      </c>
      <c r="G133" s="79">
        <f t="shared" si="6"/>
        <v>722.142857142857</v>
      </c>
      <c r="H133" s="57">
        <f t="shared" si="7"/>
        <v>437.5</v>
      </c>
      <c r="I133" s="72">
        <f t="shared" si="8"/>
        <v>-401.28571428571433</v>
      </c>
      <c r="J133" s="634">
        <f t="shared" si="9"/>
        <v>2722.1428571428569</v>
      </c>
      <c r="K133" s="57">
        <f t="shared" si="10"/>
        <v>437.5</v>
      </c>
      <c r="L133" s="58">
        <f t="shared" si="11"/>
        <v>-901.28571428571433</v>
      </c>
      <c r="M133" s="120"/>
      <c r="N133" s="111">
        <v>50</v>
      </c>
      <c r="O133" s="101"/>
      <c r="P133" s="101">
        <v>0</v>
      </c>
      <c r="Q133" s="102"/>
      <c r="R133" s="56"/>
      <c r="S133" s="80"/>
      <c r="T133" s="80"/>
      <c r="U133" s="56"/>
      <c r="V133" s="56"/>
      <c r="W133" s="56"/>
    </row>
    <row r="134" spans="1:23" ht="15" customHeight="1">
      <c r="A134" s="120"/>
      <c r="B134" s="114"/>
      <c r="C134" s="174">
        <v>10</v>
      </c>
      <c r="D134" s="77">
        <v>71.428571428571431</v>
      </c>
      <c r="E134" s="78">
        <v>75</v>
      </c>
      <c r="F134" s="77">
        <v>85.714285714285708</v>
      </c>
      <c r="G134" s="79">
        <f t="shared" ref="G134:G197" si="12">D134-50+G133</f>
        <v>743.57142857142844</v>
      </c>
      <c r="H134" s="57">
        <f t="shared" ref="H134:H197" si="13">E134-50+H133</f>
        <v>462.5</v>
      </c>
      <c r="I134" s="72">
        <f t="shared" ref="I134:I197" si="14">F134-50+I133</f>
        <v>-365.57142857142861</v>
      </c>
      <c r="J134" s="634">
        <f t="shared" ref="J134:J197" si="15">IF($D134="",NA,$G134+2000)</f>
        <v>2743.5714285714284</v>
      </c>
      <c r="K134" s="57">
        <f t="shared" ref="K134:K197" si="16">IF(E134="",NA,H134)</f>
        <v>462.5</v>
      </c>
      <c r="L134" s="58">
        <f t="shared" ref="L134:L197" si="17">IF($F134="",NA,$I134-500)</f>
        <v>-865.57142857142867</v>
      </c>
      <c r="M134" s="120"/>
      <c r="N134" s="111">
        <v>50</v>
      </c>
      <c r="O134" s="101"/>
      <c r="P134" s="101">
        <v>0</v>
      </c>
      <c r="Q134" s="102"/>
      <c r="R134" s="56"/>
      <c r="S134" s="80"/>
      <c r="T134" s="80"/>
      <c r="U134" s="56"/>
      <c r="V134" s="56"/>
      <c r="W134" s="56"/>
    </row>
    <row r="135" spans="1:23" ht="15" customHeight="1">
      <c r="A135" s="120"/>
      <c r="B135" s="114"/>
      <c r="C135" s="174">
        <v>11</v>
      </c>
      <c r="D135" s="77">
        <v>57.142857142857146</v>
      </c>
      <c r="E135" s="78">
        <v>75</v>
      </c>
      <c r="F135" s="77">
        <v>42.857142857142854</v>
      </c>
      <c r="G135" s="79">
        <f t="shared" si="12"/>
        <v>750.71428571428555</v>
      </c>
      <c r="H135" s="57">
        <f t="shared" si="13"/>
        <v>487.5</v>
      </c>
      <c r="I135" s="72">
        <f t="shared" si="14"/>
        <v>-372.71428571428578</v>
      </c>
      <c r="J135" s="634">
        <f t="shared" si="15"/>
        <v>2750.7142857142853</v>
      </c>
      <c r="K135" s="57">
        <f t="shared" si="16"/>
        <v>487.5</v>
      </c>
      <c r="L135" s="58">
        <f t="shared" si="17"/>
        <v>-872.71428571428578</v>
      </c>
      <c r="M135" s="120"/>
      <c r="N135" s="136">
        <v>50</v>
      </c>
      <c r="O135" s="137"/>
      <c r="P135" s="137">
        <v>0</v>
      </c>
      <c r="Q135" s="160"/>
      <c r="R135" s="56"/>
      <c r="S135" s="80"/>
      <c r="T135" s="80"/>
      <c r="U135" s="56"/>
      <c r="V135" s="56"/>
      <c r="W135" s="56"/>
    </row>
    <row r="136" spans="1:23" ht="15" customHeight="1">
      <c r="A136" s="132"/>
      <c r="B136" s="115"/>
      <c r="C136" s="175">
        <v>12</v>
      </c>
      <c r="D136" s="81">
        <v>71.428571428571431</v>
      </c>
      <c r="E136" s="82">
        <v>75</v>
      </c>
      <c r="F136" s="81">
        <v>71.428571428571431</v>
      </c>
      <c r="G136" s="69">
        <f t="shared" si="12"/>
        <v>772.142857142857</v>
      </c>
      <c r="H136" s="64">
        <f t="shared" si="13"/>
        <v>512.5</v>
      </c>
      <c r="I136" s="70">
        <f t="shared" si="14"/>
        <v>-351.28571428571433</v>
      </c>
      <c r="J136" s="635">
        <f t="shared" si="15"/>
        <v>2772.1428571428569</v>
      </c>
      <c r="K136" s="64">
        <f t="shared" si="16"/>
        <v>512.5</v>
      </c>
      <c r="L136" s="636">
        <f t="shared" si="17"/>
        <v>-851.28571428571433</v>
      </c>
      <c r="M136" s="132"/>
      <c r="N136" s="136">
        <v>50</v>
      </c>
      <c r="O136" s="137"/>
      <c r="P136" s="137">
        <v>0</v>
      </c>
      <c r="Q136" s="160"/>
      <c r="R136" s="65"/>
      <c r="S136" s="83"/>
      <c r="T136" s="83"/>
      <c r="U136" s="65"/>
      <c r="V136" s="65"/>
      <c r="W136" s="65"/>
    </row>
    <row r="137" spans="1:23" ht="15" customHeight="1">
      <c r="A137" s="120"/>
      <c r="B137" s="103">
        <v>2</v>
      </c>
      <c r="C137" s="176">
        <v>1</v>
      </c>
      <c r="D137" s="73">
        <v>50</v>
      </c>
      <c r="E137" s="74">
        <v>62.5</v>
      </c>
      <c r="F137" s="73">
        <v>71.428571428571431</v>
      </c>
      <c r="G137" s="75">
        <f t="shared" si="12"/>
        <v>772.142857142857</v>
      </c>
      <c r="H137" s="68">
        <f t="shared" si="13"/>
        <v>525</v>
      </c>
      <c r="I137" s="71">
        <f t="shared" si="14"/>
        <v>-329.85714285714289</v>
      </c>
      <c r="J137" s="630">
        <f t="shared" si="15"/>
        <v>2772.1428571428569</v>
      </c>
      <c r="K137" s="68">
        <f t="shared" si="16"/>
        <v>525</v>
      </c>
      <c r="L137" s="631">
        <f t="shared" si="17"/>
        <v>-829.85714285714289</v>
      </c>
      <c r="M137" s="120">
        <v>1990</v>
      </c>
      <c r="N137" s="111">
        <v>50</v>
      </c>
      <c r="O137" s="101"/>
      <c r="P137" s="101">
        <v>0</v>
      </c>
      <c r="Q137" s="102"/>
      <c r="S137" s="76"/>
      <c r="T137" s="76"/>
    </row>
    <row r="138" spans="1:23" ht="15" customHeight="1">
      <c r="A138" s="120"/>
      <c r="B138" s="114"/>
      <c r="C138" s="174">
        <v>2</v>
      </c>
      <c r="D138" s="77">
        <v>57.142857142857146</v>
      </c>
      <c r="E138" s="78">
        <v>75</v>
      </c>
      <c r="F138" s="77">
        <v>71.428571428571431</v>
      </c>
      <c r="G138" s="79">
        <f t="shared" si="12"/>
        <v>779.28571428571411</v>
      </c>
      <c r="H138" s="57">
        <f t="shared" si="13"/>
        <v>550</v>
      </c>
      <c r="I138" s="72">
        <f t="shared" si="14"/>
        <v>-308.42857142857144</v>
      </c>
      <c r="J138" s="55">
        <f t="shared" si="15"/>
        <v>2779.2857142857142</v>
      </c>
      <c r="K138" s="57">
        <f t="shared" si="16"/>
        <v>550</v>
      </c>
      <c r="L138" s="58">
        <f t="shared" si="17"/>
        <v>-808.42857142857144</v>
      </c>
      <c r="M138" s="120"/>
      <c r="N138" s="111">
        <v>50</v>
      </c>
      <c r="O138" s="101"/>
      <c r="P138" s="101">
        <v>0</v>
      </c>
      <c r="Q138" s="102"/>
      <c r="R138" s="56"/>
      <c r="S138" s="80"/>
      <c r="T138" s="80"/>
      <c r="U138" s="56"/>
      <c r="V138" s="56"/>
      <c r="W138" s="56"/>
    </row>
    <row r="139" spans="1:23" ht="15" customHeight="1">
      <c r="A139" s="120"/>
      <c r="B139" s="114"/>
      <c r="C139" s="174">
        <v>3</v>
      </c>
      <c r="D139" s="77">
        <v>42.857142857142854</v>
      </c>
      <c r="E139" s="78">
        <v>87.5</v>
      </c>
      <c r="F139" s="77">
        <v>42.857142857142854</v>
      </c>
      <c r="G139" s="79">
        <f t="shared" si="12"/>
        <v>772.142857142857</v>
      </c>
      <c r="H139" s="57">
        <f t="shared" si="13"/>
        <v>587.5</v>
      </c>
      <c r="I139" s="72">
        <f t="shared" si="14"/>
        <v>-315.57142857142861</v>
      </c>
      <c r="J139" s="55">
        <f t="shared" si="15"/>
        <v>2772.1428571428569</v>
      </c>
      <c r="K139" s="57">
        <f t="shared" si="16"/>
        <v>587.5</v>
      </c>
      <c r="L139" s="58">
        <f t="shared" si="17"/>
        <v>-815.57142857142867</v>
      </c>
      <c r="M139" s="120"/>
      <c r="N139" s="111">
        <v>50</v>
      </c>
      <c r="O139" s="101"/>
      <c r="P139" s="101">
        <v>0</v>
      </c>
      <c r="Q139" s="102"/>
      <c r="R139" s="56"/>
      <c r="S139" s="80"/>
      <c r="T139" s="80"/>
      <c r="U139" s="56"/>
      <c r="V139" s="56"/>
      <c r="W139" s="56"/>
    </row>
    <row r="140" spans="1:23" ht="15" customHeight="1">
      <c r="A140" s="120"/>
      <c r="B140" s="114"/>
      <c r="C140" s="174">
        <v>4</v>
      </c>
      <c r="D140" s="77">
        <v>64.285714285714292</v>
      </c>
      <c r="E140" s="78">
        <v>50</v>
      </c>
      <c r="F140" s="77">
        <v>85.714285714285708</v>
      </c>
      <c r="G140" s="79">
        <f t="shared" si="12"/>
        <v>786.42857142857133</v>
      </c>
      <c r="H140" s="57">
        <f t="shared" si="13"/>
        <v>587.5</v>
      </c>
      <c r="I140" s="72">
        <f t="shared" si="14"/>
        <v>-279.85714285714289</v>
      </c>
      <c r="J140" s="55">
        <f t="shared" si="15"/>
        <v>2786.4285714285716</v>
      </c>
      <c r="K140" s="57">
        <f t="shared" si="16"/>
        <v>587.5</v>
      </c>
      <c r="L140" s="58">
        <f t="shared" si="17"/>
        <v>-779.85714285714289</v>
      </c>
      <c r="M140" s="120"/>
      <c r="N140" s="111">
        <v>50</v>
      </c>
      <c r="O140" s="101"/>
      <c r="P140" s="101">
        <v>0</v>
      </c>
      <c r="Q140" s="102"/>
      <c r="R140" s="56"/>
      <c r="S140" s="80"/>
      <c r="T140" s="80"/>
      <c r="U140" s="56"/>
      <c r="V140" s="56"/>
      <c r="W140" s="56"/>
    </row>
    <row r="141" spans="1:23" ht="15" customHeight="1">
      <c r="A141" s="120"/>
      <c r="B141" s="114"/>
      <c r="C141" s="174">
        <v>5</v>
      </c>
      <c r="D141" s="77">
        <v>71.428571428571431</v>
      </c>
      <c r="E141" s="78">
        <v>43.75</v>
      </c>
      <c r="F141" s="77">
        <v>57.142857142857146</v>
      </c>
      <c r="G141" s="79">
        <f t="shared" si="12"/>
        <v>807.85714285714278</v>
      </c>
      <c r="H141" s="57">
        <f t="shared" si="13"/>
        <v>581.25</v>
      </c>
      <c r="I141" s="72">
        <f t="shared" si="14"/>
        <v>-272.71428571428572</v>
      </c>
      <c r="J141" s="55">
        <f t="shared" si="15"/>
        <v>2807.8571428571427</v>
      </c>
      <c r="K141" s="57">
        <f t="shared" si="16"/>
        <v>581.25</v>
      </c>
      <c r="L141" s="58">
        <f t="shared" si="17"/>
        <v>-772.71428571428578</v>
      </c>
      <c r="M141" s="120"/>
      <c r="N141" s="111">
        <v>50</v>
      </c>
      <c r="O141" s="101"/>
      <c r="P141" s="101">
        <v>0</v>
      </c>
      <c r="Q141" s="102"/>
      <c r="R141" s="56"/>
      <c r="S141" s="80"/>
      <c r="T141" s="80"/>
      <c r="U141" s="56"/>
      <c r="V141" s="56"/>
      <c r="W141" s="56"/>
    </row>
    <row r="142" spans="1:23" ht="15" customHeight="1">
      <c r="A142" s="120"/>
      <c r="B142" s="114"/>
      <c r="C142" s="174">
        <v>6</v>
      </c>
      <c r="D142" s="77">
        <v>71.428571428571431</v>
      </c>
      <c r="E142" s="78">
        <v>62.5</v>
      </c>
      <c r="F142" s="77">
        <v>71.428571428571431</v>
      </c>
      <c r="G142" s="79">
        <f t="shared" si="12"/>
        <v>829.28571428571422</v>
      </c>
      <c r="H142" s="57">
        <f t="shared" si="13"/>
        <v>593.75</v>
      </c>
      <c r="I142" s="72">
        <f t="shared" si="14"/>
        <v>-251.28571428571428</v>
      </c>
      <c r="J142" s="55">
        <f t="shared" si="15"/>
        <v>2829.2857142857142</v>
      </c>
      <c r="K142" s="57">
        <f t="shared" si="16"/>
        <v>593.75</v>
      </c>
      <c r="L142" s="58">
        <f t="shared" si="17"/>
        <v>-751.28571428571422</v>
      </c>
      <c r="M142" s="120"/>
      <c r="N142" s="111">
        <v>50</v>
      </c>
      <c r="O142" s="101"/>
      <c r="P142" s="101">
        <v>0</v>
      </c>
      <c r="Q142" s="102"/>
      <c r="R142" s="56"/>
      <c r="S142" s="80"/>
      <c r="T142" s="80"/>
      <c r="U142" s="56"/>
      <c r="V142" s="56"/>
      <c r="W142" s="56"/>
    </row>
    <row r="143" spans="1:23" ht="15" customHeight="1">
      <c r="A143" s="120"/>
      <c r="B143" s="114"/>
      <c r="C143" s="174">
        <v>7</v>
      </c>
      <c r="D143" s="77">
        <v>85.714285714285708</v>
      </c>
      <c r="E143" s="78">
        <v>75</v>
      </c>
      <c r="F143" s="77">
        <v>28.571428571428573</v>
      </c>
      <c r="G143" s="79">
        <f t="shared" si="12"/>
        <v>864.99999999999989</v>
      </c>
      <c r="H143" s="57">
        <f t="shared" si="13"/>
        <v>618.75</v>
      </c>
      <c r="I143" s="72">
        <f t="shared" si="14"/>
        <v>-272.71428571428572</v>
      </c>
      <c r="J143" s="55">
        <f t="shared" si="15"/>
        <v>2865</v>
      </c>
      <c r="K143" s="57">
        <f t="shared" si="16"/>
        <v>618.75</v>
      </c>
      <c r="L143" s="58">
        <f t="shared" si="17"/>
        <v>-772.71428571428578</v>
      </c>
      <c r="M143" s="120"/>
      <c r="N143" s="111">
        <v>50</v>
      </c>
      <c r="O143" s="101"/>
      <c r="P143" s="101">
        <v>0</v>
      </c>
      <c r="Q143" s="102"/>
      <c r="R143" s="56"/>
      <c r="S143" s="80"/>
      <c r="T143" s="80"/>
      <c r="U143" s="56"/>
      <c r="V143" s="56"/>
      <c r="W143" s="56"/>
    </row>
    <row r="144" spans="1:23" ht="15" customHeight="1">
      <c r="A144" s="120"/>
      <c r="B144" s="114"/>
      <c r="C144" s="174">
        <v>8</v>
      </c>
      <c r="D144" s="77">
        <v>85.714285714285708</v>
      </c>
      <c r="E144" s="78">
        <v>87.5</v>
      </c>
      <c r="F144" s="77">
        <v>42.857142857142854</v>
      </c>
      <c r="G144" s="79">
        <f t="shared" si="12"/>
        <v>900.71428571428555</v>
      </c>
      <c r="H144" s="57">
        <f t="shared" si="13"/>
        <v>656.25</v>
      </c>
      <c r="I144" s="72">
        <f t="shared" si="14"/>
        <v>-279.85714285714289</v>
      </c>
      <c r="J144" s="55">
        <f t="shared" si="15"/>
        <v>2900.7142857142853</v>
      </c>
      <c r="K144" s="57">
        <f t="shared" si="16"/>
        <v>656.25</v>
      </c>
      <c r="L144" s="58">
        <f t="shared" si="17"/>
        <v>-779.85714285714289</v>
      </c>
      <c r="M144" s="120"/>
      <c r="N144" s="111">
        <v>50</v>
      </c>
      <c r="O144" s="101"/>
      <c r="P144" s="101">
        <v>0</v>
      </c>
      <c r="Q144" s="102"/>
      <c r="R144" s="56"/>
      <c r="S144" s="80"/>
      <c r="T144" s="80"/>
      <c r="U144" s="56"/>
      <c r="V144" s="56"/>
      <c r="W144" s="56"/>
    </row>
    <row r="145" spans="1:23" ht="15" customHeight="1">
      <c r="A145" s="120"/>
      <c r="B145" s="114"/>
      <c r="C145" s="174">
        <v>9</v>
      </c>
      <c r="D145" s="77">
        <v>85.714285714285708</v>
      </c>
      <c r="E145" s="78">
        <v>37.5</v>
      </c>
      <c r="F145" s="77">
        <v>14.285714285714286</v>
      </c>
      <c r="G145" s="79">
        <f t="shared" si="12"/>
        <v>936.42857142857122</v>
      </c>
      <c r="H145" s="57">
        <f t="shared" si="13"/>
        <v>643.75</v>
      </c>
      <c r="I145" s="72">
        <f t="shared" si="14"/>
        <v>-315.57142857142861</v>
      </c>
      <c r="J145" s="55">
        <f t="shared" si="15"/>
        <v>2936.4285714285711</v>
      </c>
      <c r="K145" s="57">
        <f t="shared" si="16"/>
        <v>643.75</v>
      </c>
      <c r="L145" s="58">
        <f t="shared" si="17"/>
        <v>-815.57142857142867</v>
      </c>
      <c r="M145" s="120"/>
      <c r="N145" s="111">
        <v>50</v>
      </c>
      <c r="O145" s="101"/>
      <c r="P145" s="101">
        <v>0</v>
      </c>
      <c r="Q145" s="102"/>
      <c r="R145" s="56"/>
      <c r="S145" s="80"/>
      <c r="T145" s="80"/>
      <c r="U145" s="56"/>
      <c r="V145" s="56"/>
      <c r="W145" s="56"/>
    </row>
    <row r="146" spans="1:23" ht="15" customHeight="1">
      <c r="A146" s="120"/>
      <c r="B146" s="114"/>
      <c r="C146" s="174">
        <v>10</v>
      </c>
      <c r="D146" s="77">
        <v>35.714285714285715</v>
      </c>
      <c r="E146" s="78">
        <v>75</v>
      </c>
      <c r="F146" s="77">
        <v>57.142857142857146</v>
      </c>
      <c r="G146" s="79">
        <f t="shared" si="12"/>
        <v>922.14285714285688</v>
      </c>
      <c r="H146" s="57">
        <f t="shared" si="13"/>
        <v>668.75</v>
      </c>
      <c r="I146" s="72">
        <f t="shared" si="14"/>
        <v>-308.42857142857144</v>
      </c>
      <c r="J146" s="55">
        <f t="shared" si="15"/>
        <v>2922.1428571428569</v>
      </c>
      <c r="K146" s="57">
        <f t="shared" si="16"/>
        <v>668.75</v>
      </c>
      <c r="L146" s="58">
        <f t="shared" si="17"/>
        <v>-808.42857142857144</v>
      </c>
      <c r="M146" s="120"/>
      <c r="N146" s="111">
        <v>50</v>
      </c>
      <c r="O146" s="101"/>
      <c r="P146" s="101">
        <v>0</v>
      </c>
      <c r="Q146" s="102"/>
      <c r="R146" s="56"/>
      <c r="S146" s="80"/>
      <c r="T146" s="80"/>
      <c r="U146" s="56"/>
      <c r="V146" s="56"/>
      <c r="W146" s="56"/>
    </row>
    <row r="147" spans="1:23" ht="15" customHeight="1">
      <c r="A147" s="120"/>
      <c r="B147" s="114"/>
      <c r="C147" s="174">
        <v>11</v>
      </c>
      <c r="D147" s="77">
        <v>28.571428571428573</v>
      </c>
      <c r="E147" s="78">
        <v>56.25</v>
      </c>
      <c r="F147" s="77">
        <v>57.142857142857146</v>
      </c>
      <c r="G147" s="79">
        <f t="shared" si="12"/>
        <v>900.71428571428544</v>
      </c>
      <c r="H147" s="57">
        <f t="shared" si="13"/>
        <v>675</v>
      </c>
      <c r="I147" s="72">
        <f t="shared" si="14"/>
        <v>-301.28571428571428</v>
      </c>
      <c r="J147" s="55">
        <f t="shared" si="15"/>
        <v>2900.7142857142853</v>
      </c>
      <c r="K147" s="57">
        <f t="shared" si="16"/>
        <v>675</v>
      </c>
      <c r="L147" s="58">
        <f t="shared" si="17"/>
        <v>-801.28571428571422</v>
      </c>
      <c r="M147" s="120"/>
      <c r="N147" s="111">
        <v>50</v>
      </c>
      <c r="O147" s="101"/>
      <c r="P147" s="101">
        <v>0</v>
      </c>
      <c r="Q147" s="102"/>
      <c r="R147" s="56"/>
      <c r="S147" s="80"/>
      <c r="T147" s="80"/>
      <c r="U147" s="56"/>
      <c r="V147" s="56"/>
      <c r="W147" s="56"/>
    </row>
    <row r="148" spans="1:23" ht="15" customHeight="1">
      <c r="A148" s="120"/>
      <c r="B148" s="116"/>
      <c r="C148" s="177">
        <v>12</v>
      </c>
      <c r="D148" s="150">
        <v>14.285714285714286</v>
      </c>
      <c r="E148" s="151">
        <v>25</v>
      </c>
      <c r="F148" s="150">
        <v>100</v>
      </c>
      <c r="G148" s="152">
        <f t="shared" si="12"/>
        <v>864.99999999999977</v>
      </c>
      <c r="H148" s="144">
        <f t="shared" si="13"/>
        <v>650</v>
      </c>
      <c r="I148" s="149">
        <f t="shared" si="14"/>
        <v>-251.28571428571428</v>
      </c>
      <c r="J148" s="637">
        <f t="shared" si="15"/>
        <v>2865</v>
      </c>
      <c r="K148" s="144">
        <f t="shared" si="16"/>
        <v>650</v>
      </c>
      <c r="L148" s="638">
        <f t="shared" si="17"/>
        <v>-751.28571428571422</v>
      </c>
      <c r="M148" s="120"/>
      <c r="N148" s="145">
        <v>50</v>
      </c>
      <c r="O148" s="146"/>
      <c r="P148" s="146">
        <v>0</v>
      </c>
      <c r="Q148" s="148"/>
      <c r="R148" s="65"/>
      <c r="S148" s="83"/>
      <c r="T148" s="83"/>
      <c r="U148" s="65"/>
      <c r="V148" s="65"/>
      <c r="W148" s="65"/>
    </row>
    <row r="149" spans="1:23" ht="15" customHeight="1">
      <c r="A149" s="125"/>
      <c r="B149" s="126">
        <v>3</v>
      </c>
      <c r="C149" s="173">
        <v>1</v>
      </c>
      <c r="D149" s="161">
        <v>28.571428571428573</v>
      </c>
      <c r="E149" s="162">
        <v>50</v>
      </c>
      <c r="F149" s="161">
        <v>85.714285714285708</v>
      </c>
      <c r="G149" s="163">
        <f t="shared" si="12"/>
        <v>843.57142857142833</v>
      </c>
      <c r="H149" s="158">
        <f t="shared" si="13"/>
        <v>650</v>
      </c>
      <c r="I149" s="164">
        <f t="shared" si="14"/>
        <v>-215.57142857142856</v>
      </c>
      <c r="J149" s="632">
        <f t="shared" si="15"/>
        <v>2843.5714285714284</v>
      </c>
      <c r="K149" s="158">
        <f t="shared" si="16"/>
        <v>650</v>
      </c>
      <c r="L149" s="633">
        <f t="shared" si="17"/>
        <v>-715.57142857142856</v>
      </c>
      <c r="M149" s="125">
        <v>1991</v>
      </c>
      <c r="N149" s="133">
        <v>50</v>
      </c>
      <c r="O149" s="134"/>
      <c r="P149" s="134">
        <v>0</v>
      </c>
      <c r="Q149" s="135"/>
      <c r="S149" s="76"/>
      <c r="T149" s="76"/>
    </row>
    <row r="150" spans="1:23" ht="15" customHeight="1">
      <c r="A150" s="120"/>
      <c r="B150" s="114"/>
      <c r="C150" s="174">
        <v>2</v>
      </c>
      <c r="D150" s="77">
        <v>42.857142857142854</v>
      </c>
      <c r="E150" s="78">
        <v>62.5</v>
      </c>
      <c r="F150" s="77">
        <v>85.714285714285708</v>
      </c>
      <c r="G150" s="79">
        <f t="shared" si="12"/>
        <v>836.42857142857122</v>
      </c>
      <c r="H150" s="57">
        <f t="shared" si="13"/>
        <v>662.5</v>
      </c>
      <c r="I150" s="72">
        <f t="shared" si="14"/>
        <v>-179.85714285714283</v>
      </c>
      <c r="J150" s="634">
        <f t="shared" si="15"/>
        <v>2836.4285714285711</v>
      </c>
      <c r="K150" s="57">
        <f t="shared" si="16"/>
        <v>662.5</v>
      </c>
      <c r="L150" s="58">
        <f t="shared" si="17"/>
        <v>-679.85714285714289</v>
      </c>
      <c r="M150" s="120"/>
      <c r="N150" s="111">
        <v>50</v>
      </c>
      <c r="O150" s="101"/>
      <c r="P150" s="101">
        <v>0</v>
      </c>
      <c r="Q150" s="102"/>
      <c r="R150" s="56"/>
      <c r="S150" s="80"/>
      <c r="T150" s="80"/>
      <c r="U150" s="56"/>
      <c r="V150" s="56"/>
      <c r="W150" s="56"/>
    </row>
    <row r="151" spans="1:23" ht="15" customHeight="1">
      <c r="A151" s="120"/>
      <c r="B151" s="114"/>
      <c r="C151" s="174">
        <v>3</v>
      </c>
      <c r="D151" s="77">
        <v>42.857142857142854</v>
      </c>
      <c r="E151" s="78">
        <v>37.5</v>
      </c>
      <c r="F151" s="77">
        <v>71.428571428571431</v>
      </c>
      <c r="G151" s="79">
        <f t="shared" si="12"/>
        <v>829.28571428571411</v>
      </c>
      <c r="H151" s="57">
        <f t="shared" si="13"/>
        <v>650</v>
      </c>
      <c r="I151" s="72">
        <f t="shared" si="14"/>
        <v>-158.42857142857139</v>
      </c>
      <c r="J151" s="634">
        <f t="shared" si="15"/>
        <v>2829.2857142857142</v>
      </c>
      <c r="K151" s="57">
        <f t="shared" si="16"/>
        <v>650</v>
      </c>
      <c r="L151" s="58">
        <f t="shared" si="17"/>
        <v>-658.42857142857133</v>
      </c>
      <c r="M151" s="120"/>
      <c r="N151" s="111">
        <v>50</v>
      </c>
      <c r="O151" s="101"/>
      <c r="P151" s="101">
        <v>0</v>
      </c>
      <c r="Q151" s="102"/>
      <c r="R151" s="56"/>
      <c r="S151" s="80"/>
      <c r="T151" s="80"/>
      <c r="U151" s="56"/>
      <c r="V151" s="56"/>
      <c r="W151" s="56"/>
    </row>
    <row r="152" spans="1:23" ht="15" customHeight="1">
      <c r="A152" s="120"/>
      <c r="B152" s="114"/>
      <c r="C152" s="174">
        <v>4</v>
      </c>
      <c r="D152" s="77">
        <v>71.428571428571431</v>
      </c>
      <c r="E152" s="78">
        <v>75</v>
      </c>
      <c r="F152" s="77">
        <v>28.571428571428573</v>
      </c>
      <c r="G152" s="79">
        <f t="shared" si="12"/>
        <v>850.71428571428555</v>
      </c>
      <c r="H152" s="57">
        <f t="shared" si="13"/>
        <v>675</v>
      </c>
      <c r="I152" s="72">
        <f t="shared" si="14"/>
        <v>-179.8571428571428</v>
      </c>
      <c r="J152" s="634">
        <f t="shared" si="15"/>
        <v>2850.7142857142853</v>
      </c>
      <c r="K152" s="57">
        <f t="shared" si="16"/>
        <v>675</v>
      </c>
      <c r="L152" s="58">
        <f t="shared" si="17"/>
        <v>-679.85714285714278</v>
      </c>
      <c r="M152" s="120"/>
      <c r="N152" s="111">
        <v>50</v>
      </c>
      <c r="O152" s="101"/>
      <c r="P152" s="101">
        <v>0</v>
      </c>
      <c r="Q152" s="102"/>
      <c r="R152" s="56"/>
      <c r="S152" s="80"/>
      <c r="T152" s="80"/>
      <c r="U152" s="56"/>
      <c r="V152" s="56"/>
      <c r="W152" s="56"/>
    </row>
    <row r="153" spans="1:23" ht="15" customHeight="1">
      <c r="A153" s="120"/>
      <c r="B153" s="114"/>
      <c r="C153" s="174">
        <v>5</v>
      </c>
      <c r="D153" s="77">
        <v>42.857142857142854</v>
      </c>
      <c r="E153" s="78">
        <v>75</v>
      </c>
      <c r="F153" s="77">
        <v>57.142857142857146</v>
      </c>
      <c r="G153" s="79">
        <f t="shared" si="12"/>
        <v>843.57142857142844</v>
      </c>
      <c r="H153" s="57">
        <f t="shared" si="13"/>
        <v>700</v>
      </c>
      <c r="I153" s="72">
        <f t="shared" si="14"/>
        <v>-172.71428571428567</v>
      </c>
      <c r="J153" s="634">
        <f t="shared" si="15"/>
        <v>2843.5714285714284</v>
      </c>
      <c r="K153" s="57">
        <f t="shared" si="16"/>
        <v>700</v>
      </c>
      <c r="L153" s="58">
        <f t="shared" si="17"/>
        <v>-672.71428571428567</v>
      </c>
      <c r="M153" s="120"/>
      <c r="N153" s="111">
        <v>50</v>
      </c>
      <c r="O153" s="101"/>
      <c r="P153" s="101">
        <v>0</v>
      </c>
      <c r="Q153" s="102"/>
      <c r="R153" s="56"/>
      <c r="S153" s="80"/>
      <c r="T153" s="80"/>
      <c r="U153" s="56"/>
      <c r="V153" s="56"/>
      <c r="W153" s="56"/>
    </row>
    <row r="154" spans="1:23" ht="15" customHeight="1">
      <c r="A154" s="120"/>
      <c r="B154" s="114"/>
      <c r="C154" s="174">
        <v>6</v>
      </c>
      <c r="D154" s="77">
        <v>14.285714285714286</v>
      </c>
      <c r="E154" s="78">
        <v>62.5</v>
      </c>
      <c r="F154" s="77">
        <v>57.142857142857146</v>
      </c>
      <c r="G154" s="79">
        <f t="shared" si="12"/>
        <v>807.85714285714278</v>
      </c>
      <c r="H154" s="57">
        <f t="shared" si="13"/>
        <v>712.5</v>
      </c>
      <c r="I154" s="72">
        <f t="shared" si="14"/>
        <v>-165.57142857142853</v>
      </c>
      <c r="J154" s="634">
        <f t="shared" si="15"/>
        <v>2807.8571428571427</v>
      </c>
      <c r="K154" s="57">
        <f t="shared" si="16"/>
        <v>712.5</v>
      </c>
      <c r="L154" s="58">
        <f t="shared" si="17"/>
        <v>-665.57142857142856</v>
      </c>
      <c r="M154" s="120"/>
      <c r="N154" s="111">
        <v>50</v>
      </c>
      <c r="O154" s="101">
        <v>99</v>
      </c>
      <c r="P154" s="101">
        <v>0</v>
      </c>
      <c r="Q154" s="112">
        <v>2980</v>
      </c>
      <c r="R154" s="56"/>
      <c r="S154" s="80"/>
      <c r="T154" s="80"/>
      <c r="U154" s="56"/>
      <c r="V154" s="56"/>
      <c r="W154" s="56"/>
    </row>
    <row r="155" spans="1:23" ht="15" customHeight="1">
      <c r="A155" s="120"/>
      <c r="B155" s="114"/>
      <c r="C155" s="174">
        <v>7</v>
      </c>
      <c r="D155" s="77">
        <v>50</v>
      </c>
      <c r="E155" s="78">
        <v>50</v>
      </c>
      <c r="F155" s="77">
        <v>64.285714285714292</v>
      </c>
      <c r="G155" s="79">
        <f t="shared" si="12"/>
        <v>807.85714285714278</v>
      </c>
      <c r="H155" s="57">
        <f t="shared" si="13"/>
        <v>712.5</v>
      </c>
      <c r="I155" s="72">
        <f t="shared" si="14"/>
        <v>-151.28571428571422</v>
      </c>
      <c r="J155" s="634">
        <f t="shared" si="15"/>
        <v>2807.8571428571427</v>
      </c>
      <c r="K155" s="57">
        <f t="shared" si="16"/>
        <v>712.5</v>
      </c>
      <c r="L155" s="58">
        <f t="shared" si="17"/>
        <v>-651.28571428571422</v>
      </c>
      <c r="M155" s="120"/>
      <c r="N155" s="111">
        <v>50</v>
      </c>
      <c r="O155" s="101">
        <v>99</v>
      </c>
      <c r="P155" s="101">
        <v>0</v>
      </c>
      <c r="Q155" s="112">
        <v>2980</v>
      </c>
      <c r="R155" s="56"/>
      <c r="S155" s="80"/>
      <c r="T155" s="80"/>
      <c r="U155" s="56"/>
      <c r="V155" s="56"/>
      <c r="W155" s="56"/>
    </row>
    <row r="156" spans="1:23" ht="15" customHeight="1">
      <c r="A156" s="120"/>
      <c r="B156" s="114"/>
      <c r="C156" s="174">
        <v>8</v>
      </c>
      <c r="D156" s="77">
        <v>57.142857142857146</v>
      </c>
      <c r="E156" s="78">
        <v>37.5</v>
      </c>
      <c r="F156" s="77">
        <v>57.142857142857146</v>
      </c>
      <c r="G156" s="79">
        <f t="shared" si="12"/>
        <v>814.99999999999989</v>
      </c>
      <c r="H156" s="57">
        <f t="shared" si="13"/>
        <v>700</v>
      </c>
      <c r="I156" s="72">
        <f t="shared" si="14"/>
        <v>-144.14285714285708</v>
      </c>
      <c r="J156" s="634">
        <f t="shared" si="15"/>
        <v>2815</v>
      </c>
      <c r="K156" s="57">
        <f t="shared" si="16"/>
        <v>700</v>
      </c>
      <c r="L156" s="58">
        <f t="shared" si="17"/>
        <v>-644.14285714285711</v>
      </c>
      <c r="M156" s="120"/>
      <c r="N156" s="111">
        <v>50</v>
      </c>
      <c r="O156" s="101">
        <v>99</v>
      </c>
      <c r="P156" s="101">
        <v>0</v>
      </c>
      <c r="Q156" s="112">
        <v>2980</v>
      </c>
      <c r="R156" s="56"/>
      <c r="S156" s="80"/>
      <c r="T156" s="80"/>
      <c r="U156" s="56"/>
      <c r="V156" s="56"/>
      <c r="W156" s="56"/>
    </row>
    <row r="157" spans="1:23" ht="15" customHeight="1">
      <c r="A157" s="120"/>
      <c r="B157" s="114"/>
      <c r="C157" s="174">
        <v>9</v>
      </c>
      <c r="D157" s="77">
        <v>28.571428571428573</v>
      </c>
      <c r="E157" s="78">
        <v>0</v>
      </c>
      <c r="F157" s="77">
        <v>71.428571428571431</v>
      </c>
      <c r="G157" s="79">
        <f t="shared" si="12"/>
        <v>793.57142857142844</v>
      </c>
      <c r="H157" s="57">
        <f t="shared" si="13"/>
        <v>650</v>
      </c>
      <c r="I157" s="72">
        <f t="shared" si="14"/>
        <v>-122.71428571428565</v>
      </c>
      <c r="J157" s="634">
        <f t="shared" si="15"/>
        <v>2793.5714285714284</v>
      </c>
      <c r="K157" s="57">
        <f t="shared" si="16"/>
        <v>650</v>
      </c>
      <c r="L157" s="58">
        <f t="shared" si="17"/>
        <v>-622.71428571428567</v>
      </c>
      <c r="M157" s="120"/>
      <c r="N157" s="111">
        <v>50</v>
      </c>
      <c r="O157" s="101">
        <v>99</v>
      </c>
      <c r="P157" s="101">
        <v>0</v>
      </c>
      <c r="Q157" s="112">
        <v>2980</v>
      </c>
      <c r="R157" s="56"/>
      <c r="S157" s="80"/>
      <c r="T157" s="80"/>
      <c r="U157" s="56"/>
      <c r="V157" s="56"/>
      <c r="W157" s="56"/>
    </row>
    <row r="158" spans="1:23" ht="15" customHeight="1">
      <c r="A158" s="120"/>
      <c r="B158" s="114"/>
      <c r="C158" s="174">
        <v>10</v>
      </c>
      <c r="D158" s="77">
        <v>57.142857142857146</v>
      </c>
      <c r="E158" s="78">
        <v>12.5</v>
      </c>
      <c r="F158" s="77">
        <v>57.142857142857146</v>
      </c>
      <c r="G158" s="79">
        <f t="shared" si="12"/>
        <v>800.71428571428555</v>
      </c>
      <c r="H158" s="57">
        <f t="shared" si="13"/>
        <v>612.5</v>
      </c>
      <c r="I158" s="72">
        <f t="shared" si="14"/>
        <v>-115.5714285714285</v>
      </c>
      <c r="J158" s="634">
        <f t="shared" si="15"/>
        <v>2800.7142857142853</v>
      </c>
      <c r="K158" s="57">
        <f t="shared" si="16"/>
        <v>612.5</v>
      </c>
      <c r="L158" s="58">
        <f t="shared" si="17"/>
        <v>-615.57142857142844</v>
      </c>
      <c r="M158" s="120"/>
      <c r="N158" s="111">
        <v>50</v>
      </c>
      <c r="O158" s="101">
        <v>99</v>
      </c>
      <c r="P158" s="101">
        <v>0</v>
      </c>
      <c r="Q158" s="112">
        <v>2980</v>
      </c>
      <c r="R158" s="56"/>
      <c r="S158" s="80"/>
      <c r="T158" s="80"/>
      <c r="U158" s="56"/>
      <c r="V158" s="56"/>
      <c r="W158" s="56"/>
    </row>
    <row r="159" spans="1:23" ht="15" customHeight="1">
      <c r="A159" s="120"/>
      <c r="B159" s="114"/>
      <c r="C159" s="174">
        <v>11</v>
      </c>
      <c r="D159" s="77">
        <v>57.142857142857146</v>
      </c>
      <c r="E159" s="78">
        <v>50</v>
      </c>
      <c r="F159" s="77">
        <v>57.142857142857146</v>
      </c>
      <c r="G159" s="79">
        <f t="shared" si="12"/>
        <v>807.85714285714266</v>
      </c>
      <c r="H159" s="57">
        <f t="shared" si="13"/>
        <v>612.5</v>
      </c>
      <c r="I159" s="72">
        <f t="shared" si="14"/>
        <v>-108.42857142857136</v>
      </c>
      <c r="J159" s="634">
        <f t="shared" si="15"/>
        <v>2807.8571428571427</v>
      </c>
      <c r="K159" s="57">
        <f t="shared" si="16"/>
        <v>612.5</v>
      </c>
      <c r="L159" s="58">
        <f t="shared" si="17"/>
        <v>-608.42857142857133</v>
      </c>
      <c r="M159" s="120"/>
      <c r="N159" s="111">
        <v>50</v>
      </c>
      <c r="O159" s="101">
        <v>99</v>
      </c>
      <c r="P159" s="101">
        <v>0</v>
      </c>
      <c r="Q159" s="112">
        <v>2980</v>
      </c>
      <c r="R159" s="56"/>
      <c r="S159" s="80"/>
      <c r="T159" s="80"/>
      <c r="U159" s="56"/>
      <c r="V159" s="56"/>
      <c r="W159" s="56"/>
    </row>
    <row r="160" spans="1:23" ht="15" customHeight="1">
      <c r="A160" s="132"/>
      <c r="B160" s="115"/>
      <c r="C160" s="175">
        <v>12</v>
      </c>
      <c r="D160" s="81">
        <v>28.571428571428573</v>
      </c>
      <c r="E160" s="82">
        <v>25</v>
      </c>
      <c r="F160" s="81">
        <v>50</v>
      </c>
      <c r="G160" s="69">
        <f t="shared" si="12"/>
        <v>786.42857142857122</v>
      </c>
      <c r="H160" s="64">
        <f t="shared" si="13"/>
        <v>587.5</v>
      </c>
      <c r="I160" s="70">
        <f t="shared" si="14"/>
        <v>-108.42857142857136</v>
      </c>
      <c r="J160" s="635">
        <f t="shared" si="15"/>
        <v>2786.4285714285711</v>
      </c>
      <c r="K160" s="64">
        <f t="shared" si="16"/>
        <v>587.5</v>
      </c>
      <c r="L160" s="636">
        <f t="shared" si="17"/>
        <v>-608.42857142857133</v>
      </c>
      <c r="M160" s="132"/>
      <c r="N160" s="136">
        <v>50</v>
      </c>
      <c r="O160" s="137">
        <v>99</v>
      </c>
      <c r="P160" s="137">
        <v>0</v>
      </c>
      <c r="Q160" s="138">
        <v>2980</v>
      </c>
      <c r="R160" s="65"/>
      <c r="S160" s="83"/>
      <c r="T160" s="83"/>
      <c r="U160" s="65"/>
      <c r="V160" s="65"/>
      <c r="W160" s="65"/>
    </row>
    <row r="161" spans="1:23" ht="15" customHeight="1">
      <c r="A161" s="120"/>
      <c r="B161" s="103">
        <v>4</v>
      </c>
      <c r="C161" s="176">
        <v>1</v>
      </c>
      <c r="D161" s="73">
        <v>42.857142857142854</v>
      </c>
      <c r="E161" s="74">
        <v>37.5</v>
      </c>
      <c r="F161" s="73">
        <v>50</v>
      </c>
      <c r="G161" s="75">
        <f t="shared" si="12"/>
        <v>779.28571428571411</v>
      </c>
      <c r="H161" s="68">
        <f t="shared" si="13"/>
        <v>575</v>
      </c>
      <c r="I161" s="71">
        <f t="shared" si="14"/>
        <v>-108.42857142857136</v>
      </c>
      <c r="J161" s="630">
        <f t="shared" si="15"/>
        <v>2779.2857142857142</v>
      </c>
      <c r="K161" s="68">
        <f t="shared" si="16"/>
        <v>575</v>
      </c>
      <c r="L161" s="631">
        <f t="shared" si="17"/>
        <v>-608.42857142857133</v>
      </c>
      <c r="M161" s="120">
        <v>1992</v>
      </c>
      <c r="N161" s="111">
        <v>50</v>
      </c>
      <c r="O161" s="101">
        <v>99</v>
      </c>
      <c r="P161" s="101">
        <v>0</v>
      </c>
      <c r="Q161" s="112">
        <v>2980</v>
      </c>
      <c r="S161" s="76"/>
      <c r="T161" s="76"/>
    </row>
    <row r="162" spans="1:23" ht="15" customHeight="1">
      <c r="A162" s="120"/>
      <c r="B162" s="114"/>
      <c r="C162" s="174">
        <v>2</v>
      </c>
      <c r="D162" s="77">
        <v>14.285714285714286</v>
      </c>
      <c r="E162" s="78">
        <v>37.5</v>
      </c>
      <c r="F162" s="77">
        <v>71.428571428571431</v>
      </c>
      <c r="G162" s="79">
        <f t="shared" si="12"/>
        <v>743.57142857142844</v>
      </c>
      <c r="H162" s="57">
        <f t="shared" si="13"/>
        <v>562.5</v>
      </c>
      <c r="I162" s="72">
        <f t="shared" si="14"/>
        <v>-86.999999999999929</v>
      </c>
      <c r="J162" s="55">
        <f t="shared" si="15"/>
        <v>2743.5714285714284</v>
      </c>
      <c r="K162" s="57">
        <f t="shared" si="16"/>
        <v>562.5</v>
      </c>
      <c r="L162" s="58">
        <f t="shared" si="17"/>
        <v>-586.99999999999989</v>
      </c>
      <c r="M162" s="120"/>
      <c r="N162" s="111">
        <v>50</v>
      </c>
      <c r="O162" s="101">
        <v>99</v>
      </c>
      <c r="P162" s="101">
        <v>0</v>
      </c>
      <c r="Q162" s="112">
        <v>2980</v>
      </c>
      <c r="R162" s="56"/>
      <c r="S162" s="80"/>
      <c r="T162" s="80"/>
      <c r="U162" s="56"/>
      <c r="V162" s="56"/>
      <c r="W162" s="56"/>
    </row>
    <row r="163" spans="1:23" ht="15" customHeight="1">
      <c r="A163" s="120"/>
      <c r="B163" s="114"/>
      <c r="C163" s="174">
        <v>3</v>
      </c>
      <c r="D163" s="77">
        <v>14.285714285714286</v>
      </c>
      <c r="E163" s="78">
        <v>0</v>
      </c>
      <c r="F163" s="77">
        <v>57.142857142857146</v>
      </c>
      <c r="G163" s="79">
        <f t="shared" si="12"/>
        <v>707.85714285714278</v>
      </c>
      <c r="H163" s="57">
        <f t="shared" si="13"/>
        <v>512.5</v>
      </c>
      <c r="I163" s="72">
        <f t="shared" si="14"/>
        <v>-79.857142857142776</v>
      </c>
      <c r="J163" s="55">
        <f t="shared" si="15"/>
        <v>2707.8571428571427</v>
      </c>
      <c r="K163" s="57">
        <f t="shared" si="16"/>
        <v>512.5</v>
      </c>
      <c r="L163" s="58">
        <f t="shared" si="17"/>
        <v>-579.85714285714278</v>
      </c>
      <c r="M163" s="120"/>
      <c r="N163" s="111">
        <v>50</v>
      </c>
      <c r="O163" s="101">
        <v>99</v>
      </c>
      <c r="P163" s="101">
        <v>0</v>
      </c>
      <c r="Q163" s="112">
        <v>2980</v>
      </c>
      <c r="R163" s="56"/>
      <c r="S163" s="80"/>
      <c r="T163" s="80"/>
      <c r="U163" s="56"/>
      <c r="V163" s="56"/>
      <c r="W163" s="56"/>
    </row>
    <row r="164" spans="1:23" ht="15" customHeight="1">
      <c r="A164" s="120"/>
      <c r="B164" s="114"/>
      <c r="C164" s="174">
        <v>4</v>
      </c>
      <c r="D164" s="77">
        <v>71.428571428571431</v>
      </c>
      <c r="E164" s="78">
        <v>12.5</v>
      </c>
      <c r="F164" s="77">
        <v>50</v>
      </c>
      <c r="G164" s="79">
        <f t="shared" si="12"/>
        <v>729.28571428571422</v>
      </c>
      <c r="H164" s="57">
        <f t="shared" si="13"/>
        <v>475</v>
      </c>
      <c r="I164" s="72">
        <f t="shared" si="14"/>
        <v>-79.857142857142776</v>
      </c>
      <c r="J164" s="55">
        <f t="shared" si="15"/>
        <v>2729.2857142857142</v>
      </c>
      <c r="K164" s="57">
        <f t="shared" si="16"/>
        <v>475</v>
      </c>
      <c r="L164" s="58">
        <f t="shared" si="17"/>
        <v>-579.85714285714278</v>
      </c>
      <c r="M164" s="120"/>
      <c r="N164" s="111">
        <v>50</v>
      </c>
      <c r="O164" s="101">
        <v>99</v>
      </c>
      <c r="P164" s="101">
        <v>0</v>
      </c>
      <c r="Q164" s="112">
        <v>2980</v>
      </c>
      <c r="R164" s="56"/>
      <c r="S164" s="80"/>
      <c r="T164" s="80"/>
      <c r="U164" s="56"/>
      <c r="V164" s="56"/>
      <c r="W164" s="56"/>
    </row>
    <row r="165" spans="1:23" ht="15" customHeight="1">
      <c r="A165" s="120"/>
      <c r="B165" s="114"/>
      <c r="C165" s="174">
        <v>5</v>
      </c>
      <c r="D165" s="77">
        <v>28.571428571428573</v>
      </c>
      <c r="E165" s="78">
        <v>25</v>
      </c>
      <c r="F165" s="77">
        <v>42.857142857142854</v>
      </c>
      <c r="G165" s="79">
        <f t="shared" si="12"/>
        <v>707.85714285714278</v>
      </c>
      <c r="H165" s="57">
        <f t="shared" si="13"/>
        <v>450</v>
      </c>
      <c r="I165" s="72">
        <f t="shared" si="14"/>
        <v>-86.999999999999915</v>
      </c>
      <c r="J165" s="55">
        <f t="shared" si="15"/>
        <v>2707.8571428571427</v>
      </c>
      <c r="K165" s="57">
        <f t="shared" si="16"/>
        <v>450</v>
      </c>
      <c r="L165" s="58">
        <f t="shared" si="17"/>
        <v>-586.99999999999989</v>
      </c>
      <c r="M165" s="120"/>
      <c r="N165" s="111">
        <v>50</v>
      </c>
      <c r="O165" s="101">
        <v>99</v>
      </c>
      <c r="P165" s="101">
        <v>0</v>
      </c>
      <c r="Q165" s="112">
        <v>2980</v>
      </c>
      <c r="R165" s="56"/>
      <c r="S165" s="80"/>
      <c r="T165" s="80"/>
      <c r="U165" s="56"/>
      <c r="V165" s="56"/>
      <c r="W165" s="56"/>
    </row>
    <row r="166" spans="1:23" ht="15" customHeight="1">
      <c r="A166" s="120"/>
      <c r="B166" s="114"/>
      <c r="C166" s="174">
        <v>6</v>
      </c>
      <c r="D166" s="77">
        <v>57.142857142857146</v>
      </c>
      <c r="E166" s="78">
        <v>0</v>
      </c>
      <c r="F166" s="77">
        <v>42.857142857142854</v>
      </c>
      <c r="G166" s="79">
        <f t="shared" si="12"/>
        <v>714.99999999999989</v>
      </c>
      <c r="H166" s="57">
        <f t="shared" si="13"/>
        <v>400</v>
      </c>
      <c r="I166" s="72">
        <f t="shared" si="14"/>
        <v>-94.142857142857054</v>
      </c>
      <c r="J166" s="55">
        <f t="shared" si="15"/>
        <v>2715</v>
      </c>
      <c r="K166" s="57">
        <f t="shared" si="16"/>
        <v>400</v>
      </c>
      <c r="L166" s="58">
        <f t="shared" si="17"/>
        <v>-594.14285714285711</v>
      </c>
      <c r="M166" s="120"/>
      <c r="N166" s="111">
        <v>50</v>
      </c>
      <c r="O166" s="101">
        <v>99</v>
      </c>
      <c r="P166" s="101">
        <v>0</v>
      </c>
      <c r="Q166" s="112">
        <v>2980</v>
      </c>
      <c r="R166" s="56"/>
      <c r="S166" s="80"/>
      <c r="T166" s="80"/>
      <c r="U166" s="56"/>
      <c r="V166" s="56"/>
      <c r="W166" s="56"/>
    </row>
    <row r="167" spans="1:23" ht="15" customHeight="1">
      <c r="A167" s="120"/>
      <c r="B167" s="114"/>
      <c r="C167" s="174">
        <v>7</v>
      </c>
      <c r="D167" s="77">
        <v>57.142857142857146</v>
      </c>
      <c r="E167" s="78">
        <v>0</v>
      </c>
      <c r="F167" s="77">
        <v>28.571428571428573</v>
      </c>
      <c r="G167" s="79">
        <f t="shared" si="12"/>
        <v>722.142857142857</v>
      </c>
      <c r="H167" s="57">
        <f t="shared" si="13"/>
        <v>350</v>
      </c>
      <c r="I167" s="72">
        <f t="shared" si="14"/>
        <v>-115.57142857142848</v>
      </c>
      <c r="J167" s="55">
        <f t="shared" si="15"/>
        <v>2722.1428571428569</v>
      </c>
      <c r="K167" s="57">
        <f t="shared" si="16"/>
        <v>350</v>
      </c>
      <c r="L167" s="58">
        <f t="shared" si="17"/>
        <v>-615.57142857142844</v>
      </c>
      <c r="M167" s="120"/>
      <c r="N167" s="111">
        <v>50</v>
      </c>
      <c r="O167" s="101">
        <v>99</v>
      </c>
      <c r="P167" s="101">
        <v>0</v>
      </c>
      <c r="Q167" s="112">
        <v>2980</v>
      </c>
      <c r="R167" s="56"/>
      <c r="S167" s="80"/>
      <c r="T167" s="80"/>
      <c r="U167" s="56"/>
      <c r="V167" s="56"/>
      <c r="W167" s="56"/>
    </row>
    <row r="168" spans="1:23" ht="15" customHeight="1">
      <c r="A168" s="120"/>
      <c r="B168" s="114"/>
      <c r="C168" s="174">
        <v>8</v>
      </c>
      <c r="D168" s="77">
        <v>57.142857142857146</v>
      </c>
      <c r="E168" s="78">
        <v>12.5</v>
      </c>
      <c r="F168" s="77">
        <v>28.571428571428573</v>
      </c>
      <c r="G168" s="79">
        <f t="shared" si="12"/>
        <v>729.28571428571411</v>
      </c>
      <c r="H168" s="57">
        <f t="shared" si="13"/>
        <v>312.5</v>
      </c>
      <c r="I168" s="72">
        <f t="shared" si="14"/>
        <v>-136.99999999999991</v>
      </c>
      <c r="J168" s="55">
        <f t="shared" si="15"/>
        <v>2729.2857142857142</v>
      </c>
      <c r="K168" s="57">
        <f t="shared" si="16"/>
        <v>312.5</v>
      </c>
      <c r="L168" s="58">
        <f t="shared" si="17"/>
        <v>-636.99999999999989</v>
      </c>
      <c r="M168" s="120"/>
      <c r="N168" s="111">
        <v>50</v>
      </c>
      <c r="O168" s="101">
        <v>99</v>
      </c>
      <c r="P168" s="101">
        <v>0</v>
      </c>
      <c r="Q168" s="112">
        <v>2980</v>
      </c>
      <c r="R168" s="56"/>
      <c r="S168" s="80"/>
      <c r="T168" s="80"/>
      <c r="U168" s="56"/>
      <c r="V168" s="56"/>
      <c r="W168" s="56"/>
    </row>
    <row r="169" spans="1:23" ht="15" customHeight="1">
      <c r="A169" s="120"/>
      <c r="B169" s="114"/>
      <c r="C169" s="174">
        <v>9</v>
      </c>
      <c r="D169" s="77">
        <v>14.285714285714286</v>
      </c>
      <c r="E169" s="78">
        <v>37.5</v>
      </c>
      <c r="F169" s="77">
        <v>28.571428571428573</v>
      </c>
      <c r="G169" s="79">
        <f t="shared" si="12"/>
        <v>693.57142857142844</v>
      </c>
      <c r="H169" s="57">
        <f t="shared" si="13"/>
        <v>300</v>
      </c>
      <c r="I169" s="72">
        <f t="shared" si="14"/>
        <v>-158.42857142857133</v>
      </c>
      <c r="J169" s="55">
        <f t="shared" si="15"/>
        <v>2693.5714285714284</v>
      </c>
      <c r="K169" s="57">
        <f t="shared" si="16"/>
        <v>300</v>
      </c>
      <c r="L169" s="58">
        <f t="shared" si="17"/>
        <v>-658.42857142857133</v>
      </c>
      <c r="M169" s="120"/>
      <c r="N169" s="111">
        <v>50</v>
      </c>
      <c r="O169" s="101">
        <v>99</v>
      </c>
      <c r="P169" s="101">
        <v>0</v>
      </c>
      <c r="Q169" s="112">
        <v>2980</v>
      </c>
      <c r="R169" s="56"/>
      <c r="S169" s="80"/>
      <c r="T169" s="80"/>
      <c r="U169" s="56"/>
      <c r="V169" s="56"/>
      <c r="W169" s="56"/>
    </row>
    <row r="170" spans="1:23" ht="15" customHeight="1">
      <c r="A170" s="120"/>
      <c r="B170" s="114"/>
      <c r="C170" s="174">
        <v>10</v>
      </c>
      <c r="D170" s="77">
        <v>57.142857142857146</v>
      </c>
      <c r="E170" s="78">
        <v>12.5</v>
      </c>
      <c r="F170" s="77">
        <v>28.571428571428573</v>
      </c>
      <c r="G170" s="79">
        <f t="shared" si="12"/>
        <v>700.71428571428555</v>
      </c>
      <c r="H170" s="57">
        <f t="shared" si="13"/>
        <v>262.5</v>
      </c>
      <c r="I170" s="72">
        <f t="shared" si="14"/>
        <v>-179.85714285714275</v>
      </c>
      <c r="J170" s="55">
        <f t="shared" si="15"/>
        <v>2700.7142857142853</v>
      </c>
      <c r="K170" s="57">
        <f t="shared" si="16"/>
        <v>262.5</v>
      </c>
      <c r="L170" s="58">
        <f t="shared" si="17"/>
        <v>-679.85714285714278</v>
      </c>
      <c r="M170" s="120"/>
      <c r="N170" s="111">
        <v>50</v>
      </c>
      <c r="O170" s="101">
        <v>99</v>
      </c>
      <c r="P170" s="101">
        <v>0</v>
      </c>
      <c r="Q170" s="112">
        <v>2980</v>
      </c>
      <c r="R170" s="56"/>
      <c r="S170" s="80"/>
      <c r="T170" s="80"/>
      <c r="U170" s="56"/>
      <c r="V170" s="56"/>
      <c r="W170" s="56"/>
    </row>
    <row r="171" spans="1:23" ht="15" customHeight="1">
      <c r="A171" s="120"/>
      <c r="B171" s="114"/>
      <c r="C171" s="174">
        <v>11</v>
      </c>
      <c r="D171" s="77">
        <v>14.285714285714286</v>
      </c>
      <c r="E171" s="78">
        <v>12.5</v>
      </c>
      <c r="F171" s="77">
        <v>57.142857142857146</v>
      </c>
      <c r="G171" s="79">
        <f t="shared" si="12"/>
        <v>664.99999999999989</v>
      </c>
      <c r="H171" s="57">
        <f t="shared" si="13"/>
        <v>225</v>
      </c>
      <c r="I171" s="72">
        <f t="shared" si="14"/>
        <v>-172.71428571428561</v>
      </c>
      <c r="J171" s="55">
        <f t="shared" si="15"/>
        <v>2665</v>
      </c>
      <c r="K171" s="57">
        <f t="shared" si="16"/>
        <v>225</v>
      </c>
      <c r="L171" s="58">
        <f t="shared" si="17"/>
        <v>-672.71428571428555</v>
      </c>
      <c r="M171" s="120"/>
      <c r="N171" s="111">
        <v>50</v>
      </c>
      <c r="O171" s="101">
        <v>99</v>
      </c>
      <c r="P171" s="101">
        <v>0</v>
      </c>
      <c r="Q171" s="112">
        <v>2980</v>
      </c>
      <c r="R171" s="56"/>
      <c r="S171" s="80"/>
      <c r="T171" s="80"/>
      <c r="U171" s="56"/>
      <c r="V171" s="56"/>
      <c r="W171" s="56"/>
    </row>
    <row r="172" spans="1:23" ht="15" customHeight="1">
      <c r="A172" s="120"/>
      <c r="B172" s="116"/>
      <c r="C172" s="177">
        <v>12</v>
      </c>
      <c r="D172" s="150">
        <v>28.571428571428573</v>
      </c>
      <c r="E172" s="151">
        <v>18.75</v>
      </c>
      <c r="F172" s="150">
        <v>14.285714285714286</v>
      </c>
      <c r="G172" s="152">
        <f t="shared" si="12"/>
        <v>643.57142857142844</v>
      </c>
      <c r="H172" s="144">
        <f t="shared" si="13"/>
        <v>193.75</v>
      </c>
      <c r="I172" s="149">
        <f t="shared" si="14"/>
        <v>-208.42857142857133</v>
      </c>
      <c r="J172" s="637">
        <f t="shared" si="15"/>
        <v>2643.5714285714284</v>
      </c>
      <c r="K172" s="144">
        <f t="shared" si="16"/>
        <v>193.75</v>
      </c>
      <c r="L172" s="638">
        <f t="shared" si="17"/>
        <v>-708.42857142857133</v>
      </c>
      <c r="M172" s="120"/>
      <c r="N172" s="145">
        <v>50</v>
      </c>
      <c r="O172" s="146">
        <v>99</v>
      </c>
      <c r="P172" s="146">
        <v>0</v>
      </c>
      <c r="Q172" s="147">
        <v>2980</v>
      </c>
      <c r="R172" s="65"/>
      <c r="S172" s="83"/>
      <c r="T172" s="83"/>
      <c r="U172" s="65"/>
      <c r="V172" s="65"/>
      <c r="W172" s="65"/>
    </row>
    <row r="173" spans="1:23" ht="15" customHeight="1">
      <c r="A173" s="125"/>
      <c r="B173" s="126">
        <v>5</v>
      </c>
      <c r="C173" s="173">
        <v>1</v>
      </c>
      <c r="D173" s="161">
        <v>28.571428571428573</v>
      </c>
      <c r="E173" s="162">
        <v>62.5</v>
      </c>
      <c r="F173" s="161">
        <v>28.571428571428573</v>
      </c>
      <c r="G173" s="163">
        <f t="shared" si="12"/>
        <v>622.142857142857</v>
      </c>
      <c r="H173" s="158">
        <f t="shared" si="13"/>
        <v>206.25</v>
      </c>
      <c r="I173" s="164">
        <f t="shared" si="14"/>
        <v>-229.85714285714275</v>
      </c>
      <c r="J173" s="632">
        <f t="shared" si="15"/>
        <v>2622.1428571428569</v>
      </c>
      <c r="K173" s="158">
        <f t="shared" si="16"/>
        <v>206.25</v>
      </c>
      <c r="L173" s="633">
        <f t="shared" si="17"/>
        <v>-729.85714285714278</v>
      </c>
      <c r="M173" s="125">
        <v>1993</v>
      </c>
      <c r="N173" s="133">
        <v>50</v>
      </c>
      <c r="O173" s="134">
        <v>99</v>
      </c>
      <c r="P173" s="134">
        <v>0</v>
      </c>
      <c r="Q173" s="159">
        <v>2980</v>
      </c>
      <c r="S173" s="76"/>
      <c r="T173" s="76"/>
    </row>
    <row r="174" spans="1:23" ht="15" customHeight="1">
      <c r="A174" s="120"/>
      <c r="B174" s="114"/>
      <c r="C174" s="174">
        <v>2</v>
      </c>
      <c r="D174" s="77">
        <v>0</v>
      </c>
      <c r="E174" s="78">
        <v>12.5</v>
      </c>
      <c r="F174" s="77">
        <v>14.285714285714286</v>
      </c>
      <c r="G174" s="79">
        <f t="shared" si="12"/>
        <v>572.142857142857</v>
      </c>
      <c r="H174" s="57">
        <f t="shared" si="13"/>
        <v>168.75</v>
      </c>
      <c r="I174" s="72">
        <f t="shared" si="14"/>
        <v>-265.57142857142844</v>
      </c>
      <c r="J174" s="634">
        <f t="shared" si="15"/>
        <v>2572.1428571428569</v>
      </c>
      <c r="K174" s="57">
        <f t="shared" si="16"/>
        <v>168.75</v>
      </c>
      <c r="L174" s="58">
        <f t="shared" si="17"/>
        <v>-765.57142857142844</v>
      </c>
      <c r="M174" s="120"/>
      <c r="N174" s="111">
        <v>50</v>
      </c>
      <c r="O174" s="101">
        <v>99</v>
      </c>
      <c r="P174" s="101">
        <v>0</v>
      </c>
      <c r="Q174" s="112">
        <v>2980</v>
      </c>
      <c r="R174" s="56"/>
      <c r="S174" s="80"/>
      <c r="T174" s="80"/>
      <c r="U174" s="56"/>
      <c r="V174" s="56"/>
      <c r="W174" s="56"/>
    </row>
    <row r="175" spans="1:23" ht="15" customHeight="1">
      <c r="A175" s="120"/>
      <c r="B175" s="114"/>
      <c r="C175" s="174">
        <v>3</v>
      </c>
      <c r="D175" s="77">
        <v>28.571428571428573</v>
      </c>
      <c r="E175" s="78">
        <v>62.5</v>
      </c>
      <c r="F175" s="77">
        <v>57.142857142857146</v>
      </c>
      <c r="G175" s="79">
        <f t="shared" si="12"/>
        <v>550.71428571428555</v>
      </c>
      <c r="H175" s="57">
        <f t="shared" si="13"/>
        <v>181.25</v>
      </c>
      <c r="I175" s="72">
        <f t="shared" si="14"/>
        <v>-258.42857142857127</v>
      </c>
      <c r="J175" s="634">
        <f t="shared" si="15"/>
        <v>2550.7142857142853</v>
      </c>
      <c r="K175" s="57">
        <f t="shared" si="16"/>
        <v>181.25</v>
      </c>
      <c r="L175" s="58">
        <f t="shared" si="17"/>
        <v>-758.42857142857133</v>
      </c>
      <c r="M175" s="120"/>
      <c r="N175" s="111">
        <v>50</v>
      </c>
      <c r="O175" s="101">
        <v>99</v>
      </c>
      <c r="P175" s="101">
        <v>0</v>
      </c>
      <c r="Q175" s="112">
        <v>2980</v>
      </c>
      <c r="R175" s="56"/>
      <c r="S175" s="80"/>
      <c r="T175" s="80"/>
      <c r="U175" s="56"/>
      <c r="V175" s="56"/>
      <c r="W175" s="56"/>
    </row>
    <row r="176" spans="1:23" ht="15" customHeight="1">
      <c r="A176" s="120"/>
      <c r="B176" s="114"/>
      <c r="C176" s="174">
        <v>4</v>
      </c>
      <c r="D176" s="77">
        <v>57.142857142857146</v>
      </c>
      <c r="E176" s="78">
        <v>62.5</v>
      </c>
      <c r="F176" s="77">
        <v>42.857142857142854</v>
      </c>
      <c r="G176" s="79">
        <f t="shared" si="12"/>
        <v>557.85714285714266</v>
      </c>
      <c r="H176" s="57">
        <f t="shared" si="13"/>
        <v>193.75</v>
      </c>
      <c r="I176" s="72">
        <f t="shared" si="14"/>
        <v>-265.57142857142844</v>
      </c>
      <c r="J176" s="634">
        <f t="shared" si="15"/>
        <v>2557.8571428571427</v>
      </c>
      <c r="K176" s="57">
        <f t="shared" si="16"/>
        <v>193.75</v>
      </c>
      <c r="L176" s="58">
        <f t="shared" si="17"/>
        <v>-765.57142857142844</v>
      </c>
      <c r="M176" s="120"/>
      <c r="N176" s="111">
        <v>50</v>
      </c>
      <c r="O176" s="101">
        <v>99</v>
      </c>
      <c r="P176" s="101">
        <v>0</v>
      </c>
      <c r="Q176" s="112">
        <v>2980</v>
      </c>
      <c r="R176" s="56"/>
      <c r="S176" s="80"/>
      <c r="T176" s="80"/>
      <c r="U176" s="56"/>
      <c r="V176" s="56"/>
      <c r="W176" s="56"/>
    </row>
    <row r="177" spans="1:23" ht="15" customHeight="1">
      <c r="A177" s="120"/>
      <c r="B177" s="114"/>
      <c r="C177" s="174">
        <v>5</v>
      </c>
      <c r="D177" s="77">
        <v>14.285714285714286</v>
      </c>
      <c r="E177" s="78">
        <v>25</v>
      </c>
      <c r="F177" s="77">
        <v>71.428571428571431</v>
      </c>
      <c r="G177" s="79">
        <f t="shared" si="12"/>
        <v>522.142857142857</v>
      </c>
      <c r="H177" s="57">
        <f t="shared" si="13"/>
        <v>168.75</v>
      </c>
      <c r="I177" s="72">
        <f t="shared" si="14"/>
        <v>-244.142857142857</v>
      </c>
      <c r="J177" s="634">
        <f t="shared" si="15"/>
        <v>2522.1428571428569</v>
      </c>
      <c r="K177" s="57">
        <f t="shared" si="16"/>
        <v>168.75</v>
      </c>
      <c r="L177" s="58">
        <f t="shared" si="17"/>
        <v>-744.142857142857</v>
      </c>
      <c r="M177" s="120"/>
      <c r="N177" s="111">
        <v>50</v>
      </c>
      <c r="O177" s="101">
        <v>99</v>
      </c>
      <c r="P177" s="101">
        <v>0</v>
      </c>
      <c r="Q177" s="112">
        <v>2980</v>
      </c>
      <c r="R177" s="56"/>
      <c r="S177" s="80"/>
      <c r="T177" s="80"/>
      <c r="U177" s="56"/>
      <c r="V177" s="56"/>
      <c r="W177" s="56"/>
    </row>
    <row r="178" spans="1:23" ht="15" customHeight="1">
      <c r="A178" s="120"/>
      <c r="B178" s="114"/>
      <c r="C178" s="174">
        <v>6</v>
      </c>
      <c r="D178" s="77">
        <v>28.571428571428573</v>
      </c>
      <c r="E178" s="78">
        <v>37.5</v>
      </c>
      <c r="F178" s="77">
        <v>57.142857142857146</v>
      </c>
      <c r="G178" s="79">
        <f t="shared" si="12"/>
        <v>500.71428571428555</v>
      </c>
      <c r="H178" s="57">
        <f t="shared" si="13"/>
        <v>156.25</v>
      </c>
      <c r="I178" s="72">
        <f t="shared" si="14"/>
        <v>-236.99999999999986</v>
      </c>
      <c r="J178" s="634">
        <f t="shared" si="15"/>
        <v>2500.7142857142853</v>
      </c>
      <c r="K178" s="57">
        <f t="shared" si="16"/>
        <v>156.25</v>
      </c>
      <c r="L178" s="58">
        <f t="shared" si="17"/>
        <v>-736.99999999999989</v>
      </c>
      <c r="M178" s="120"/>
      <c r="N178" s="111">
        <v>50</v>
      </c>
      <c r="O178" s="101">
        <v>99</v>
      </c>
      <c r="P178" s="101">
        <v>0</v>
      </c>
      <c r="Q178" s="112">
        <v>2980</v>
      </c>
      <c r="R178" s="56"/>
      <c r="S178" s="80"/>
      <c r="T178" s="80"/>
      <c r="U178" s="56"/>
      <c r="V178" s="56"/>
      <c r="W178" s="56"/>
    </row>
    <row r="179" spans="1:23" ht="15" customHeight="1">
      <c r="A179" s="120"/>
      <c r="B179" s="114"/>
      <c r="C179" s="174">
        <v>7</v>
      </c>
      <c r="D179" s="77">
        <v>57.142857142857146</v>
      </c>
      <c r="E179" s="78">
        <v>62.5</v>
      </c>
      <c r="F179" s="77">
        <v>57.142857142857146</v>
      </c>
      <c r="G179" s="79">
        <f t="shared" si="12"/>
        <v>507.85714285714272</v>
      </c>
      <c r="H179" s="57">
        <f t="shared" si="13"/>
        <v>168.75</v>
      </c>
      <c r="I179" s="72">
        <f t="shared" si="14"/>
        <v>-229.85714285714272</v>
      </c>
      <c r="J179" s="634">
        <f t="shared" si="15"/>
        <v>2507.8571428571427</v>
      </c>
      <c r="K179" s="57">
        <f t="shared" si="16"/>
        <v>168.75</v>
      </c>
      <c r="L179" s="58">
        <f t="shared" si="17"/>
        <v>-729.85714285714266</v>
      </c>
      <c r="M179" s="120"/>
      <c r="N179" s="111">
        <v>50</v>
      </c>
      <c r="O179" s="101">
        <v>99</v>
      </c>
      <c r="P179" s="101">
        <v>0</v>
      </c>
      <c r="Q179" s="112">
        <v>2980</v>
      </c>
      <c r="R179" s="56"/>
      <c r="S179" s="80"/>
      <c r="T179" s="80"/>
      <c r="U179" s="56"/>
      <c r="V179" s="56"/>
      <c r="W179" s="56"/>
    </row>
    <row r="180" spans="1:23" ht="15" customHeight="1">
      <c r="A180" s="120"/>
      <c r="B180" s="114"/>
      <c r="C180" s="174">
        <v>8</v>
      </c>
      <c r="D180" s="77">
        <v>42.857142857142854</v>
      </c>
      <c r="E180" s="78">
        <v>25</v>
      </c>
      <c r="F180" s="77">
        <v>42.857142857142854</v>
      </c>
      <c r="G180" s="79">
        <f t="shared" si="12"/>
        <v>500.71428571428555</v>
      </c>
      <c r="H180" s="57">
        <f t="shared" si="13"/>
        <v>143.75</v>
      </c>
      <c r="I180" s="72">
        <f t="shared" si="14"/>
        <v>-236.99999999999986</v>
      </c>
      <c r="J180" s="634">
        <f t="shared" si="15"/>
        <v>2500.7142857142853</v>
      </c>
      <c r="K180" s="57">
        <f t="shared" si="16"/>
        <v>143.75</v>
      </c>
      <c r="L180" s="58">
        <f t="shared" si="17"/>
        <v>-736.99999999999989</v>
      </c>
      <c r="M180" s="120"/>
      <c r="N180" s="111">
        <v>50</v>
      </c>
      <c r="O180" s="101">
        <v>99</v>
      </c>
      <c r="P180" s="101">
        <v>0</v>
      </c>
      <c r="Q180" s="112">
        <v>2980</v>
      </c>
      <c r="R180" s="56"/>
      <c r="S180" s="80"/>
      <c r="T180" s="80"/>
      <c r="U180" s="56"/>
      <c r="V180" s="56"/>
      <c r="W180" s="56"/>
    </row>
    <row r="181" spans="1:23" ht="15" customHeight="1">
      <c r="A181" s="120"/>
      <c r="B181" s="114"/>
      <c r="C181" s="174">
        <v>9</v>
      </c>
      <c r="D181" s="77">
        <v>14.285714285714286</v>
      </c>
      <c r="E181" s="78">
        <v>37.5</v>
      </c>
      <c r="F181" s="77">
        <v>42.857142857142854</v>
      </c>
      <c r="G181" s="79">
        <f t="shared" si="12"/>
        <v>464.99999999999983</v>
      </c>
      <c r="H181" s="57">
        <f t="shared" si="13"/>
        <v>131.25</v>
      </c>
      <c r="I181" s="72">
        <f t="shared" si="14"/>
        <v>-244.142857142857</v>
      </c>
      <c r="J181" s="634">
        <f t="shared" si="15"/>
        <v>2465</v>
      </c>
      <c r="K181" s="57">
        <f t="shared" si="16"/>
        <v>131.25</v>
      </c>
      <c r="L181" s="58">
        <f t="shared" si="17"/>
        <v>-744.142857142857</v>
      </c>
      <c r="M181" s="120"/>
      <c r="N181" s="111">
        <v>50</v>
      </c>
      <c r="O181" s="101">
        <v>99</v>
      </c>
      <c r="P181" s="101">
        <v>0</v>
      </c>
      <c r="Q181" s="112">
        <v>2980</v>
      </c>
      <c r="R181" s="56"/>
      <c r="S181" s="80"/>
      <c r="T181" s="80"/>
      <c r="U181" s="56"/>
      <c r="V181" s="56"/>
      <c r="W181" s="56"/>
    </row>
    <row r="182" spans="1:23" ht="15" customHeight="1">
      <c r="A182" s="120"/>
      <c r="B182" s="114"/>
      <c r="C182" s="174">
        <v>10</v>
      </c>
      <c r="D182" s="77">
        <v>42.857142857142854</v>
      </c>
      <c r="E182" s="78">
        <v>25</v>
      </c>
      <c r="F182" s="77">
        <v>57.142857142857146</v>
      </c>
      <c r="G182" s="79">
        <f t="shared" si="12"/>
        <v>457.85714285714266</v>
      </c>
      <c r="H182" s="57">
        <f t="shared" si="13"/>
        <v>106.25</v>
      </c>
      <c r="I182" s="72">
        <f t="shared" si="14"/>
        <v>-236.99999999999986</v>
      </c>
      <c r="J182" s="634">
        <f t="shared" si="15"/>
        <v>2457.8571428571427</v>
      </c>
      <c r="K182" s="57">
        <f t="shared" si="16"/>
        <v>106.25</v>
      </c>
      <c r="L182" s="58">
        <f t="shared" si="17"/>
        <v>-736.99999999999989</v>
      </c>
      <c r="M182" s="120"/>
      <c r="N182" s="111">
        <v>50</v>
      </c>
      <c r="O182" s="101">
        <v>99</v>
      </c>
      <c r="P182" s="101">
        <v>0</v>
      </c>
      <c r="Q182" s="112">
        <v>2980</v>
      </c>
      <c r="R182" s="56"/>
      <c r="S182" s="80"/>
      <c r="T182" s="80"/>
      <c r="U182" s="56"/>
      <c r="V182" s="56"/>
      <c r="W182" s="56"/>
    </row>
    <row r="183" spans="1:23" ht="15" customHeight="1">
      <c r="A183" s="120"/>
      <c r="B183" s="114"/>
      <c r="C183" s="174">
        <v>11</v>
      </c>
      <c r="D183" s="77">
        <v>57.142857142857146</v>
      </c>
      <c r="E183" s="78">
        <v>25</v>
      </c>
      <c r="F183" s="77">
        <v>42.857142857142854</v>
      </c>
      <c r="G183" s="79">
        <f t="shared" si="12"/>
        <v>464.99999999999983</v>
      </c>
      <c r="H183" s="57">
        <f t="shared" si="13"/>
        <v>81.25</v>
      </c>
      <c r="I183" s="72">
        <f t="shared" si="14"/>
        <v>-244.142857142857</v>
      </c>
      <c r="J183" s="634">
        <f t="shared" si="15"/>
        <v>2465</v>
      </c>
      <c r="K183" s="57">
        <f t="shared" si="16"/>
        <v>81.25</v>
      </c>
      <c r="L183" s="58">
        <f t="shared" si="17"/>
        <v>-744.142857142857</v>
      </c>
      <c r="M183" s="120"/>
      <c r="N183" s="111">
        <v>50</v>
      </c>
      <c r="O183" s="101"/>
      <c r="P183" s="101">
        <v>0</v>
      </c>
      <c r="Q183" s="102"/>
      <c r="R183" s="56"/>
      <c r="S183" s="80"/>
      <c r="T183" s="80"/>
      <c r="U183" s="56"/>
      <c r="V183" s="56"/>
      <c r="W183" s="56"/>
    </row>
    <row r="184" spans="1:23" ht="15" customHeight="1">
      <c r="A184" s="132"/>
      <c r="B184" s="115"/>
      <c r="C184" s="175">
        <v>12</v>
      </c>
      <c r="D184" s="81">
        <v>42.857142857142854</v>
      </c>
      <c r="E184" s="82">
        <v>12.5</v>
      </c>
      <c r="F184" s="81">
        <v>42.857142857142854</v>
      </c>
      <c r="G184" s="69">
        <f t="shared" si="12"/>
        <v>457.85714285714266</v>
      </c>
      <c r="H184" s="64">
        <f t="shared" si="13"/>
        <v>43.75</v>
      </c>
      <c r="I184" s="70">
        <f t="shared" si="14"/>
        <v>-251.28571428571414</v>
      </c>
      <c r="J184" s="635">
        <f t="shared" si="15"/>
        <v>2457.8571428571427</v>
      </c>
      <c r="K184" s="64">
        <f t="shared" si="16"/>
        <v>43.75</v>
      </c>
      <c r="L184" s="636">
        <f t="shared" si="17"/>
        <v>-751.28571428571411</v>
      </c>
      <c r="M184" s="132"/>
      <c r="N184" s="136">
        <v>50</v>
      </c>
      <c r="O184" s="137"/>
      <c r="P184" s="137">
        <v>0</v>
      </c>
      <c r="Q184" s="160"/>
      <c r="R184" s="65"/>
      <c r="S184" s="83"/>
      <c r="T184" s="83"/>
      <c r="U184" s="65"/>
      <c r="V184" s="65"/>
      <c r="W184" s="65"/>
    </row>
    <row r="185" spans="1:23" ht="15" customHeight="1">
      <c r="A185" s="120"/>
      <c r="B185" s="103">
        <v>6</v>
      </c>
      <c r="C185" s="176">
        <v>1</v>
      </c>
      <c r="D185" s="73">
        <v>85.714285714285708</v>
      </c>
      <c r="E185" s="74">
        <v>56.25</v>
      </c>
      <c r="F185" s="73">
        <v>42.857142857142854</v>
      </c>
      <c r="G185" s="75">
        <f t="shared" si="12"/>
        <v>493.57142857142838</v>
      </c>
      <c r="H185" s="68">
        <f t="shared" si="13"/>
        <v>50</v>
      </c>
      <c r="I185" s="71">
        <f t="shared" si="14"/>
        <v>-258.42857142857127</v>
      </c>
      <c r="J185" s="630">
        <f t="shared" si="15"/>
        <v>2493.5714285714284</v>
      </c>
      <c r="K185" s="68">
        <f t="shared" si="16"/>
        <v>50</v>
      </c>
      <c r="L185" s="631">
        <f t="shared" si="17"/>
        <v>-758.42857142857133</v>
      </c>
      <c r="M185" s="120">
        <v>1994</v>
      </c>
      <c r="N185" s="111">
        <v>50</v>
      </c>
      <c r="O185" s="101"/>
      <c r="P185" s="101">
        <v>0</v>
      </c>
      <c r="Q185" s="102"/>
      <c r="S185" s="76"/>
      <c r="T185" s="76"/>
    </row>
    <row r="186" spans="1:23" ht="15" customHeight="1">
      <c r="A186" s="120"/>
      <c r="B186" s="114"/>
      <c r="C186" s="174">
        <v>2</v>
      </c>
      <c r="D186" s="77">
        <v>71.428571428571431</v>
      </c>
      <c r="E186" s="78">
        <v>25</v>
      </c>
      <c r="F186" s="77">
        <v>57.142857142857146</v>
      </c>
      <c r="G186" s="79">
        <f t="shared" si="12"/>
        <v>514.99999999999977</v>
      </c>
      <c r="H186" s="57">
        <f t="shared" si="13"/>
        <v>25</v>
      </c>
      <c r="I186" s="72">
        <f t="shared" si="14"/>
        <v>-251.28571428571414</v>
      </c>
      <c r="J186" s="55">
        <f t="shared" si="15"/>
        <v>2515</v>
      </c>
      <c r="K186" s="57">
        <f t="shared" si="16"/>
        <v>25</v>
      </c>
      <c r="L186" s="58">
        <f t="shared" si="17"/>
        <v>-751.28571428571411</v>
      </c>
      <c r="M186" s="120"/>
      <c r="N186" s="111">
        <v>50</v>
      </c>
      <c r="O186" s="101"/>
      <c r="P186" s="101">
        <v>0</v>
      </c>
      <c r="Q186" s="102"/>
      <c r="R186" s="56"/>
      <c r="S186" s="80"/>
      <c r="T186" s="80"/>
      <c r="U186" s="56"/>
      <c r="V186" s="56"/>
      <c r="W186" s="56"/>
    </row>
    <row r="187" spans="1:23" ht="15" customHeight="1">
      <c r="A187" s="120"/>
      <c r="B187" s="114"/>
      <c r="C187" s="174">
        <v>3</v>
      </c>
      <c r="D187" s="77">
        <v>57.142857142857146</v>
      </c>
      <c r="E187" s="78">
        <v>87.5</v>
      </c>
      <c r="F187" s="77">
        <v>28.571428571428573</v>
      </c>
      <c r="G187" s="79">
        <f t="shared" si="12"/>
        <v>522.14285714285688</v>
      </c>
      <c r="H187" s="57">
        <f t="shared" si="13"/>
        <v>62.5</v>
      </c>
      <c r="I187" s="72">
        <f t="shared" si="14"/>
        <v>-272.71428571428555</v>
      </c>
      <c r="J187" s="55">
        <f t="shared" si="15"/>
        <v>2522.1428571428569</v>
      </c>
      <c r="K187" s="57">
        <f t="shared" si="16"/>
        <v>62.5</v>
      </c>
      <c r="L187" s="58">
        <f t="shared" si="17"/>
        <v>-772.71428571428555</v>
      </c>
      <c r="M187" s="120"/>
      <c r="N187" s="111">
        <v>50</v>
      </c>
      <c r="O187" s="101"/>
      <c r="P187" s="101">
        <v>0</v>
      </c>
      <c r="Q187" s="102"/>
      <c r="R187" s="56"/>
      <c r="S187" s="80"/>
      <c r="T187" s="80"/>
      <c r="U187" s="56"/>
      <c r="V187" s="56"/>
      <c r="W187" s="56"/>
    </row>
    <row r="188" spans="1:23" ht="15" customHeight="1">
      <c r="A188" s="120"/>
      <c r="B188" s="114"/>
      <c r="C188" s="174">
        <v>4</v>
      </c>
      <c r="D188" s="77">
        <v>85.714285714285708</v>
      </c>
      <c r="E188" s="78">
        <v>68.75</v>
      </c>
      <c r="F188" s="77">
        <v>42.857142857142854</v>
      </c>
      <c r="G188" s="79">
        <f t="shared" si="12"/>
        <v>557.85714285714255</v>
      </c>
      <c r="H188" s="57">
        <f t="shared" si="13"/>
        <v>81.25</v>
      </c>
      <c r="I188" s="72">
        <f t="shared" si="14"/>
        <v>-279.85714285714272</v>
      </c>
      <c r="J188" s="55">
        <f t="shared" si="15"/>
        <v>2557.8571428571427</v>
      </c>
      <c r="K188" s="57">
        <f t="shared" si="16"/>
        <v>81.25</v>
      </c>
      <c r="L188" s="58">
        <f t="shared" si="17"/>
        <v>-779.85714285714266</v>
      </c>
      <c r="M188" s="120"/>
      <c r="N188" s="111">
        <v>50</v>
      </c>
      <c r="O188" s="101"/>
      <c r="P188" s="101">
        <v>0</v>
      </c>
      <c r="Q188" s="102"/>
      <c r="R188" s="56"/>
      <c r="S188" s="80"/>
      <c r="T188" s="80"/>
      <c r="U188" s="56"/>
      <c r="V188" s="56"/>
      <c r="W188" s="56"/>
    </row>
    <row r="189" spans="1:23" ht="15" customHeight="1">
      <c r="A189" s="120"/>
      <c r="B189" s="114"/>
      <c r="C189" s="174">
        <v>5</v>
      </c>
      <c r="D189" s="77">
        <v>85.714285714285708</v>
      </c>
      <c r="E189" s="78">
        <v>62.5</v>
      </c>
      <c r="F189" s="77">
        <v>57.142857142857146</v>
      </c>
      <c r="G189" s="79">
        <f t="shared" si="12"/>
        <v>593.57142857142821</v>
      </c>
      <c r="H189" s="57">
        <f t="shared" si="13"/>
        <v>93.75</v>
      </c>
      <c r="I189" s="72">
        <f t="shared" si="14"/>
        <v>-272.71428571428555</v>
      </c>
      <c r="J189" s="55">
        <f t="shared" si="15"/>
        <v>2593.5714285714284</v>
      </c>
      <c r="K189" s="57">
        <f t="shared" si="16"/>
        <v>93.75</v>
      </c>
      <c r="L189" s="58">
        <f t="shared" si="17"/>
        <v>-772.71428571428555</v>
      </c>
      <c r="M189" s="120"/>
      <c r="N189" s="111">
        <v>50</v>
      </c>
      <c r="O189" s="101"/>
      <c r="P189" s="101">
        <v>0</v>
      </c>
      <c r="Q189" s="102"/>
      <c r="R189" s="56"/>
      <c r="S189" s="80"/>
      <c r="T189" s="80"/>
      <c r="U189" s="56"/>
      <c r="V189" s="56"/>
      <c r="W189" s="56"/>
    </row>
    <row r="190" spans="1:23" ht="15" customHeight="1">
      <c r="A190" s="120"/>
      <c r="B190" s="114"/>
      <c r="C190" s="174">
        <v>6</v>
      </c>
      <c r="D190" s="77">
        <v>85.714285714285708</v>
      </c>
      <c r="E190" s="78">
        <v>50</v>
      </c>
      <c r="F190" s="77">
        <v>14.285714285714286</v>
      </c>
      <c r="G190" s="79">
        <f t="shared" si="12"/>
        <v>629.28571428571388</v>
      </c>
      <c r="H190" s="57">
        <f t="shared" si="13"/>
        <v>93.75</v>
      </c>
      <c r="I190" s="72">
        <f t="shared" si="14"/>
        <v>-308.42857142857127</v>
      </c>
      <c r="J190" s="55">
        <f t="shared" si="15"/>
        <v>2629.2857142857138</v>
      </c>
      <c r="K190" s="57">
        <f t="shared" si="16"/>
        <v>93.75</v>
      </c>
      <c r="L190" s="58">
        <f t="shared" si="17"/>
        <v>-808.42857142857133</v>
      </c>
      <c r="M190" s="120"/>
      <c r="N190" s="111">
        <v>50</v>
      </c>
      <c r="O190" s="101"/>
      <c r="P190" s="101">
        <v>0</v>
      </c>
      <c r="Q190" s="102"/>
      <c r="R190" s="56"/>
      <c r="S190" s="80"/>
      <c r="T190" s="80"/>
      <c r="U190" s="56"/>
      <c r="V190" s="56"/>
      <c r="W190" s="56"/>
    </row>
    <row r="191" spans="1:23" ht="15" customHeight="1">
      <c r="A191" s="120"/>
      <c r="B191" s="114"/>
      <c r="C191" s="174">
        <v>7</v>
      </c>
      <c r="D191" s="77">
        <v>71.428571428571431</v>
      </c>
      <c r="E191" s="78">
        <v>62.5</v>
      </c>
      <c r="F191" s="77">
        <v>42.857142857142854</v>
      </c>
      <c r="G191" s="79">
        <f t="shared" si="12"/>
        <v>650.71428571428532</v>
      </c>
      <c r="H191" s="57">
        <f t="shared" si="13"/>
        <v>106.25</v>
      </c>
      <c r="I191" s="84">
        <f t="shared" si="14"/>
        <v>-315.57142857142844</v>
      </c>
      <c r="J191" s="55">
        <f t="shared" si="15"/>
        <v>2650.7142857142853</v>
      </c>
      <c r="K191" s="57">
        <f t="shared" si="16"/>
        <v>106.25</v>
      </c>
      <c r="L191" s="58">
        <f t="shared" si="17"/>
        <v>-815.57142857142844</v>
      </c>
      <c r="M191" s="120"/>
      <c r="N191" s="111">
        <v>50</v>
      </c>
      <c r="O191" s="101"/>
      <c r="P191" s="101">
        <v>0</v>
      </c>
      <c r="Q191" s="102"/>
      <c r="R191" s="56"/>
      <c r="S191" s="80"/>
      <c r="T191" s="80"/>
      <c r="U191" s="56"/>
      <c r="V191" s="56"/>
      <c r="W191" s="56"/>
    </row>
    <row r="192" spans="1:23" ht="15" customHeight="1">
      <c r="A192" s="120"/>
      <c r="B192" s="114"/>
      <c r="C192" s="174">
        <v>8</v>
      </c>
      <c r="D192" s="77">
        <v>100</v>
      </c>
      <c r="E192" s="78">
        <v>31.25</v>
      </c>
      <c r="F192" s="77">
        <v>57.142857142857146</v>
      </c>
      <c r="G192" s="79">
        <f t="shared" si="12"/>
        <v>700.71428571428532</v>
      </c>
      <c r="H192" s="57">
        <f t="shared" si="13"/>
        <v>87.5</v>
      </c>
      <c r="I192" s="84">
        <f t="shared" si="14"/>
        <v>-308.42857142857127</v>
      </c>
      <c r="J192" s="55">
        <f t="shared" si="15"/>
        <v>2700.7142857142853</v>
      </c>
      <c r="K192" s="57">
        <f t="shared" si="16"/>
        <v>87.5</v>
      </c>
      <c r="L192" s="58">
        <f t="shared" si="17"/>
        <v>-808.42857142857133</v>
      </c>
      <c r="M192" s="120"/>
      <c r="N192" s="111">
        <v>50</v>
      </c>
      <c r="O192" s="101"/>
      <c r="P192" s="101">
        <v>0</v>
      </c>
      <c r="Q192" s="102"/>
      <c r="R192" s="56"/>
      <c r="S192" s="80"/>
      <c r="T192" s="80"/>
      <c r="U192" s="56"/>
      <c r="V192" s="56"/>
      <c r="W192" s="56"/>
    </row>
    <row r="193" spans="1:23" ht="15" customHeight="1">
      <c r="A193" s="120"/>
      <c r="B193" s="114"/>
      <c r="C193" s="174">
        <v>9</v>
      </c>
      <c r="D193" s="77">
        <v>57.142857142857146</v>
      </c>
      <c r="E193" s="78">
        <v>25</v>
      </c>
      <c r="F193" s="77">
        <v>21.428571428571427</v>
      </c>
      <c r="G193" s="79">
        <f t="shared" si="12"/>
        <v>707.85714285714243</v>
      </c>
      <c r="H193" s="57">
        <f t="shared" si="13"/>
        <v>62.5</v>
      </c>
      <c r="I193" s="84">
        <f t="shared" si="14"/>
        <v>-336.99999999999983</v>
      </c>
      <c r="J193" s="55">
        <f t="shared" si="15"/>
        <v>2707.8571428571422</v>
      </c>
      <c r="K193" s="57">
        <f t="shared" si="16"/>
        <v>62.5</v>
      </c>
      <c r="L193" s="58">
        <f t="shared" si="17"/>
        <v>-836.99999999999977</v>
      </c>
      <c r="M193" s="120"/>
      <c r="N193" s="111">
        <v>50</v>
      </c>
      <c r="O193" s="101"/>
      <c r="P193" s="101">
        <v>0</v>
      </c>
      <c r="Q193" s="102"/>
      <c r="R193" s="56"/>
      <c r="S193" s="80"/>
      <c r="T193" s="80"/>
      <c r="U193" s="56"/>
      <c r="V193" s="56"/>
      <c r="W193" s="56"/>
    </row>
    <row r="194" spans="1:23" ht="15" customHeight="1">
      <c r="A194" s="120"/>
      <c r="B194" s="114"/>
      <c r="C194" s="174">
        <v>10</v>
      </c>
      <c r="D194" s="77">
        <v>64.285714285714292</v>
      </c>
      <c r="E194" s="78">
        <v>50</v>
      </c>
      <c r="F194" s="77">
        <v>71.428571428571431</v>
      </c>
      <c r="G194" s="79">
        <f t="shared" si="12"/>
        <v>722.14285714285677</v>
      </c>
      <c r="H194" s="57">
        <f t="shared" si="13"/>
        <v>62.5</v>
      </c>
      <c r="I194" s="84">
        <f t="shared" si="14"/>
        <v>-315.57142857142838</v>
      </c>
      <c r="J194" s="55">
        <f t="shared" si="15"/>
        <v>2722.1428571428569</v>
      </c>
      <c r="K194" s="57">
        <f t="shared" si="16"/>
        <v>62.5</v>
      </c>
      <c r="L194" s="58">
        <f t="shared" si="17"/>
        <v>-815.57142857142844</v>
      </c>
      <c r="M194" s="120"/>
      <c r="N194" s="111">
        <v>50</v>
      </c>
      <c r="O194" s="101"/>
      <c r="P194" s="101">
        <v>0</v>
      </c>
      <c r="Q194" s="102"/>
      <c r="R194" s="56"/>
      <c r="S194" s="80"/>
      <c r="T194" s="80"/>
      <c r="U194" s="56"/>
      <c r="V194" s="56"/>
      <c r="W194" s="56"/>
    </row>
    <row r="195" spans="1:23" ht="15" customHeight="1">
      <c r="A195" s="120"/>
      <c r="B195" s="114"/>
      <c r="C195" s="174">
        <v>11</v>
      </c>
      <c r="D195" s="77">
        <v>42.857142857142854</v>
      </c>
      <c r="E195" s="78">
        <v>87.5</v>
      </c>
      <c r="F195" s="77">
        <v>71.428571428571431</v>
      </c>
      <c r="G195" s="79">
        <f t="shared" si="12"/>
        <v>714.99999999999966</v>
      </c>
      <c r="H195" s="57">
        <f t="shared" si="13"/>
        <v>100</v>
      </c>
      <c r="I195" s="84">
        <f t="shared" si="14"/>
        <v>-294.14285714285694</v>
      </c>
      <c r="J195" s="55">
        <f t="shared" si="15"/>
        <v>2714.9999999999995</v>
      </c>
      <c r="K195" s="57">
        <f t="shared" si="16"/>
        <v>100</v>
      </c>
      <c r="L195" s="58">
        <f t="shared" si="17"/>
        <v>-794.14285714285688</v>
      </c>
      <c r="M195" s="120"/>
      <c r="N195" s="111">
        <v>50</v>
      </c>
      <c r="O195" s="101"/>
      <c r="P195" s="101">
        <v>0</v>
      </c>
      <c r="Q195" s="102"/>
      <c r="R195" s="56"/>
      <c r="S195" s="80"/>
      <c r="T195" s="80"/>
      <c r="U195" s="56"/>
      <c r="V195" s="56"/>
      <c r="W195" s="56"/>
    </row>
    <row r="196" spans="1:23" ht="15" customHeight="1">
      <c r="A196" s="120"/>
      <c r="B196" s="116"/>
      <c r="C196" s="177">
        <v>12</v>
      </c>
      <c r="D196" s="150">
        <v>42.857142857142854</v>
      </c>
      <c r="E196" s="151">
        <v>62.5</v>
      </c>
      <c r="F196" s="150">
        <v>71.428571428571431</v>
      </c>
      <c r="G196" s="152">
        <f t="shared" si="12"/>
        <v>707.85714285714255</v>
      </c>
      <c r="H196" s="144">
        <f t="shared" si="13"/>
        <v>112.5</v>
      </c>
      <c r="I196" s="153">
        <f t="shared" si="14"/>
        <v>-272.7142857142855</v>
      </c>
      <c r="J196" s="637">
        <f t="shared" si="15"/>
        <v>2707.8571428571427</v>
      </c>
      <c r="K196" s="144">
        <f t="shared" si="16"/>
        <v>112.5</v>
      </c>
      <c r="L196" s="638">
        <f t="shared" si="17"/>
        <v>-772.71428571428555</v>
      </c>
      <c r="M196" s="120"/>
      <c r="N196" s="145">
        <v>50</v>
      </c>
      <c r="O196" s="146"/>
      <c r="P196" s="146">
        <v>0</v>
      </c>
      <c r="Q196" s="148"/>
      <c r="R196" s="65"/>
      <c r="S196" s="83"/>
      <c r="T196" s="83"/>
      <c r="U196" s="65"/>
      <c r="V196" s="65"/>
      <c r="W196" s="65"/>
    </row>
    <row r="197" spans="1:23" ht="15" customHeight="1">
      <c r="A197" s="125"/>
      <c r="B197" s="126">
        <v>7</v>
      </c>
      <c r="C197" s="173">
        <v>1</v>
      </c>
      <c r="D197" s="639">
        <v>57.142857142857146</v>
      </c>
      <c r="E197" s="165">
        <v>62.5</v>
      </c>
      <c r="F197" s="640">
        <v>71.428571428571431</v>
      </c>
      <c r="G197" s="166">
        <f t="shared" si="12"/>
        <v>714.99999999999966</v>
      </c>
      <c r="H197" s="167">
        <f t="shared" si="13"/>
        <v>125</v>
      </c>
      <c r="I197" s="168">
        <f t="shared" si="14"/>
        <v>-251.28571428571405</v>
      </c>
      <c r="J197" s="632">
        <f t="shared" si="15"/>
        <v>2714.9999999999995</v>
      </c>
      <c r="K197" s="167">
        <f t="shared" si="16"/>
        <v>125</v>
      </c>
      <c r="L197" s="633">
        <f t="shared" si="17"/>
        <v>-751.28571428571399</v>
      </c>
      <c r="M197" s="125">
        <v>1995</v>
      </c>
      <c r="N197" s="133">
        <v>50</v>
      </c>
      <c r="O197" s="134"/>
      <c r="P197" s="134">
        <v>0</v>
      </c>
      <c r="Q197" s="135"/>
    </row>
    <row r="198" spans="1:23" ht="15" customHeight="1">
      <c r="A198" s="120"/>
      <c r="B198" s="114"/>
      <c r="C198" s="174">
        <v>2</v>
      </c>
      <c r="D198" s="641">
        <v>57.142857142857146</v>
      </c>
      <c r="E198" s="88">
        <v>81.25</v>
      </c>
      <c r="F198" s="642">
        <v>85.714285714285708</v>
      </c>
      <c r="G198" s="89">
        <f t="shared" ref="G198:G261" si="18">D198-50+G197</f>
        <v>722.14285714285677</v>
      </c>
      <c r="H198" s="90">
        <f t="shared" ref="H198:H261" si="19">E198-50+H197</f>
        <v>156.25</v>
      </c>
      <c r="I198" s="91">
        <f t="shared" ref="I198:I261" si="20">F198-50+I197</f>
        <v>-215.57142857142833</v>
      </c>
      <c r="J198" s="634">
        <f t="shared" ref="J198:J261" si="21">IF($D198="",NA,$G198+2000)</f>
        <v>2722.1428571428569</v>
      </c>
      <c r="K198" s="90">
        <f t="shared" ref="K198:K261" si="22">IF(E198="",NA,H198)</f>
        <v>156.25</v>
      </c>
      <c r="L198" s="58">
        <f t="shared" ref="L198:L261" si="23">IF($F198="",NA,$I198-500)</f>
        <v>-715.57142857142833</v>
      </c>
      <c r="M198" s="120"/>
      <c r="N198" s="111">
        <v>50</v>
      </c>
      <c r="O198" s="101"/>
      <c r="P198" s="101">
        <v>0</v>
      </c>
      <c r="Q198" s="102"/>
      <c r="R198" s="56"/>
      <c r="S198" s="56"/>
      <c r="T198" s="56"/>
      <c r="U198" s="56"/>
      <c r="V198" s="56"/>
      <c r="W198" s="56"/>
    </row>
    <row r="199" spans="1:23" ht="15" customHeight="1">
      <c r="A199" s="120"/>
      <c r="B199" s="114"/>
      <c r="C199" s="174">
        <v>3</v>
      </c>
      <c r="D199" s="641">
        <v>28.571428571428573</v>
      </c>
      <c r="E199" s="88">
        <v>25</v>
      </c>
      <c r="F199" s="642">
        <v>42.857142857142854</v>
      </c>
      <c r="G199" s="89">
        <f t="shared" si="18"/>
        <v>700.71428571428532</v>
      </c>
      <c r="H199" s="90">
        <f t="shared" si="19"/>
        <v>131.25</v>
      </c>
      <c r="I199" s="91">
        <f t="shared" si="20"/>
        <v>-222.71428571428547</v>
      </c>
      <c r="J199" s="634">
        <f t="shared" si="21"/>
        <v>2700.7142857142853</v>
      </c>
      <c r="K199" s="90">
        <f t="shared" si="22"/>
        <v>131.25</v>
      </c>
      <c r="L199" s="58">
        <f t="shared" si="23"/>
        <v>-722.71428571428544</v>
      </c>
      <c r="M199" s="120"/>
      <c r="N199" s="111">
        <v>50</v>
      </c>
      <c r="O199" s="101"/>
      <c r="P199" s="101">
        <v>0</v>
      </c>
      <c r="Q199" s="102"/>
      <c r="R199" s="56"/>
      <c r="S199" s="56"/>
      <c r="T199" s="56"/>
      <c r="U199" s="56"/>
      <c r="V199" s="56"/>
      <c r="W199" s="56"/>
    </row>
    <row r="200" spans="1:23" ht="15" customHeight="1">
      <c r="A200" s="120"/>
      <c r="B200" s="114"/>
      <c r="C200" s="174">
        <v>4</v>
      </c>
      <c r="D200" s="641">
        <v>28.571428571428573</v>
      </c>
      <c r="E200" s="88">
        <v>37.5</v>
      </c>
      <c r="F200" s="642">
        <v>0</v>
      </c>
      <c r="G200" s="89">
        <f t="shared" si="18"/>
        <v>679.28571428571388</v>
      </c>
      <c r="H200" s="90">
        <f t="shared" si="19"/>
        <v>118.75</v>
      </c>
      <c r="I200" s="91">
        <f t="shared" si="20"/>
        <v>-272.71428571428544</v>
      </c>
      <c r="J200" s="634">
        <f t="shared" si="21"/>
        <v>2679.2857142857138</v>
      </c>
      <c r="K200" s="90">
        <f t="shared" si="22"/>
        <v>118.75</v>
      </c>
      <c r="L200" s="58">
        <f t="shared" si="23"/>
        <v>-772.71428571428544</v>
      </c>
      <c r="M200" s="120"/>
      <c r="N200" s="111">
        <v>50</v>
      </c>
      <c r="O200" s="101"/>
      <c r="P200" s="101">
        <v>0</v>
      </c>
      <c r="Q200" s="102"/>
      <c r="R200" s="56"/>
      <c r="S200" s="56"/>
      <c r="T200" s="56"/>
      <c r="U200" s="56"/>
      <c r="V200" s="56"/>
      <c r="W200" s="56"/>
    </row>
    <row r="201" spans="1:23" ht="15" customHeight="1">
      <c r="A201" s="120"/>
      <c r="B201" s="114"/>
      <c r="C201" s="174">
        <v>5</v>
      </c>
      <c r="D201" s="641">
        <v>28.571428571428573</v>
      </c>
      <c r="E201" s="88">
        <v>50</v>
      </c>
      <c r="F201" s="642">
        <v>42.857142857142854</v>
      </c>
      <c r="G201" s="89">
        <f t="shared" si="18"/>
        <v>657.85714285714243</v>
      </c>
      <c r="H201" s="90">
        <f t="shared" si="19"/>
        <v>118.75</v>
      </c>
      <c r="I201" s="91">
        <f t="shared" si="20"/>
        <v>-279.85714285714261</v>
      </c>
      <c r="J201" s="634">
        <f t="shared" si="21"/>
        <v>2657.8571428571422</v>
      </c>
      <c r="K201" s="90">
        <f t="shared" si="22"/>
        <v>118.75</v>
      </c>
      <c r="L201" s="58">
        <f t="shared" si="23"/>
        <v>-779.85714285714266</v>
      </c>
      <c r="M201" s="120"/>
      <c r="N201" s="111">
        <v>50</v>
      </c>
      <c r="O201" s="101"/>
      <c r="P201" s="101">
        <v>0</v>
      </c>
      <c r="Q201" s="102"/>
      <c r="R201" s="56"/>
      <c r="S201" s="56"/>
      <c r="T201" s="56"/>
      <c r="U201" s="56"/>
      <c r="V201" s="56"/>
      <c r="W201" s="56"/>
    </row>
    <row r="202" spans="1:23" ht="15" customHeight="1">
      <c r="A202" s="120"/>
      <c r="B202" s="114"/>
      <c r="C202" s="174">
        <v>6</v>
      </c>
      <c r="D202" s="641">
        <v>28.571428571428573</v>
      </c>
      <c r="E202" s="88">
        <v>37.5</v>
      </c>
      <c r="F202" s="642">
        <v>57.142857142857146</v>
      </c>
      <c r="G202" s="89">
        <f t="shared" si="18"/>
        <v>636.42857142857099</v>
      </c>
      <c r="H202" s="90">
        <f t="shared" si="19"/>
        <v>106.25</v>
      </c>
      <c r="I202" s="91">
        <f t="shared" si="20"/>
        <v>-272.71428571428544</v>
      </c>
      <c r="J202" s="634">
        <f t="shared" si="21"/>
        <v>2636.4285714285711</v>
      </c>
      <c r="K202" s="90">
        <f t="shared" si="22"/>
        <v>106.25</v>
      </c>
      <c r="L202" s="58">
        <f t="shared" si="23"/>
        <v>-772.71428571428544</v>
      </c>
      <c r="M202" s="120"/>
      <c r="N202" s="111">
        <v>50</v>
      </c>
      <c r="O202" s="101"/>
      <c r="P202" s="101">
        <v>0</v>
      </c>
      <c r="Q202" s="102"/>
      <c r="R202" s="56"/>
      <c r="S202" s="56"/>
      <c r="T202" s="56"/>
      <c r="U202" s="56"/>
      <c r="V202" s="56"/>
      <c r="W202" s="56"/>
    </row>
    <row r="203" spans="1:23" ht="15" customHeight="1">
      <c r="A203" s="120"/>
      <c r="B203" s="114"/>
      <c r="C203" s="174">
        <v>7</v>
      </c>
      <c r="D203" s="641">
        <v>28.571428571428573</v>
      </c>
      <c r="E203" s="88">
        <v>25</v>
      </c>
      <c r="F203" s="642">
        <v>42.857142857142854</v>
      </c>
      <c r="G203" s="89">
        <f t="shared" si="18"/>
        <v>614.99999999999955</v>
      </c>
      <c r="H203" s="90">
        <f t="shared" si="19"/>
        <v>81.25</v>
      </c>
      <c r="I203" s="91">
        <f t="shared" si="20"/>
        <v>-279.85714285714261</v>
      </c>
      <c r="J203" s="634">
        <f t="shared" si="21"/>
        <v>2614.9999999999995</v>
      </c>
      <c r="K203" s="90">
        <f t="shared" si="22"/>
        <v>81.25</v>
      </c>
      <c r="L203" s="58">
        <f t="shared" si="23"/>
        <v>-779.85714285714266</v>
      </c>
      <c r="M203" s="120"/>
      <c r="N203" s="111">
        <v>50</v>
      </c>
      <c r="O203" s="101"/>
      <c r="P203" s="101">
        <v>0</v>
      </c>
      <c r="Q203" s="102"/>
      <c r="R203" s="56"/>
      <c r="S203" s="56"/>
      <c r="T203" s="56"/>
      <c r="U203" s="56"/>
      <c r="V203" s="56"/>
      <c r="W203" s="56"/>
    </row>
    <row r="204" spans="1:23" ht="15" customHeight="1">
      <c r="A204" s="120"/>
      <c r="B204" s="114"/>
      <c r="C204" s="174">
        <v>8</v>
      </c>
      <c r="D204" s="641">
        <v>57.142857142857146</v>
      </c>
      <c r="E204" s="88">
        <v>62.5</v>
      </c>
      <c r="F204" s="642">
        <v>42.857142857142854</v>
      </c>
      <c r="G204" s="89">
        <f t="shared" si="18"/>
        <v>622.14285714285666</v>
      </c>
      <c r="H204" s="90">
        <f t="shared" si="19"/>
        <v>93.75</v>
      </c>
      <c r="I204" s="91">
        <f t="shared" si="20"/>
        <v>-286.99999999999977</v>
      </c>
      <c r="J204" s="634">
        <f t="shared" si="21"/>
        <v>2622.1428571428569</v>
      </c>
      <c r="K204" s="90">
        <f t="shared" si="22"/>
        <v>93.75</v>
      </c>
      <c r="L204" s="58">
        <f t="shared" si="23"/>
        <v>-786.99999999999977</v>
      </c>
      <c r="M204" s="120"/>
      <c r="N204" s="111">
        <v>50</v>
      </c>
      <c r="O204" s="101"/>
      <c r="P204" s="101">
        <v>0</v>
      </c>
      <c r="Q204" s="102"/>
      <c r="R204" s="56"/>
      <c r="S204" s="56"/>
      <c r="T204" s="56"/>
      <c r="U204" s="56"/>
      <c r="V204" s="56"/>
      <c r="W204" s="56"/>
    </row>
    <row r="205" spans="1:23" ht="15" customHeight="1">
      <c r="A205" s="120"/>
      <c r="B205" s="114"/>
      <c r="C205" s="174">
        <v>9</v>
      </c>
      <c r="D205" s="641">
        <v>57.142857142857146</v>
      </c>
      <c r="E205" s="88">
        <v>62.5</v>
      </c>
      <c r="F205" s="642">
        <v>71.428571428571431</v>
      </c>
      <c r="G205" s="89">
        <f t="shared" si="18"/>
        <v>629.28571428571377</v>
      </c>
      <c r="H205" s="90">
        <f t="shared" si="19"/>
        <v>106.25</v>
      </c>
      <c r="I205" s="91">
        <f t="shared" si="20"/>
        <v>-265.57142857142833</v>
      </c>
      <c r="J205" s="634">
        <f t="shared" si="21"/>
        <v>2629.2857142857138</v>
      </c>
      <c r="K205" s="90">
        <f t="shared" si="22"/>
        <v>106.25</v>
      </c>
      <c r="L205" s="58">
        <f t="shared" si="23"/>
        <v>-765.57142857142833</v>
      </c>
      <c r="M205" s="120"/>
      <c r="N205" s="111">
        <v>50</v>
      </c>
      <c r="O205" s="101"/>
      <c r="P205" s="101">
        <v>0</v>
      </c>
      <c r="Q205" s="102"/>
      <c r="R205" s="56"/>
      <c r="S205" s="56"/>
      <c r="T205" s="56"/>
      <c r="U205" s="56"/>
      <c r="V205" s="56"/>
      <c r="W205" s="56"/>
    </row>
    <row r="206" spans="1:23" ht="15" customHeight="1">
      <c r="A206" s="120"/>
      <c r="B206" s="114"/>
      <c r="C206" s="174">
        <v>10</v>
      </c>
      <c r="D206" s="641">
        <v>71.428571428571431</v>
      </c>
      <c r="E206" s="88">
        <v>62.5</v>
      </c>
      <c r="F206" s="642">
        <v>42.857142857142854</v>
      </c>
      <c r="G206" s="89">
        <f t="shared" si="18"/>
        <v>650.71428571428521</v>
      </c>
      <c r="H206" s="90">
        <f t="shared" si="19"/>
        <v>118.75</v>
      </c>
      <c r="I206" s="91">
        <f t="shared" si="20"/>
        <v>-272.7142857142855</v>
      </c>
      <c r="J206" s="634">
        <f t="shared" si="21"/>
        <v>2650.7142857142853</v>
      </c>
      <c r="K206" s="90">
        <f t="shared" si="22"/>
        <v>118.75</v>
      </c>
      <c r="L206" s="58">
        <f t="shared" si="23"/>
        <v>-772.71428571428555</v>
      </c>
      <c r="M206" s="120"/>
      <c r="N206" s="111">
        <v>50</v>
      </c>
      <c r="O206" s="101"/>
      <c r="P206" s="101">
        <v>0</v>
      </c>
      <c r="Q206" s="102"/>
      <c r="R206" s="56"/>
      <c r="S206" s="56"/>
      <c r="T206" s="56"/>
      <c r="U206" s="56"/>
      <c r="V206" s="56"/>
      <c r="W206" s="56"/>
    </row>
    <row r="207" spans="1:23" ht="15" customHeight="1">
      <c r="A207" s="120"/>
      <c r="B207" s="114"/>
      <c r="C207" s="174">
        <v>11</v>
      </c>
      <c r="D207" s="641">
        <v>42.857142857142854</v>
      </c>
      <c r="E207" s="88">
        <v>62.5</v>
      </c>
      <c r="F207" s="642">
        <v>28.571428571428573</v>
      </c>
      <c r="G207" s="89">
        <f t="shared" si="18"/>
        <v>643.5714285714281</v>
      </c>
      <c r="H207" s="90">
        <f t="shared" si="19"/>
        <v>131.25</v>
      </c>
      <c r="I207" s="91">
        <f t="shared" si="20"/>
        <v>-294.14285714285694</v>
      </c>
      <c r="J207" s="634">
        <f t="shared" si="21"/>
        <v>2643.571428571428</v>
      </c>
      <c r="K207" s="90">
        <f t="shared" si="22"/>
        <v>131.25</v>
      </c>
      <c r="L207" s="58">
        <f t="shared" si="23"/>
        <v>-794.14285714285688</v>
      </c>
      <c r="M207" s="120"/>
      <c r="N207" s="111">
        <v>50</v>
      </c>
      <c r="O207" s="101"/>
      <c r="P207" s="101">
        <v>0</v>
      </c>
      <c r="Q207" s="102"/>
      <c r="R207" s="56"/>
      <c r="S207" s="56"/>
      <c r="T207" s="56"/>
      <c r="U207" s="56"/>
      <c r="V207" s="56"/>
      <c r="W207" s="56"/>
    </row>
    <row r="208" spans="1:23" ht="15" customHeight="1">
      <c r="A208" s="132"/>
      <c r="B208" s="115"/>
      <c r="C208" s="175">
        <v>12</v>
      </c>
      <c r="D208" s="643">
        <v>71.428571428571431</v>
      </c>
      <c r="E208" s="92">
        <v>75</v>
      </c>
      <c r="F208" s="93">
        <v>28.571428571428573</v>
      </c>
      <c r="G208" s="94">
        <f t="shared" si="18"/>
        <v>664.99999999999955</v>
      </c>
      <c r="H208" s="95">
        <f t="shared" si="19"/>
        <v>156.25</v>
      </c>
      <c r="I208" s="96">
        <f t="shared" si="20"/>
        <v>-315.57142857142838</v>
      </c>
      <c r="J208" s="635">
        <f t="shared" si="21"/>
        <v>2664.9999999999995</v>
      </c>
      <c r="K208" s="95">
        <f t="shared" si="22"/>
        <v>156.25</v>
      </c>
      <c r="L208" s="636">
        <f t="shared" si="23"/>
        <v>-815.57142857142844</v>
      </c>
      <c r="M208" s="132"/>
      <c r="N208" s="136">
        <v>50</v>
      </c>
      <c r="O208" s="137"/>
      <c r="P208" s="137">
        <v>0</v>
      </c>
      <c r="Q208" s="160"/>
      <c r="R208" s="65"/>
      <c r="S208" s="65"/>
      <c r="T208" s="65"/>
      <c r="U208" s="65"/>
      <c r="V208" s="65"/>
      <c r="W208" s="65"/>
    </row>
    <row r="209" spans="1:23" ht="15" customHeight="1">
      <c r="A209" s="120"/>
      <c r="B209" s="103">
        <v>8</v>
      </c>
      <c r="C209" s="176">
        <v>1</v>
      </c>
      <c r="D209" s="639">
        <v>57.142857142857146</v>
      </c>
      <c r="E209" s="165">
        <v>75</v>
      </c>
      <c r="F209" s="640">
        <v>42.857142857142854</v>
      </c>
      <c r="G209" s="85">
        <f t="shared" si="18"/>
        <v>672.14285714285666</v>
      </c>
      <c r="H209" s="86">
        <f t="shared" si="19"/>
        <v>181.25</v>
      </c>
      <c r="I209" s="87">
        <f t="shared" si="20"/>
        <v>-322.71428571428555</v>
      </c>
      <c r="J209" s="630">
        <f t="shared" si="21"/>
        <v>2672.1428571428569</v>
      </c>
      <c r="K209" s="86">
        <f t="shared" si="22"/>
        <v>181.25</v>
      </c>
      <c r="L209" s="631">
        <f t="shared" si="23"/>
        <v>-822.71428571428555</v>
      </c>
      <c r="M209" s="120">
        <v>1996</v>
      </c>
      <c r="N209" s="111">
        <v>50</v>
      </c>
      <c r="O209" s="101"/>
      <c r="P209" s="101">
        <v>0</v>
      </c>
      <c r="Q209" s="102"/>
    </row>
    <row r="210" spans="1:23" ht="15" customHeight="1">
      <c r="A210" s="120"/>
      <c r="B210" s="114"/>
      <c r="C210" s="174">
        <v>2</v>
      </c>
      <c r="D210" s="641">
        <v>50</v>
      </c>
      <c r="E210" s="88">
        <v>62.5</v>
      </c>
      <c r="F210" s="642">
        <v>42.857142857142854</v>
      </c>
      <c r="G210" s="89">
        <f t="shared" si="18"/>
        <v>672.14285714285666</v>
      </c>
      <c r="H210" s="90">
        <f t="shared" si="19"/>
        <v>193.75</v>
      </c>
      <c r="I210" s="91">
        <f t="shared" si="20"/>
        <v>-329.85714285714272</v>
      </c>
      <c r="J210" s="55">
        <f t="shared" si="21"/>
        <v>2672.1428571428569</v>
      </c>
      <c r="K210" s="90">
        <f t="shared" si="22"/>
        <v>193.75</v>
      </c>
      <c r="L210" s="58">
        <f t="shared" si="23"/>
        <v>-829.85714285714266</v>
      </c>
      <c r="M210" s="120"/>
      <c r="N210" s="111">
        <v>50</v>
      </c>
      <c r="O210" s="101"/>
      <c r="P210" s="101">
        <v>0</v>
      </c>
      <c r="Q210" s="102"/>
      <c r="R210" s="56"/>
      <c r="S210" s="56"/>
      <c r="T210" s="56"/>
      <c r="U210" s="56"/>
      <c r="V210" s="56"/>
      <c r="W210" s="56"/>
    </row>
    <row r="211" spans="1:23" ht="15" customHeight="1">
      <c r="A211" s="120"/>
      <c r="B211" s="114"/>
      <c r="C211" s="174">
        <v>3</v>
      </c>
      <c r="D211" s="641">
        <v>85.714285714285708</v>
      </c>
      <c r="E211" s="88">
        <v>56.25</v>
      </c>
      <c r="F211" s="642">
        <v>85.714285714285708</v>
      </c>
      <c r="G211" s="89">
        <f t="shared" si="18"/>
        <v>707.85714285714232</v>
      </c>
      <c r="H211" s="90">
        <f t="shared" si="19"/>
        <v>200</v>
      </c>
      <c r="I211" s="91">
        <f t="shared" si="20"/>
        <v>-294.142857142857</v>
      </c>
      <c r="J211" s="55">
        <f t="shared" si="21"/>
        <v>2707.8571428571422</v>
      </c>
      <c r="K211" s="90">
        <f t="shared" si="22"/>
        <v>200</v>
      </c>
      <c r="L211" s="58">
        <f t="shared" si="23"/>
        <v>-794.142857142857</v>
      </c>
      <c r="M211" s="120"/>
      <c r="N211" s="111">
        <v>50</v>
      </c>
      <c r="O211" s="101"/>
      <c r="P211" s="101">
        <v>0</v>
      </c>
      <c r="Q211" s="102"/>
      <c r="R211" s="56"/>
      <c r="S211" s="56"/>
      <c r="T211" s="56"/>
      <c r="U211" s="56"/>
      <c r="V211" s="56"/>
      <c r="W211" s="56"/>
    </row>
    <row r="212" spans="1:23" ht="15" customHeight="1">
      <c r="A212" s="120"/>
      <c r="B212" s="114"/>
      <c r="C212" s="174">
        <v>4</v>
      </c>
      <c r="D212" s="641">
        <v>71.428571428571431</v>
      </c>
      <c r="E212" s="88">
        <v>37.5</v>
      </c>
      <c r="F212" s="642">
        <v>100</v>
      </c>
      <c r="G212" s="89">
        <f t="shared" si="18"/>
        <v>729.28571428571377</v>
      </c>
      <c r="H212" s="90">
        <f t="shared" si="19"/>
        <v>187.5</v>
      </c>
      <c r="I212" s="91">
        <f t="shared" si="20"/>
        <v>-244.142857142857</v>
      </c>
      <c r="J212" s="55">
        <f t="shared" si="21"/>
        <v>2729.2857142857138</v>
      </c>
      <c r="K212" s="90">
        <f t="shared" si="22"/>
        <v>187.5</v>
      </c>
      <c r="L212" s="58">
        <f t="shared" si="23"/>
        <v>-744.142857142857</v>
      </c>
      <c r="M212" s="120"/>
      <c r="N212" s="111">
        <v>50</v>
      </c>
      <c r="O212" s="101"/>
      <c r="P212" s="101">
        <v>0</v>
      </c>
      <c r="Q212" s="102"/>
      <c r="R212" s="56"/>
      <c r="S212" s="56"/>
      <c r="T212" s="56"/>
      <c r="U212" s="56"/>
      <c r="V212" s="56"/>
      <c r="W212" s="56"/>
    </row>
    <row r="213" spans="1:23" ht="15" customHeight="1">
      <c r="A213" s="120"/>
      <c r="B213" s="114"/>
      <c r="C213" s="174">
        <v>5</v>
      </c>
      <c r="D213" s="641">
        <v>71.428571428571431</v>
      </c>
      <c r="E213" s="88">
        <v>50</v>
      </c>
      <c r="F213" s="642">
        <v>85.714285714285708</v>
      </c>
      <c r="G213" s="89">
        <f t="shared" si="18"/>
        <v>750.71428571428521</v>
      </c>
      <c r="H213" s="90">
        <f t="shared" si="19"/>
        <v>187.5</v>
      </c>
      <c r="I213" s="97">
        <f t="shared" si="20"/>
        <v>-208.42857142857127</v>
      </c>
      <c r="J213" s="55">
        <f t="shared" si="21"/>
        <v>2750.7142857142853</v>
      </c>
      <c r="K213" s="90">
        <f t="shared" si="22"/>
        <v>187.5</v>
      </c>
      <c r="L213" s="58">
        <f t="shared" si="23"/>
        <v>-708.42857142857133</v>
      </c>
      <c r="M213" s="120"/>
      <c r="N213" s="111">
        <v>50</v>
      </c>
      <c r="O213" s="101"/>
      <c r="P213" s="101">
        <v>0</v>
      </c>
      <c r="Q213" s="102"/>
      <c r="R213" s="56"/>
      <c r="S213" s="56"/>
      <c r="T213" s="56"/>
      <c r="U213" s="56"/>
      <c r="V213" s="56"/>
      <c r="W213" s="56"/>
    </row>
    <row r="214" spans="1:23" ht="15" customHeight="1">
      <c r="A214" s="120"/>
      <c r="B214" s="114"/>
      <c r="C214" s="174">
        <v>6</v>
      </c>
      <c r="D214" s="641">
        <v>42.857142857142854</v>
      </c>
      <c r="E214" s="88">
        <v>37.5</v>
      </c>
      <c r="F214" s="642">
        <v>78.571428571428569</v>
      </c>
      <c r="G214" s="89">
        <f t="shared" si="18"/>
        <v>743.5714285714281</v>
      </c>
      <c r="H214" s="90">
        <f t="shared" si="19"/>
        <v>175</v>
      </c>
      <c r="I214" s="97">
        <f t="shared" si="20"/>
        <v>-179.85714285714272</v>
      </c>
      <c r="J214" s="55">
        <f t="shared" si="21"/>
        <v>2743.571428571428</v>
      </c>
      <c r="K214" s="90">
        <f t="shared" si="22"/>
        <v>175</v>
      </c>
      <c r="L214" s="58">
        <f t="shared" si="23"/>
        <v>-679.85714285714266</v>
      </c>
      <c r="M214" s="120"/>
      <c r="N214" s="111">
        <v>50</v>
      </c>
      <c r="O214" s="101"/>
      <c r="P214" s="101">
        <v>0</v>
      </c>
      <c r="Q214" s="102"/>
      <c r="R214" s="56"/>
      <c r="S214" s="56"/>
      <c r="T214" s="56"/>
      <c r="U214" s="56"/>
      <c r="V214" s="56"/>
      <c r="W214" s="56"/>
    </row>
    <row r="215" spans="1:23" ht="15" customHeight="1">
      <c r="A215" s="120"/>
      <c r="B215" s="114"/>
      <c r="C215" s="174">
        <v>7</v>
      </c>
      <c r="D215" s="641">
        <v>71.428571428571431</v>
      </c>
      <c r="E215" s="88">
        <v>25</v>
      </c>
      <c r="F215" s="642">
        <v>57.142857142857146</v>
      </c>
      <c r="G215" s="89">
        <f t="shared" si="18"/>
        <v>764.99999999999955</v>
      </c>
      <c r="H215" s="90">
        <f t="shared" si="19"/>
        <v>150</v>
      </c>
      <c r="I215" s="97">
        <f t="shared" si="20"/>
        <v>-172.71428571428558</v>
      </c>
      <c r="J215" s="55">
        <f t="shared" si="21"/>
        <v>2764.9999999999995</v>
      </c>
      <c r="K215" s="90">
        <f t="shared" si="22"/>
        <v>150</v>
      </c>
      <c r="L215" s="58">
        <f t="shared" si="23"/>
        <v>-672.71428571428555</v>
      </c>
      <c r="M215" s="120"/>
      <c r="N215" s="111">
        <v>50</v>
      </c>
      <c r="O215" s="101"/>
      <c r="P215" s="101">
        <v>0</v>
      </c>
      <c r="Q215" s="102"/>
      <c r="R215" s="56"/>
      <c r="S215" s="56"/>
      <c r="T215" s="56"/>
      <c r="U215" s="56"/>
      <c r="V215" s="56"/>
      <c r="W215" s="56"/>
    </row>
    <row r="216" spans="1:23" ht="15" customHeight="1">
      <c r="A216" s="120"/>
      <c r="B216" s="114"/>
      <c r="C216" s="174">
        <v>8</v>
      </c>
      <c r="D216" s="641">
        <v>85.714285714285708</v>
      </c>
      <c r="E216" s="88">
        <v>75</v>
      </c>
      <c r="F216" s="642">
        <v>57.142857142857146</v>
      </c>
      <c r="G216" s="89">
        <f t="shared" si="18"/>
        <v>800.71428571428521</v>
      </c>
      <c r="H216" s="90">
        <f t="shared" si="19"/>
        <v>175</v>
      </c>
      <c r="I216" s="97">
        <f t="shared" si="20"/>
        <v>-165.57142857142844</v>
      </c>
      <c r="J216" s="55">
        <f t="shared" si="21"/>
        <v>2800.7142857142853</v>
      </c>
      <c r="K216" s="90">
        <f t="shared" si="22"/>
        <v>175</v>
      </c>
      <c r="L216" s="58">
        <f t="shared" si="23"/>
        <v>-665.57142857142844</v>
      </c>
      <c r="M216" s="120"/>
      <c r="N216" s="111">
        <v>50</v>
      </c>
      <c r="O216" s="101"/>
      <c r="P216" s="101">
        <v>0</v>
      </c>
      <c r="Q216" s="102"/>
      <c r="R216" s="56"/>
      <c r="S216" s="56"/>
      <c r="T216" s="56"/>
      <c r="U216" s="56"/>
      <c r="V216" s="56"/>
      <c r="W216" s="56"/>
    </row>
    <row r="217" spans="1:23" ht="15" customHeight="1">
      <c r="A217" s="120"/>
      <c r="B217" s="114"/>
      <c r="C217" s="174">
        <v>9</v>
      </c>
      <c r="D217" s="641">
        <v>85.714285714285708</v>
      </c>
      <c r="E217" s="88">
        <v>75</v>
      </c>
      <c r="F217" s="642">
        <v>71.428571428571431</v>
      </c>
      <c r="G217" s="89">
        <f t="shared" si="18"/>
        <v>836.42857142857088</v>
      </c>
      <c r="H217" s="90">
        <f t="shared" si="19"/>
        <v>200</v>
      </c>
      <c r="I217" s="97">
        <f t="shared" si="20"/>
        <v>-144.142857142857</v>
      </c>
      <c r="J217" s="55">
        <f t="shared" si="21"/>
        <v>2836.4285714285706</v>
      </c>
      <c r="K217" s="90">
        <f t="shared" si="22"/>
        <v>200</v>
      </c>
      <c r="L217" s="58">
        <f t="shared" si="23"/>
        <v>-644.142857142857</v>
      </c>
      <c r="M217" s="120"/>
      <c r="N217" s="111">
        <v>50</v>
      </c>
      <c r="O217" s="101"/>
      <c r="P217" s="101">
        <v>0</v>
      </c>
      <c r="Q217" s="102"/>
      <c r="R217" s="56"/>
      <c r="S217" s="56"/>
      <c r="T217" s="56"/>
      <c r="U217" s="56"/>
      <c r="V217" s="56"/>
      <c r="W217" s="56"/>
    </row>
    <row r="218" spans="1:23" ht="15" customHeight="1">
      <c r="A218" s="120"/>
      <c r="B218" s="114"/>
      <c r="C218" s="174">
        <v>10</v>
      </c>
      <c r="D218" s="641">
        <v>57.142857142857146</v>
      </c>
      <c r="E218" s="88">
        <v>75</v>
      </c>
      <c r="F218" s="642">
        <v>57.142857142857146</v>
      </c>
      <c r="G218" s="89">
        <f t="shared" si="18"/>
        <v>843.57142857142799</v>
      </c>
      <c r="H218" s="90">
        <f t="shared" si="19"/>
        <v>225</v>
      </c>
      <c r="I218" s="97">
        <f t="shared" si="20"/>
        <v>-136.99999999999986</v>
      </c>
      <c r="J218" s="55">
        <f t="shared" si="21"/>
        <v>2843.571428571428</v>
      </c>
      <c r="K218" s="90">
        <f t="shared" si="22"/>
        <v>225</v>
      </c>
      <c r="L218" s="58">
        <f t="shared" si="23"/>
        <v>-636.99999999999989</v>
      </c>
      <c r="M218" s="120"/>
      <c r="N218" s="111">
        <v>50</v>
      </c>
      <c r="O218" s="101"/>
      <c r="P218" s="101">
        <v>0</v>
      </c>
      <c r="Q218" s="102"/>
      <c r="R218" s="56"/>
      <c r="S218" s="56"/>
      <c r="T218" s="56"/>
      <c r="U218" s="56"/>
      <c r="V218" s="56"/>
      <c r="W218" s="56"/>
    </row>
    <row r="219" spans="1:23" ht="15" customHeight="1">
      <c r="A219" s="120"/>
      <c r="B219" s="114"/>
      <c r="C219" s="174">
        <v>11</v>
      </c>
      <c r="D219" s="641">
        <v>71.428571428571431</v>
      </c>
      <c r="E219" s="88">
        <v>87.5</v>
      </c>
      <c r="F219" s="642">
        <v>71.428571428571431</v>
      </c>
      <c r="G219" s="89">
        <f t="shared" si="18"/>
        <v>864.99999999999943</v>
      </c>
      <c r="H219" s="90">
        <f t="shared" si="19"/>
        <v>262.5</v>
      </c>
      <c r="I219" s="97">
        <f t="shared" si="20"/>
        <v>-115.57142857142843</v>
      </c>
      <c r="J219" s="55">
        <f t="shared" si="21"/>
        <v>2864.9999999999995</v>
      </c>
      <c r="K219" s="90">
        <f t="shared" si="22"/>
        <v>262.5</v>
      </c>
      <c r="L219" s="58">
        <f t="shared" si="23"/>
        <v>-615.57142857142844</v>
      </c>
      <c r="M219" s="120"/>
      <c r="N219" s="111">
        <v>50</v>
      </c>
      <c r="O219" s="101"/>
      <c r="P219" s="101">
        <v>0</v>
      </c>
      <c r="Q219" s="102"/>
      <c r="R219" s="56"/>
      <c r="S219" s="56"/>
      <c r="T219" s="56"/>
      <c r="U219" s="56"/>
      <c r="V219" s="56"/>
      <c r="W219" s="56"/>
    </row>
    <row r="220" spans="1:23" ht="15" customHeight="1">
      <c r="A220" s="120"/>
      <c r="B220" s="116"/>
      <c r="C220" s="177">
        <v>12</v>
      </c>
      <c r="D220" s="643">
        <v>42.857142857142854</v>
      </c>
      <c r="E220" s="92">
        <v>50</v>
      </c>
      <c r="F220" s="93">
        <v>85.714285714285708</v>
      </c>
      <c r="G220" s="154">
        <f t="shared" si="18"/>
        <v>857.85714285714232</v>
      </c>
      <c r="H220" s="155">
        <f t="shared" si="19"/>
        <v>262.5</v>
      </c>
      <c r="I220" s="156">
        <f t="shared" si="20"/>
        <v>-79.857142857142719</v>
      </c>
      <c r="J220" s="637">
        <f t="shared" si="21"/>
        <v>2857.8571428571422</v>
      </c>
      <c r="K220" s="155">
        <f t="shared" si="22"/>
        <v>262.5</v>
      </c>
      <c r="L220" s="638">
        <f t="shared" si="23"/>
        <v>-579.85714285714266</v>
      </c>
      <c r="M220" s="120"/>
      <c r="N220" s="145">
        <v>50</v>
      </c>
      <c r="O220" s="146"/>
      <c r="P220" s="146">
        <v>0</v>
      </c>
      <c r="Q220" s="148"/>
      <c r="R220" s="65"/>
      <c r="S220" s="65"/>
      <c r="T220" s="65"/>
      <c r="U220" s="65"/>
      <c r="V220" s="65"/>
      <c r="W220" s="65"/>
    </row>
    <row r="221" spans="1:23" ht="15" customHeight="1">
      <c r="A221" s="125"/>
      <c r="B221" s="126">
        <v>9</v>
      </c>
      <c r="C221" s="173">
        <v>1</v>
      </c>
      <c r="D221" s="639">
        <v>57.142857142857146</v>
      </c>
      <c r="E221" s="165">
        <v>62.5</v>
      </c>
      <c r="F221" s="640">
        <v>78.571428571428569</v>
      </c>
      <c r="G221" s="166">
        <f t="shared" si="18"/>
        <v>864.99999999999943</v>
      </c>
      <c r="H221" s="167">
        <f t="shared" si="19"/>
        <v>275</v>
      </c>
      <c r="I221" s="169">
        <f t="shared" si="20"/>
        <v>-51.28571428571415</v>
      </c>
      <c r="J221" s="632">
        <f t="shared" si="21"/>
        <v>2864.9999999999995</v>
      </c>
      <c r="K221" s="167">
        <f t="shared" si="22"/>
        <v>275</v>
      </c>
      <c r="L221" s="633">
        <f t="shared" si="23"/>
        <v>-551.28571428571411</v>
      </c>
      <c r="M221" s="125">
        <v>1997</v>
      </c>
      <c r="N221" s="133">
        <v>50</v>
      </c>
      <c r="O221" s="134"/>
      <c r="P221" s="134">
        <v>0</v>
      </c>
      <c r="Q221" s="135"/>
    </row>
    <row r="222" spans="1:23" ht="15" customHeight="1">
      <c r="A222" s="120"/>
      <c r="B222" s="114"/>
      <c r="C222" s="174">
        <v>2</v>
      </c>
      <c r="D222" s="641">
        <v>57.142857142857146</v>
      </c>
      <c r="E222" s="88">
        <v>75</v>
      </c>
      <c r="F222" s="642">
        <v>85.714285714285708</v>
      </c>
      <c r="G222" s="89">
        <f t="shared" si="18"/>
        <v>872.14285714285654</v>
      </c>
      <c r="H222" s="90">
        <f t="shared" si="19"/>
        <v>300</v>
      </c>
      <c r="I222" s="97">
        <f t="shared" si="20"/>
        <v>-15.571428571428442</v>
      </c>
      <c r="J222" s="634">
        <f t="shared" si="21"/>
        <v>2872.1428571428564</v>
      </c>
      <c r="K222" s="90">
        <f t="shared" si="22"/>
        <v>300</v>
      </c>
      <c r="L222" s="58">
        <f t="shared" si="23"/>
        <v>-515.57142857142844</v>
      </c>
      <c r="M222" s="120"/>
      <c r="N222" s="111">
        <v>50</v>
      </c>
      <c r="O222" s="101"/>
      <c r="P222" s="101">
        <v>0</v>
      </c>
      <c r="Q222" s="102"/>
      <c r="R222" s="56"/>
      <c r="S222" s="56"/>
      <c r="T222" s="56"/>
      <c r="U222" s="56"/>
      <c r="V222" s="56"/>
      <c r="W222" s="56"/>
    </row>
    <row r="223" spans="1:23" ht="15" customHeight="1">
      <c r="A223" s="120"/>
      <c r="B223" s="114"/>
      <c r="C223" s="174">
        <v>3</v>
      </c>
      <c r="D223" s="641">
        <v>71.428571428571431</v>
      </c>
      <c r="E223" s="88">
        <v>50</v>
      </c>
      <c r="F223" s="642">
        <v>85.714285714285708</v>
      </c>
      <c r="G223" s="89">
        <f t="shared" si="18"/>
        <v>893.57142857142799</v>
      </c>
      <c r="H223" s="90">
        <f t="shared" si="19"/>
        <v>300</v>
      </c>
      <c r="I223" s="97">
        <f t="shared" si="20"/>
        <v>20.142857142857267</v>
      </c>
      <c r="J223" s="634">
        <f t="shared" si="21"/>
        <v>2893.571428571428</v>
      </c>
      <c r="K223" s="90">
        <f t="shared" si="22"/>
        <v>300</v>
      </c>
      <c r="L223" s="58">
        <f t="shared" si="23"/>
        <v>-479.85714285714272</v>
      </c>
      <c r="M223" s="120"/>
      <c r="N223" s="111">
        <v>50</v>
      </c>
      <c r="O223" s="101"/>
      <c r="P223" s="101">
        <v>0</v>
      </c>
      <c r="Q223" s="102"/>
      <c r="R223" s="56"/>
      <c r="S223" s="56"/>
      <c r="T223" s="56"/>
      <c r="U223" s="56"/>
      <c r="V223" s="56"/>
      <c r="W223" s="56"/>
    </row>
    <row r="224" spans="1:23" ht="15" customHeight="1">
      <c r="A224" s="120"/>
      <c r="B224" s="114"/>
      <c r="C224" s="174">
        <v>4</v>
      </c>
      <c r="D224" s="641">
        <v>42.857142857142854</v>
      </c>
      <c r="E224" s="88">
        <v>50</v>
      </c>
      <c r="F224" s="642">
        <v>57.142857142857146</v>
      </c>
      <c r="G224" s="89">
        <f t="shared" si="18"/>
        <v>886.42857142857088</v>
      </c>
      <c r="H224" s="90">
        <f t="shared" si="19"/>
        <v>300</v>
      </c>
      <c r="I224" s="97">
        <f t="shared" si="20"/>
        <v>27.285714285714413</v>
      </c>
      <c r="J224" s="634">
        <f t="shared" si="21"/>
        <v>2886.4285714285706</v>
      </c>
      <c r="K224" s="90">
        <f t="shared" si="22"/>
        <v>300</v>
      </c>
      <c r="L224" s="58">
        <f t="shared" si="23"/>
        <v>-472.71428571428561</v>
      </c>
      <c r="M224" s="120"/>
      <c r="N224" s="111">
        <v>50</v>
      </c>
      <c r="O224" s="101"/>
      <c r="P224" s="101">
        <v>0</v>
      </c>
      <c r="Q224" s="102"/>
      <c r="R224" s="56"/>
      <c r="S224" s="56"/>
      <c r="T224" s="56"/>
      <c r="U224" s="56"/>
      <c r="V224" s="56"/>
      <c r="W224" s="56"/>
    </row>
    <row r="225" spans="1:23" ht="15" customHeight="1">
      <c r="A225" s="120"/>
      <c r="B225" s="114"/>
      <c r="C225" s="174">
        <v>5</v>
      </c>
      <c r="D225" s="641">
        <v>42.857142857142854</v>
      </c>
      <c r="E225" s="88">
        <v>87.5</v>
      </c>
      <c r="F225" s="642">
        <v>57.142857142857146</v>
      </c>
      <c r="G225" s="89">
        <f t="shared" si="18"/>
        <v>879.28571428571377</v>
      </c>
      <c r="H225" s="90">
        <f t="shared" si="19"/>
        <v>337.5</v>
      </c>
      <c r="I225" s="97">
        <f t="shared" si="20"/>
        <v>34.428571428571558</v>
      </c>
      <c r="J225" s="634">
        <f t="shared" si="21"/>
        <v>2879.2857142857138</v>
      </c>
      <c r="K225" s="90">
        <f t="shared" si="22"/>
        <v>337.5</v>
      </c>
      <c r="L225" s="58">
        <f t="shared" si="23"/>
        <v>-465.57142857142844</v>
      </c>
      <c r="M225" s="120"/>
      <c r="N225" s="111">
        <v>50</v>
      </c>
      <c r="O225" s="101"/>
      <c r="P225" s="101">
        <v>0</v>
      </c>
      <c r="Q225" s="102"/>
      <c r="R225" s="56"/>
      <c r="S225" s="56"/>
      <c r="T225" s="56"/>
      <c r="U225" s="56"/>
      <c r="V225" s="56"/>
      <c r="W225" s="56"/>
    </row>
    <row r="226" spans="1:23" ht="15" customHeight="1">
      <c r="A226" s="120"/>
      <c r="B226" s="114"/>
      <c r="C226" s="174">
        <v>6</v>
      </c>
      <c r="D226" s="641">
        <v>14.285714285714286</v>
      </c>
      <c r="E226" s="88">
        <v>68.75</v>
      </c>
      <c r="F226" s="642">
        <v>85.714285714285708</v>
      </c>
      <c r="G226" s="89">
        <f t="shared" si="18"/>
        <v>843.5714285714281</v>
      </c>
      <c r="H226" s="90">
        <f t="shared" si="19"/>
        <v>356.25</v>
      </c>
      <c r="I226" s="97">
        <f t="shared" si="20"/>
        <v>70.142857142857267</v>
      </c>
      <c r="J226" s="634">
        <f t="shared" si="21"/>
        <v>2843.571428571428</v>
      </c>
      <c r="K226" s="90">
        <f t="shared" si="22"/>
        <v>356.25</v>
      </c>
      <c r="L226" s="58">
        <f t="shared" si="23"/>
        <v>-429.85714285714272</v>
      </c>
      <c r="M226" s="120"/>
      <c r="N226" s="111">
        <v>50</v>
      </c>
      <c r="O226" s="101"/>
      <c r="P226" s="101">
        <v>0</v>
      </c>
      <c r="Q226" s="102"/>
      <c r="R226" s="56"/>
      <c r="S226" s="56"/>
      <c r="T226" s="56"/>
      <c r="U226" s="56"/>
      <c r="V226" s="56"/>
      <c r="W226" s="56"/>
    </row>
    <row r="227" spans="1:23" ht="15" customHeight="1">
      <c r="A227" s="120"/>
      <c r="B227" s="114"/>
      <c r="C227" s="174">
        <v>7</v>
      </c>
      <c r="D227" s="641">
        <v>7.1428571428571432</v>
      </c>
      <c r="E227" s="88">
        <v>75</v>
      </c>
      <c r="F227" s="642">
        <v>85.714285714285708</v>
      </c>
      <c r="G227" s="89">
        <f t="shared" si="18"/>
        <v>800.71428571428521</v>
      </c>
      <c r="H227" s="90">
        <f t="shared" si="19"/>
        <v>381.25</v>
      </c>
      <c r="I227" s="97">
        <f t="shared" si="20"/>
        <v>105.85714285714297</v>
      </c>
      <c r="J227" s="634">
        <f t="shared" si="21"/>
        <v>2800.7142857142853</v>
      </c>
      <c r="K227" s="90">
        <f t="shared" si="22"/>
        <v>381.25</v>
      </c>
      <c r="L227" s="58">
        <f t="shared" si="23"/>
        <v>-394.142857142857</v>
      </c>
      <c r="M227" s="120"/>
      <c r="N227" s="111">
        <v>50</v>
      </c>
      <c r="O227" s="101">
        <v>99</v>
      </c>
      <c r="P227" s="101">
        <v>0</v>
      </c>
      <c r="Q227" s="112">
        <v>2980</v>
      </c>
      <c r="R227" s="56"/>
      <c r="S227" s="56"/>
      <c r="T227" s="56"/>
      <c r="U227" s="56"/>
      <c r="V227" s="56"/>
      <c r="W227" s="56"/>
    </row>
    <row r="228" spans="1:23" ht="15" customHeight="1">
      <c r="A228" s="120"/>
      <c r="B228" s="114"/>
      <c r="C228" s="174">
        <v>8</v>
      </c>
      <c r="D228" s="641">
        <v>14.285714285714286</v>
      </c>
      <c r="E228" s="88">
        <v>31.25</v>
      </c>
      <c r="F228" s="642">
        <v>57.142857142857146</v>
      </c>
      <c r="G228" s="89">
        <f t="shared" si="18"/>
        <v>764.99999999999955</v>
      </c>
      <c r="H228" s="90">
        <f t="shared" si="19"/>
        <v>362.5</v>
      </c>
      <c r="I228" s="97">
        <f t="shared" si="20"/>
        <v>113.00000000000011</v>
      </c>
      <c r="J228" s="634">
        <f t="shared" si="21"/>
        <v>2764.9999999999995</v>
      </c>
      <c r="K228" s="90">
        <f t="shared" si="22"/>
        <v>362.5</v>
      </c>
      <c r="L228" s="58">
        <f t="shared" si="23"/>
        <v>-386.99999999999989</v>
      </c>
      <c r="M228" s="120"/>
      <c r="N228" s="111">
        <v>50</v>
      </c>
      <c r="O228" s="101">
        <v>99</v>
      </c>
      <c r="P228" s="101">
        <v>0</v>
      </c>
      <c r="Q228" s="112">
        <v>2980</v>
      </c>
      <c r="R228" s="56"/>
      <c r="S228" s="56"/>
      <c r="T228" s="56"/>
      <c r="U228" s="56"/>
      <c r="V228" s="56"/>
      <c r="W228" s="56"/>
    </row>
    <row r="229" spans="1:23" ht="15" customHeight="1">
      <c r="A229" s="120"/>
      <c r="B229" s="114"/>
      <c r="C229" s="174">
        <v>9</v>
      </c>
      <c r="D229" s="641">
        <v>42.857142857142854</v>
      </c>
      <c r="E229" s="88">
        <v>25</v>
      </c>
      <c r="F229" s="642">
        <v>57.142857142857146</v>
      </c>
      <c r="G229" s="89">
        <f t="shared" si="18"/>
        <v>757.85714285714243</v>
      </c>
      <c r="H229" s="90">
        <f t="shared" si="19"/>
        <v>337.5</v>
      </c>
      <c r="I229" s="97">
        <f t="shared" si="20"/>
        <v>120.14285714285725</v>
      </c>
      <c r="J229" s="634">
        <f t="shared" si="21"/>
        <v>2757.8571428571422</v>
      </c>
      <c r="K229" s="90">
        <f t="shared" si="22"/>
        <v>337.5</v>
      </c>
      <c r="L229" s="58">
        <f t="shared" si="23"/>
        <v>-379.85714285714278</v>
      </c>
      <c r="M229" s="120"/>
      <c r="N229" s="111">
        <v>50</v>
      </c>
      <c r="O229" s="101">
        <v>99</v>
      </c>
      <c r="P229" s="101">
        <v>0</v>
      </c>
      <c r="Q229" s="112">
        <v>2980</v>
      </c>
      <c r="R229" s="56"/>
      <c r="S229" s="56"/>
      <c r="T229" s="56"/>
      <c r="U229" s="56"/>
      <c r="V229" s="56"/>
      <c r="W229" s="56"/>
    </row>
    <row r="230" spans="1:23" ht="15" customHeight="1">
      <c r="A230" s="120"/>
      <c r="B230" s="114"/>
      <c r="C230" s="174">
        <v>10</v>
      </c>
      <c r="D230" s="641">
        <v>14.285714285714286</v>
      </c>
      <c r="E230" s="88">
        <v>12.5</v>
      </c>
      <c r="F230" s="642">
        <v>71.428571428571431</v>
      </c>
      <c r="G230" s="89">
        <f t="shared" si="18"/>
        <v>722.14285714285677</v>
      </c>
      <c r="H230" s="90">
        <f t="shared" si="19"/>
        <v>300</v>
      </c>
      <c r="I230" s="97">
        <f t="shared" si="20"/>
        <v>141.57142857142867</v>
      </c>
      <c r="J230" s="634">
        <f t="shared" si="21"/>
        <v>2722.1428571428569</v>
      </c>
      <c r="K230" s="90">
        <f t="shared" si="22"/>
        <v>300</v>
      </c>
      <c r="L230" s="58">
        <f t="shared" si="23"/>
        <v>-358.42857142857133</v>
      </c>
      <c r="M230" s="120"/>
      <c r="N230" s="111">
        <v>50</v>
      </c>
      <c r="O230" s="101">
        <v>99</v>
      </c>
      <c r="P230" s="101">
        <v>0</v>
      </c>
      <c r="Q230" s="112">
        <v>2980</v>
      </c>
      <c r="R230" s="56"/>
      <c r="S230" s="56"/>
      <c r="T230" s="56"/>
      <c r="U230" s="56"/>
      <c r="V230" s="56"/>
      <c r="W230" s="56"/>
    </row>
    <row r="231" spans="1:23" ht="15" customHeight="1">
      <c r="A231" s="120"/>
      <c r="B231" s="114"/>
      <c r="C231" s="174">
        <v>11</v>
      </c>
      <c r="D231" s="641">
        <v>14.285714285714286</v>
      </c>
      <c r="E231" s="88">
        <v>0</v>
      </c>
      <c r="F231" s="642">
        <v>42.857142857142854</v>
      </c>
      <c r="G231" s="89">
        <f t="shared" si="18"/>
        <v>686.4285714285711</v>
      </c>
      <c r="H231" s="90">
        <f t="shared" si="19"/>
        <v>250</v>
      </c>
      <c r="I231" s="97">
        <f t="shared" si="20"/>
        <v>134.42857142857153</v>
      </c>
      <c r="J231" s="634">
        <f t="shared" si="21"/>
        <v>2686.4285714285711</v>
      </c>
      <c r="K231" s="90">
        <f t="shared" si="22"/>
        <v>250</v>
      </c>
      <c r="L231" s="58">
        <f t="shared" si="23"/>
        <v>-365.57142857142844</v>
      </c>
      <c r="M231" s="120"/>
      <c r="N231" s="111">
        <v>50</v>
      </c>
      <c r="O231" s="101">
        <v>99</v>
      </c>
      <c r="P231" s="101">
        <v>0</v>
      </c>
      <c r="Q231" s="112">
        <v>2980</v>
      </c>
      <c r="R231" s="56"/>
      <c r="S231" s="56"/>
      <c r="T231" s="56"/>
      <c r="U231" s="56"/>
      <c r="V231" s="56"/>
      <c r="W231" s="56"/>
    </row>
    <row r="232" spans="1:23" ht="15" customHeight="1">
      <c r="A232" s="132"/>
      <c r="B232" s="115"/>
      <c r="C232" s="175">
        <v>12</v>
      </c>
      <c r="D232" s="643">
        <v>28.571428571428573</v>
      </c>
      <c r="E232" s="92">
        <v>0</v>
      </c>
      <c r="F232" s="93">
        <v>50</v>
      </c>
      <c r="G232" s="94">
        <f t="shared" si="18"/>
        <v>664.99999999999966</v>
      </c>
      <c r="H232" s="95">
        <f t="shared" si="19"/>
        <v>200</v>
      </c>
      <c r="I232" s="98">
        <f t="shared" si="20"/>
        <v>134.42857142857153</v>
      </c>
      <c r="J232" s="635">
        <f t="shared" si="21"/>
        <v>2664.9999999999995</v>
      </c>
      <c r="K232" s="95">
        <f t="shared" si="22"/>
        <v>200</v>
      </c>
      <c r="L232" s="636">
        <f t="shared" si="23"/>
        <v>-365.57142857142844</v>
      </c>
      <c r="M232" s="132"/>
      <c r="N232" s="136">
        <v>50</v>
      </c>
      <c r="O232" s="137">
        <v>99</v>
      </c>
      <c r="P232" s="137">
        <v>0</v>
      </c>
      <c r="Q232" s="138">
        <v>2980</v>
      </c>
      <c r="R232" s="65"/>
      <c r="S232" s="65"/>
      <c r="T232" s="65"/>
      <c r="U232" s="65"/>
      <c r="V232" s="65"/>
      <c r="W232" s="65"/>
    </row>
    <row r="233" spans="1:23" ht="15" customHeight="1">
      <c r="A233" s="120"/>
      <c r="B233" s="103">
        <v>10</v>
      </c>
      <c r="C233" s="176">
        <v>1</v>
      </c>
      <c r="D233" s="639">
        <v>14.285714285714286</v>
      </c>
      <c r="E233" s="165">
        <v>0</v>
      </c>
      <c r="F233" s="640">
        <v>28.571428571428573</v>
      </c>
      <c r="G233" s="85">
        <f t="shared" si="18"/>
        <v>629.28571428571399</v>
      </c>
      <c r="H233" s="86">
        <f t="shared" si="19"/>
        <v>150</v>
      </c>
      <c r="I233" s="99">
        <f t="shared" si="20"/>
        <v>113.0000000000001</v>
      </c>
      <c r="J233" s="630">
        <f t="shared" si="21"/>
        <v>2629.2857142857138</v>
      </c>
      <c r="K233" s="86">
        <f t="shared" si="22"/>
        <v>150</v>
      </c>
      <c r="L233" s="631">
        <f t="shared" si="23"/>
        <v>-386.99999999999989</v>
      </c>
      <c r="M233" s="120">
        <v>1998</v>
      </c>
      <c r="N233" s="111">
        <v>50</v>
      </c>
      <c r="O233" s="101">
        <v>99</v>
      </c>
      <c r="P233" s="101">
        <v>0</v>
      </c>
      <c r="Q233" s="112">
        <v>2980</v>
      </c>
    </row>
    <row r="234" spans="1:23" ht="15" customHeight="1">
      <c r="A234" s="120"/>
      <c r="B234" s="114"/>
      <c r="C234" s="174">
        <v>2</v>
      </c>
      <c r="D234" s="641">
        <v>0</v>
      </c>
      <c r="E234" s="88">
        <v>0</v>
      </c>
      <c r="F234" s="642">
        <v>28.571428571428573</v>
      </c>
      <c r="G234" s="89">
        <f t="shared" si="18"/>
        <v>579.28571428571399</v>
      </c>
      <c r="H234" s="90">
        <f t="shared" si="19"/>
        <v>100</v>
      </c>
      <c r="I234" s="97">
        <f t="shared" si="20"/>
        <v>91.571428571428669</v>
      </c>
      <c r="J234" s="55">
        <f t="shared" si="21"/>
        <v>2579.2857142857138</v>
      </c>
      <c r="K234" s="90">
        <f t="shared" si="22"/>
        <v>100</v>
      </c>
      <c r="L234" s="58">
        <f t="shared" si="23"/>
        <v>-408.42857142857133</v>
      </c>
      <c r="M234" s="120"/>
      <c r="N234" s="111">
        <v>50</v>
      </c>
      <c r="O234" s="101">
        <v>99</v>
      </c>
      <c r="P234" s="101">
        <v>0</v>
      </c>
      <c r="Q234" s="112">
        <v>2980</v>
      </c>
      <c r="R234" s="56"/>
      <c r="S234" s="56"/>
      <c r="T234" s="56"/>
      <c r="U234" s="56"/>
      <c r="V234" s="56"/>
      <c r="W234" s="56"/>
    </row>
    <row r="235" spans="1:23" ht="15" customHeight="1">
      <c r="A235" s="120"/>
      <c r="B235" s="114"/>
      <c r="C235" s="174">
        <v>3</v>
      </c>
      <c r="D235" s="641">
        <v>28.571428571428573</v>
      </c>
      <c r="E235" s="88">
        <v>37.5</v>
      </c>
      <c r="F235" s="642">
        <v>42.857142857142854</v>
      </c>
      <c r="G235" s="89">
        <f t="shared" si="18"/>
        <v>557.85714285714255</v>
      </c>
      <c r="H235" s="90">
        <f t="shared" si="19"/>
        <v>87.5</v>
      </c>
      <c r="I235" s="97">
        <f t="shared" si="20"/>
        <v>84.42857142857153</v>
      </c>
      <c r="J235" s="55">
        <f t="shared" si="21"/>
        <v>2557.8571428571427</v>
      </c>
      <c r="K235" s="90">
        <f t="shared" si="22"/>
        <v>87.5</v>
      </c>
      <c r="L235" s="58">
        <f t="shared" si="23"/>
        <v>-415.57142857142844</v>
      </c>
      <c r="M235" s="120"/>
      <c r="N235" s="111">
        <v>50</v>
      </c>
      <c r="O235" s="101">
        <v>99</v>
      </c>
      <c r="P235" s="101">
        <v>0</v>
      </c>
      <c r="Q235" s="112">
        <v>2980</v>
      </c>
      <c r="R235" s="56"/>
      <c r="S235" s="56"/>
      <c r="T235" s="56"/>
      <c r="U235" s="56"/>
      <c r="V235" s="56"/>
      <c r="W235" s="56"/>
    </row>
    <row r="236" spans="1:23" ht="15" customHeight="1">
      <c r="A236" s="120"/>
      <c r="B236" s="114"/>
      <c r="C236" s="174">
        <v>4</v>
      </c>
      <c r="D236" s="641">
        <v>14.285714285714286</v>
      </c>
      <c r="E236" s="88">
        <v>0</v>
      </c>
      <c r="F236" s="642">
        <v>28.571428571428573</v>
      </c>
      <c r="G236" s="89">
        <f t="shared" si="18"/>
        <v>522.14285714285688</v>
      </c>
      <c r="H236" s="90">
        <f t="shared" si="19"/>
        <v>37.5</v>
      </c>
      <c r="I236" s="97">
        <f t="shared" si="20"/>
        <v>63.000000000000099</v>
      </c>
      <c r="J236" s="55">
        <f t="shared" si="21"/>
        <v>2522.1428571428569</v>
      </c>
      <c r="K236" s="90">
        <f t="shared" si="22"/>
        <v>37.5</v>
      </c>
      <c r="L236" s="58">
        <f t="shared" si="23"/>
        <v>-436.99999999999989</v>
      </c>
      <c r="M236" s="120"/>
      <c r="N236" s="111">
        <v>50</v>
      </c>
      <c r="O236" s="101">
        <v>99</v>
      </c>
      <c r="P236" s="101">
        <v>0</v>
      </c>
      <c r="Q236" s="112">
        <v>2980</v>
      </c>
      <c r="R236" s="56"/>
      <c r="S236" s="56"/>
      <c r="T236" s="56"/>
      <c r="U236" s="56"/>
      <c r="V236" s="56"/>
      <c r="W236" s="56"/>
    </row>
    <row r="237" spans="1:23" ht="15" customHeight="1">
      <c r="A237" s="120"/>
      <c r="B237" s="114"/>
      <c r="C237" s="174">
        <v>5</v>
      </c>
      <c r="D237" s="641">
        <v>0</v>
      </c>
      <c r="E237" s="88">
        <v>12.5</v>
      </c>
      <c r="F237" s="642">
        <v>14.285714285714286</v>
      </c>
      <c r="G237" s="89">
        <f t="shared" si="18"/>
        <v>472.14285714285688</v>
      </c>
      <c r="H237" s="90">
        <f t="shared" si="19"/>
        <v>0</v>
      </c>
      <c r="I237" s="97">
        <f t="shared" si="20"/>
        <v>27.285714285714384</v>
      </c>
      <c r="J237" s="55">
        <f t="shared" si="21"/>
        <v>2472.1428571428569</v>
      </c>
      <c r="K237" s="90">
        <f t="shared" si="22"/>
        <v>0</v>
      </c>
      <c r="L237" s="58">
        <f t="shared" si="23"/>
        <v>-472.71428571428561</v>
      </c>
      <c r="M237" s="120"/>
      <c r="N237" s="111">
        <v>50</v>
      </c>
      <c r="O237" s="101">
        <v>99</v>
      </c>
      <c r="P237" s="101">
        <v>0</v>
      </c>
      <c r="Q237" s="112">
        <v>2980</v>
      </c>
      <c r="R237" s="56"/>
      <c r="S237" s="56"/>
      <c r="T237" s="56"/>
      <c r="U237" s="56"/>
      <c r="V237" s="56"/>
      <c r="W237" s="56"/>
    </row>
    <row r="238" spans="1:23" ht="15" customHeight="1">
      <c r="A238" s="120"/>
      <c r="B238" s="114"/>
      <c r="C238" s="174">
        <v>6</v>
      </c>
      <c r="D238" s="641">
        <v>28.571428571428573</v>
      </c>
      <c r="E238" s="88">
        <v>37.5</v>
      </c>
      <c r="F238" s="642">
        <v>42.857142857142854</v>
      </c>
      <c r="G238" s="89">
        <f t="shared" si="18"/>
        <v>450.71428571428544</v>
      </c>
      <c r="H238" s="90">
        <f t="shared" si="19"/>
        <v>-12.5</v>
      </c>
      <c r="I238" s="97">
        <f t="shared" si="20"/>
        <v>20.142857142857238</v>
      </c>
      <c r="J238" s="55">
        <f t="shared" si="21"/>
        <v>2450.7142857142853</v>
      </c>
      <c r="K238" s="90">
        <f t="shared" si="22"/>
        <v>-12.5</v>
      </c>
      <c r="L238" s="58">
        <f t="shared" si="23"/>
        <v>-479.85714285714278</v>
      </c>
      <c r="M238" s="120"/>
      <c r="N238" s="111">
        <v>50</v>
      </c>
      <c r="O238" s="101">
        <v>99</v>
      </c>
      <c r="P238" s="101">
        <v>0</v>
      </c>
      <c r="Q238" s="112">
        <v>2980</v>
      </c>
      <c r="R238" s="56"/>
      <c r="S238" s="56"/>
      <c r="T238" s="56"/>
      <c r="U238" s="56"/>
      <c r="V238" s="56"/>
      <c r="W238" s="56"/>
    </row>
    <row r="239" spans="1:23" ht="15" customHeight="1">
      <c r="A239" s="120"/>
      <c r="B239" s="114"/>
      <c r="C239" s="174">
        <v>7</v>
      </c>
      <c r="D239" s="641">
        <v>28.571428571428573</v>
      </c>
      <c r="E239" s="88">
        <v>25</v>
      </c>
      <c r="F239" s="642">
        <v>42.857142857142854</v>
      </c>
      <c r="G239" s="89">
        <f t="shared" si="18"/>
        <v>429.28571428571399</v>
      </c>
      <c r="H239" s="90">
        <f t="shared" si="19"/>
        <v>-37.5</v>
      </c>
      <c r="I239" s="97">
        <f t="shared" si="20"/>
        <v>13.000000000000092</v>
      </c>
      <c r="J239" s="55">
        <f t="shared" si="21"/>
        <v>2429.2857142857138</v>
      </c>
      <c r="K239" s="90">
        <f t="shared" si="22"/>
        <v>-37.5</v>
      </c>
      <c r="L239" s="58">
        <f t="shared" si="23"/>
        <v>-486.99999999999989</v>
      </c>
      <c r="M239" s="120"/>
      <c r="N239" s="111">
        <v>50</v>
      </c>
      <c r="O239" s="101">
        <v>99</v>
      </c>
      <c r="P239" s="101">
        <v>0</v>
      </c>
      <c r="Q239" s="112">
        <v>2980</v>
      </c>
      <c r="R239" s="56"/>
      <c r="S239" s="56"/>
      <c r="T239" s="56"/>
      <c r="U239" s="56"/>
      <c r="V239" s="56"/>
      <c r="W239" s="56"/>
    </row>
    <row r="240" spans="1:23" ht="15" customHeight="1">
      <c r="A240" s="120"/>
      <c r="B240" s="114"/>
      <c r="C240" s="174">
        <v>8</v>
      </c>
      <c r="D240" s="641">
        <v>14.285714285714286</v>
      </c>
      <c r="E240" s="88">
        <v>12.5</v>
      </c>
      <c r="F240" s="642">
        <v>28.571428571428573</v>
      </c>
      <c r="G240" s="89">
        <f t="shared" si="18"/>
        <v>393.57142857142827</v>
      </c>
      <c r="H240" s="90">
        <f t="shared" si="19"/>
        <v>-75</v>
      </c>
      <c r="I240" s="97">
        <f t="shared" si="20"/>
        <v>-8.4285714285713347</v>
      </c>
      <c r="J240" s="55">
        <f t="shared" si="21"/>
        <v>2393.5714285714284</v>
      </c>
      <c r="K240" s="90">
        <f t="shared" si="22"/>
        <v>-75</v>
      </c>
      <c r="L240" s="58">
        <f t="shared" si="23"/>
        <v>-508.42857142857133</v>
      </c>
      <c r="M240" s="120"/>
      <c r="N240" s="111">
        <v>50</v>
      </c>
      <c r="O240" s="101">
        <v>99</v>
      </c>
      <c r="P240" s="101">
        <v>0</v>
      </c>
      <c r="Q240" s="112">
        <v>2980</v>
      </c>
      <c r="R240" s="56"/>
      <c r="S240" s="56"/>
      <c r="T240" s="56"/>
      <c r="U240" s="56"/>
      <c r="V240" s="56"/>
      <c r="W240" s="56"/>
    </row>
    <row r="241" spans="1:23" ht="15" customHeight="1">
      <c r="A241" s="120"/>
      <c r="B241" s="114"/>
      <c r="C241" s="174">
        <v>9</v>
      </c>
      <c r="D241" s="641">
        <v>21.428571428571427</v>
      </c>
      <c r="E241" s="88">
        <v>25</v>
      </c>
      <c r="F241" s="642">
        <v>42.857142857142854</v>
      </c>
      <c r="G241" s="89">
        <f t="shared" si="18"/>
        <v>364.99999999999972</v>
      </c>
      <c r="H241" s="90">
        <f t="shared" si="19"/>
        <v>-100</v>
      </c>
      <c r="I241" s="97">
        <f t="shared" si="20"/>
        <v>-15.571428571428481</v>
      </c>
      <c r="J241" s="55">
        <f t="shared" si="21"/>
        <v>2364.9999999999995</v>
      </c>
      <c r="K241" s="90">
        <f t="shared" si="22"/>
        <v>-100</v>
      </c>
      <c r="L241" s="58">
        <f t="shared" si="23"/>
        <v>-515.57142857142844</v>
      </c>
      <c r="M241" s="120"/>
      <c r="N241" s="111">
        <v>50</v>
      </c>
      <c r="O241" s="101">
        <v>99</v>
      </c>
      <c r="P241" s="101">
        <v>0</v>
      </c>
      <c r="Q241" s="112">
        <v>2980</v>
      </c>
      <c r="R241" s="56"/>
      <c r="S241" s="56"/>
      <c r="T241" s="56"/>
      <c r="U241" s="56"/>
      <c r="V241" s="56"/>
      <c r="W241" s="56"/>
    </row>
    <row r="242" spans="1:23" ht="15" customHeight="1">
      <c r="A242" s="120"/>
      <c r="B242" s="114"/>
      <c r="C242" s="174">
        <v>10</v>
      </c>
      <c r="D242" s="641">
        <v>42.857142857142854</v>
      </c>
      <c r="E242" s="88">
        <v>50</v>
      </c>
      <c r="F242" s="642">
        <v>42.857142857142854</v>
      </c>
      <c r="G242" s="89">
        <f t="shared" si="18"/>
        <v>357.85714285714255</v>
      </c>
      <c r="H242" s="90">
        <f t="shared" si="19"/>
        <v>-100</v>
      </c>
      <c r="I242" s="97">
        <f t="shared" si="20"/>
        <v>-22.714285714285626</v>
      </c>
      <c r="J242" s="55">
        <f t="shared" si="21"/>
        <v>2357.8571428571427</v>
      </c>
      <c r="K242" s="90">
        <f t="shared" si="22"/>
        <v>-100</v>
      </c>
      <c r="L242" s="58">
        <f t="shared" si="23"/>
        <v>-522.71428571428567</v>
      </c>
      <c r="M242" s="120"/>
      <c r="N242" s="111">
        <v>50</v>
      </c>
      <c r="O242" s="101">
        <v>99</v>
      </c>
      <c r="P242" s="101">
        <v>0</v>
      </c>
      <c r="Q242" s="112">
        <v>2980</v>
      </c>
      <c r="R242" s="56"/>
      <c r="S242" s="56"/>
      <c r="T242" s="56"/>
      <c r="U242" s="56"/>
      <c r="V242" s="56"/>
      <c r="W242" s="56"/>
    </row>
    <row r="243" spans="1:23" ht="15" customHeight="1">
      <c r="A243" s="120"/>
      <c r="B243" s="114"/>
      <c r="C243" s="174">
        <v>11</v>
      </c>
      <c r="D243" s="641">
        <v>28.571428571428573</v>
      </c>
      <c r="E243" s="88">
        <v>37.5</v>
      </c>
      <c r="F243" s="642">
        <v>42.857142857142854</v>
      </c>
      <c r="G243" s="89">
        <f t="shared" si="18"/>
        <v>336.4285714285711</v>
      </c>
      <c r="H243" s="90">
        <f t="shared" si="19"/>
        <v>-112.5</v>
      </c>
      <c r="I243" s="97">
        <f t="shared" si="20"/>
        <v>-29.857142857142772</v>
      </c>
      <c r="J243" s="55">
        <f t="shared" si="21"/>
        <v>2336.4285714285711</v>
      </c>
      <c r="K243" s="90">
        <f t="shared" si="22"/>
        <v>-112.5</v>
      </c>
      <c r="L243" s="58">
        <f t="shared" si="23"/>
        <v>-529.85714285714278</v>
      </c>
      <c r="M243" s="120"/>
      <c r="N243" s="111">
        <v>50</v>
      </c>
      <c r="O243" s="101">
        <v>99</v>
      </c>
      <c r="P243" s="101">
        <v>0</v>
      </c>
      <c r="Q243" s="112">
        <v>2980</v>
      </c>
      <c r="R243" s="56"/>
      <c r="S243" s="56"/>
      <c r="T243" s="56"/>
      <c r="U243" s="56"/>
      <c r="V243" s="56"/>
      <c r="W243" s="56"/>
    </row>
    <row r="244" spans="1:23" ht="15" customHeight="1">
      <c r="A244" s="120"/>
      <c r="B244" s="116"/>
      <c r="C244" s="177">
        <v>12</v>
      </c>
      <c r="D244" s="643">
        <v>28.571428571428573</v>
      </c>
      <c r="E244" s="92">
        <v>25</v>
      </c>
      <c r="F244" s="93">
        <v>42.857142857142854</v>
      </c>
      <c r="G244" s="154">
        <f t="shared" si="18"/>
        <v>314.99999999999966</v>
      </c>
      <c r="H244" s="155">
        <f t="shared" si="19"/>
        <v>-137.5</v>
      </c>
      <c r="I244" s="156">
        <f t="shared" si="20"/>
        <v>-36.999999999999915</v>
      </c>
      <c r="J244" s="637">
        <f t="shared" si="21"/>
        <v>2314.9999999999995</v>
      </c>
      <c r="K244" s="155">
        <f t="shared" si="22"/>
        <v>-137.5</v>
      </c>
      <c r="L244" s="638">
        <f t="shared" si="23"/>
        <v>-536.99999999999989</v>
      </c>
      <c r="M244" s="120"/>
      <c r="N244" s="145">
        <v>50</v>
      </c>
      <c r="O244" s="146">
        <v>99</v>
      </c>
      <c r="P244" s="146">
        <v>0</v>
      </c>
      <c r="Q244" s="147">
        <v>2980</v>
      </c>
      <c r="R244" s="65"/>
      <c r="S244" s="65"/>
      <c r="T244" s="65"/>
      <c r="U244" s="65"/>
      <c r="V244" s="65"/>
      <c r="W244" s="65"/>
    </row>
    <row r="245" spans="1:23" ht="15" customHeight="1">
      <c r="A245" s="125"/>
      <c r="B245" s="126">
        <v>11</v>
      </c>
      <c r="C245" s="173">
        <v>1</v>
      </c>
      <c r="D245" s="639">
        <v>57.142857142857146</v>
      </c>
      <c r="E245" s="165">
        <v>37.5</v>
      </c>
      <c r="F245" s="640">
        <v>57.142857142857146</v>
      </c>
      <c r="G245" s="166">
        <f t="shared" si="18"/>
        <v>322.14285714285683</v>
      </c>
      <c r="H245" s="167">
        <f t="shared" si="19"/>
        <v>-150</v>
      </c>
      <c r="I245" s="169">
        <f t="shared" si="20"/>
        <v>-29.857142857142769</v>
      </c>
      <c r="J245" s="632">
        <f t="shared" si="21"/>
        <v>2322.1428571428569</v>
      </c>
      <c r="K245" s="167">
        <f t="shared" si="22"/>
        <v>-150</v>
      </c>
      <c r="L245" s="633">
        <f t="shared" si="23"/>
        <v>-529.85714285714278</v>
      </c>
      <c r="M245" s="125">
        <v>1999</v>
      </c>
      <c r="N245" s="133">
        <v>50</v>
      </c>
      <c r="O245" s="134">
        <v>99</v>
      </c>
      <c r="P245" s="134">
        <v>0</v>
      </c>
      <c r="Q245" s="159">
        <v>2980</v>
      </c>
    </row>
    <row r="246" spans="1:23" ht="15" customHeight="1">
      <c r="A246" s="120"/>
      <c r="B246" s="114"/>
      <c r="C246" s="174">
        <v>2</v>
      </c>
      <c r="D246" s="641">
        <v>57.142857142857146</v>
      </c>
      <c r="E246" s="88">
        <v>12.5</v>
      </c>
      <c r="F246" s="642">
        <v>42.857142857142854</v>
      </c>
      <c r="G246" s="89">
        <f t="shared" si="18"/>
        <v>329.28571428571399</v>
      </c>
      <c r="H246" s="90">
        <f t="shared" si="19"/>
        <v>-187.5</v>
      </c>
      <c r="I246" s="97">
        <f t="shared" si="20"/>
        <v>-36.999999999999915</v>
      </c>
      <c r="J246" s="634">
        <f t="shared" si="21"/>
        <v>2329.2857142857138</v>
      </c>
      <c r="K246" s="90">
        <f t="shared" si="22"/>
        <v>-187.5</v>
      </c>
      <c r="L246" s="58">
        <f t="shared" si="23"/>
        <v>-536.99999999999989</v>
      </c>
      <c r="M246" s="120"/>
      <c r="N246" s="111">
        <v>50</v>
      </c>
      <c r="O246" s="101">
        <v>99</v>
      </c>
      <c r="P246" s="101">
        <v>0</v>
      </c>
      <c r="Q246" s="112">
        <v>2980</v>
      </c>
      <c r="R246" s="56"/>
      <c r="S246" s="56"/>
      <c r="T246" s="56"/>
      <c r="U246" s="56"/>
      <c r="V246" s="56"/>
      <c r="W246" s="56"/>
    </row>
    <row r="247" spans="1:23" ht="15" customHeight="1">
      <c r="A247" s="120"/>
      <c r="B247" s="114"/>
      <c r="C247" s="174">
        <v>3</v>
      </c>
      <c r="D247" s="641">
        <v>35.714285714285715</v>
      </c>
      <c r="E247" s="88">
        <v>62.5</v>
      </c>
      <c r="F247" s="642">
        <v>42.857142857142854</v>
      </c>
      <c r="G247" s="89">
        <f t="shared" si="18"/>
        <v>314.99999999999972</v>
      </c>
      <c r="H247" s="90">
        <f t="shared" si="19"/>
        <v>-175</v>
      </c>
      <c r="I247" s="97">
        <f t="shared" si="20"/>
        <v>-44.142857142857061</v>
      </c>
      <c r="J247" s="634">
        <f t="shared" si="21"/>
        <v>2314.9999999999995</v>
      </c>
      <c r="K247" s="90">
        <f t="shared" si="22"/>
        <v>-175</v>
      </c>
      <c r="L247" s="58">
        <f t="shared" si="23"/>
        <v>-544.14285714285711</v>
      </c>
      <c r="M247" s="120"/>
      <c r="N247" s="111">
        <v>50</v>
      </c>
      <c r="O247" s="101">
        <v>99</v>
      </c>
      <c r="P247" s="101">
        <v>0</v>
      </c>
      <c r="Q247" s="112">
        <v>2980</v>
      </c>
      <c r="R247" s="56"/>
      <c r="S247" s="56"/>
      <c r="T247" s="56"/>
      <c r="U247" s="56"/>
      <c r="V247" s="56"/>
      <c r="W247" s="56"/>
    </row>
    <row r="248" spans="1:23" ht="15" customHeight="1">
      <c r="A248" s="120"/>
      <c r="B248" s="114"/>
      <c r="C248" s="174">
        <v>4</v>
      </c>
      <c r="D248" s="641">
        <v>57.142857142857146</v>
      </c>
      <c r="E248" s="88">
        <v>43.75</v>
      </c>
      <c r="F248" s="642">
        <v>57.142857142857146</v>
      </c>
      <c r="G248" s="89">
        <f t="shared" si="18"/>
        <v>322.14285714285688</v>
      </c>
      <c r="H248" s="90">
        <f t="shared" si="19"/>
        <v>-181.25</v>
      </c>
      <c r="I248" s="97">
        <f t="shared" si="20"/>
        <v>-36.999999999999915</v>
      </c>
      <c r="J248" s="634">
        <f t="shared" si="21"/>
        <v>2322.1428571428569</v>
      </c>
      <c r="K248" s="90">
        <f t="shared" si="22"/>
        <v>-181.25</v>
      </c>
      <c r="L248" s="58">
        <f t="shared" si="23"/>
        <v>-536.99999999999989</v>
      </c>
      <c r="M248" s="120"/>
      <c r="N248" s="111">
        <v>50</v>
      </c>
      <c r="O248" s="101">
        <v>99</v>
      </c>
      <c r="P248" s="101">
        <v>0</v>
      </c>
      <c r="Q248" s="112">
        <v>2980</v>
      </c>
      <c r="R248" s="56"/>
      <c r="S248" s="56"/>
      <c r="T248" s="56"/>
      <c r="U248" s="56"/>
      <c r="V248" s="56"/>
      <c r="W248" s="56"/>
    </row>
    <row r="249" spans="1:23" ht="15" customHeight="1">
      <c r="A249" s="120"/>
      <c r="B249" s="114"/>
      <c r="C249" s="174">
        <v>5</v>
      </c>
      <c r="D249" s="641">
        <v>71.428571428571431</v>
      </c>
      <c r="E249" s="88">
        <v>31.25</v>
      </c>
      <c r="F249" s="642">
        <v>42.857142857142854</v>
      </c>
      <c r="G249" s="89">
        <f t="shared" si="18"/>
        <v>343.57142857142833</v>
      </c>
      <c r="H249" s="90">
        <f t="shared" si="19"/>
        <v>-200</v>
      </c>
      <c r="I249" s="97">
        <f t="shared" si="20"/>
        <v>-44.142857142857061</v>
      </c>
      <c r="J249" s="634">
        <f t="shared" si="21"/>
        <v>2343.5714285714284</v>
      </c>
      <c r="K249" s="90">
        <f t="shared" si="22"/>
        <v>-200</v>
      </c>
      <c r="L249" s="58">
        <f t="shared" si="23"/>
        <v>-544.14285714285711</v>
      </c>
      <c r="M249" s="120"/>
      <c r="N249" s="111">
        <v>50</v>
      </c>
      <c r="O249" s="101">
        <v>99</v>
      </c>
      <c r="P249" s="101">
        <v>0</v>
      </c>
      <c r="Q249" s="112">
        <v>2980</v>
      </c>
      <c r="R249" s="56"/>
      <c r="S249" s="56"/>
      <c r="T249" s="56"/>
      <c r="U249" s="56"/>
      <c r="V249" s="56"/>
      <c r="W249" s="56"/>
    </row>
    <row r="250" spans="1:23" ht="15" customHeight="1">
      <c r="A250" s="120"/>
      <c r="B250" s="114"/>
      <c r="C250" s="174">
        <v>6</v>
      </c>
      <c r="D250" s="641">
        <v>57.142857142857146</v>
      </c>
      <c r="E250" s="88">
        <v>75</v>
      </c>
      <c r="F250" s="642">
        <v>50</v>
      </c>
      <c r="G250" s="89">
        <f t="shared" si="18"/>
        <v>350.7142857142855</v>
      </c>
      <c r="H250" s="90">
        <f t="shared" si="19"/>
        <v>-175</v>
      </c>
      <c r="I250" s="97">
        <f t="shared" si="20"/>
        <v>-44.142857142857061</v>
      </c>
      <c r="J250" s="634">
        <f t="shared" si="21"/>
        <v>2350.7142857142853</v>
      </c>
      <c r="K250" s="90">
        <f t="shared" si="22"/>
        <v>-175</v>
      </c>
      <c r="L250" s="58">
        <f t="shared" si="23"/>
        <v>-544.14285714285711</v>
      </c>
      <c r="M250" s="120"/>
      <c r="N250" s="111">
        <v>50</v>
      </c>
      <c r="O250" s="101"/>
      <c r="P250" s="101">
        <v>0</v>
      </c>
      <c r="Q250" s="102"/>
      <c r="R250" s="56"/>
      <c r="S250" s="56"/>
      <c r="T250" s="56"/>
      <c r="U250" s="56"/>
      <c r="V250" s="56"/>
      <c r="W250" s="56"/>
    </row>
    <row r="251" spans="1:23" ht="15" customHeight="1">
      <c r="A251" s="120"/>
      <c r="B251" s="114"/>
      <c r="C251" s="174">
        <v>7</v>
      </c>
      <c r="D251" s="641">
        <v>57.142857142857146</v>
      </c>
      <c r="E251" s="88">
        <v>81.25</v>
      </c>
      <c r="F251" s="642">
        <v>57.142857142857146</v>
      </c>
      <c r="G251" s="89">
        <f t="shared" si="18"/>
        <v>357.85714285714266</v>
      </c>
      <c r="H251" s="90">
        <f t="shared" si="19"/>
        <v>-143.75</v>
      </c>
      <c r="I251" s="97">
        <f t="shared" si="20"/>
        <v>-36.999999999999915</v>
      </c>
      <c r="J251" s="634">
        <f t="shared" si="21"/>
        <v>2357.8571428571427</v>
      </c>
      <c r="K251" s="90">
        <f t="shared" si="22"/>
        <v>-143.75</v>
      </c>
      <c r="L251" s="58">
        <f t="shared" si="23"/>
        <v>-536.99999999999989</v>
      </c>
      <c r="M251" s="120"/>
      <c r="N251" s="111">
        <v>50</v>
      </c>
      <c r="O251" s="101"/>
      <c r="P251" s="101">
        <v>0</v>
      </c>
      <c r="Q251" s="102"/>
      <c r="R251" s="56"/>
      <c r="S251" s="56"/>
      <c r="T251" s="56"/>
      <c r="U251" s="56"/>
      <c r="V251" s="56"/>
      <c r="W251" s="56"/>
    </row>
    <row r="252" spans="1:23" ht="15" customHeight="1">
      <c r="A252" s="120"/>
      <c r="B252" s="114"/>
      <c r="C252" s="174">
        <v>8</v>
      </c>
      <c r="D252" s="641">
        <v>57.142857142857146</v>
      </c>
      <c r="E252" s="88">
        <v>37.5</v>
      </c>
      <c r="F252" s="642">
        <v>28.571428571428573</v>
      </c>
      <c r="G252" s="89">
        <f t="shared" si="18"/>
        <v>364.99999999999983</v>
      </c>
      <c r="H252" s="90">
        <f t="shared" si="19"/>
        <v>-156.25</v>
      </c>
      <c r="I252" s="97">
        <f t="shared" si="20"/>
        <v>-58.428571428571345</v>
      </c>
      <c r="J252" s="634">
        <f t="shared" si="21"/>
        <v>2365</v>
      </c>
      <c r="K252" s="90">
        <f t="shared" si="22"/>
        <v>-156.25</v>
      </c>
      <c r="L252" s="58">
        <f t="shared" si="23"/>
        <v>-558.42857142857133</v>
      </c>
      <c r="M252" s="120"/>
      <c r="N252" s="111">
        <v>50</v>
      </c>
      <c r="O252" s="101"/>
      <c r="P252" s="101">
        <v>0</v>
      </c>
      <c r="Q252" s="102"/>
      <c r="R252" s="56"/>
      <c r="S252" s="56"/>
      <c r="T252" s="56"/>
      <c r="U252" s="56"/>
      <c r="V252" s="56"/>
      <c r="W252" s="56"/>
    </row>
    <row r="253" spans="1:23" ht="15" customHeight="1">
      <c r="A253" s="120"/>
      <c r="B253" s="114"/>
      <c r="C253" s="174">
        <v>9</v>
      </c>
      <c r="D253" s="641">
        <v>57.142857142857146</v>
      </c>
      <c r="E253" s="88">
        <v>75</v>
      </c>
      <c r="F253" s="642">
        <v>28.571428571428573</v>
      </c>
      <c r="G253" s="89">
        <f t="shared" si="18"/>
        <v>372.142857142857</v>
      </c>
      <c r="H253" s="90">
        <f t="shared" si="19"/>
        <v>-131.25</v>
      </c>
      <c r="I253" s="97">
        <f t="shared" si="20"/>
        <v>-79.857142857142776</v>
      </c>
      <c r="J253" s="634">
        <f t="shared" si="21"/>
        <v>2372.1428571428569</v>
      </c>
      <c r="K253" s="90">
        <f t="shared" si="22"/>
        <v>-131.25</v>
      </c>
      <c r="L253" s="58">
        <f t="shared" si="23"/>
        <v>-579.85714285714278</v>
      </c>
      <c r="M253" s="120"/>
      <c r="N253" s="111">
        <v>50</v>
      </c>
      <c r="O253" s="101"/>
      <c r="P253" s="101">
        <v>0</v>
      </c>
      <c r="Q253" s="102"/>
      <c r="R253" s="56"/>
      <c r="S253" s="56"/>
      <c r="T253" s="56"/>
      <c r="U253" s="56"/>
      <c r="V253" s="56"/>
      <c r="W253" s="56"/>
    </row>
    <row r="254" spans="1:23" ht="15" customHeight="1">
      <c r="A254" s="120"/>
      <c r="B254" s="114"/>
      <c r="C254" s="174">
        <v>10</v>
      </c>
      <c r="D254" s="641">
        <v>71.428571428571431</v>
      </c>
      <c r="E254" s="88">
        <v>62.5</v>
      </c>
      <c r="F254" s="642">
        <v>57.142857142857146</v>
      </c>
      <c r="G254" s="89">
        <f t="shared" si="18"/>
        <v>393.57142857142844</v>
      </c>
      <c r="H254" s="90">
        <f t="shared" si="19"/>
        <v>-118.75</v>
      </c>
      <c r="I254" s="97">
        <f t="shared" si="20"/>
        <v>-72.714285714285637</v>
      </c>
      <c r="J254" s="634">
        <f t="shared" si="21"/>
        <v>2393.5714285714284</v>
      </c>
      <c r="K254" s="90">
        <f t="shared" si="22"/>
        <v>-118.75</v>
      </c>
      <c r="L254" s="58">
        <f t="shared" si="23"/>
        <v>-572.71428571428567</v>
      </c>
      <c r="M254" s="120"/>
      <c r="N254" s="111">
        <v>50</v>
      </c>
      <c r="O254" s="101"/>
      <c r="P254" s="101">
        <v>0</v>
      </c>
      <c r="Q254" s="102"/>
      <c r="R254" s="56"/>
      <c r="S254" s="56"/>
      <c r="T254" s="56"/>
      <c r="U254" s="56"/>
      <c r="V254" s="56"/>
      <c r="W254" s="56"/>
    </row>
    <row r="255" spans="1:23" ht="15" customHeight="1">
      <c r="A255" s="120"/>
      <c r="B255" s="114"/>
      <c r="C255" s="174">
        <v>11</v>
      </c>
      <c r="D255" s="641">
        <v>71.428571428571431</v>
      </c>
      <c r="E255" s="88">
        <v>50</v>
      </c>
      <c r="F255" s="642">
        <v>28.571428571428573</v>
      </c>
      <c r="G255" s="89">
        <f t="shared" si="18"/>
        <v>414.99999999999989</v>
      </c>
      <c r="H255" s="90">
        <f t="shared" si="19"/>
        <v>-118.75</v>
      </c>
      <c r="I255" s="97">
        <f t="shared" si="20"/>
        <v>-94.142857142857068</v>
      </c>
      <c r="J255" s="634">
        <f t="shared" si="21"/>
        <v>2415</v>
      </c>
      <c r="K255" s="90">
        <f t="shared" si="22"/>
        <v>-118.75</v>
      </c>
      <c r="L255" s="58">
        <f t="shared" si="23"/>
        <v>-594.14285714285711</v>
      </c>
      <c r="M255" s="120"/>
      <c r="N255" s="111">
        <v>50</v>
      </c>
      <c r="O255" s="101"/>
      <c r="P255" s="101">
        <v>0</v>
      </c>
      <c r="Q255" s="102"/>
      <c r="R255" s="56"/>
      <c r="S255" s="56"/>
      <c r="T255" s="56"/>
      <c r="U255" s="56"/>
      <c r="V255" s="56"/>
      <c r="W255" s="56"/>
    </row>
    <row r="256" spans="1:23" ht="15" customHeight="1">
      <c r="A256" s="132"/>
      <c r="B256" s="115"/>
      <c r="C256" s="175">
        <v>12</v>
      </c>
      <c r="D256" s="643">
        <v>57.142857142857146</v>
      </c>
      <c r="E256" s="92">
        <v>62.5</v>
      </c>
      <c r="F256" s="93">
        <v>14.285714285714286</v>
      </c>
      <c r="G256" s="94">
        <f t="shared" si="18"/>
        <v>422.14285714285705</v>
      </c>
      <c r="H256" s="95">
        <f t="shared" si="19"/>
        <v>-106.25</v>
      </c>
      <c r="I256" s="98">
        <f t="shared" si="20"/>
        <v>-129.85714285714278</v>
      </c>
      <c r="J256" s="635">
        <f t="shared" si="21"/>
        <v>2422.1428571428569</v>
      </c>
      <c r="K256" s="95">
        <f t="shared" si="22"/>
        <v>-106.25</v>
      </c>
      <c r="L256" s="636">
        <f t="shared" si="23"/>
        <v>-629.85714285714278</v>
      </c>
      <c r="M256" s="132"/>
      <c r="N256" s="136">
        <v>50</v>
      </c>
      <c r="O256" s="137"/>
      <c r="P256" s="137">
        <v>0</v>
      </c>
      <c r="Q256" s="160"/>
      <c r="R256" s="65"/>
      <c r="S256" s="65"/>
      <c r="T256" s="65"/>
      <c r="U256" s="65"/>
      <c r="V256" s="65"/>
      <c r="W256" s="65"/>
    </row>
    <row r="257" spans="1:23" ht="15" customHeight="1">
      <c r="A257" s="120"/>
      <c r="B257" s="991" t="s">
        <v>665</v>
      </c>
      <c r="C257" s="176">
        <v>1</v>
      </c>
      <c r="D257" s="639">
        <v>57.142857142857146</v>
      </c>
      <c r="E257" s="165">
        <v>50</v>
      </c>
      <c r="F257" s="640">
        <v>57.142857142857146</v>
      </c>
      <c r="G257" s="85">
        <f t="shared" si="18"/>
        <v>429.28571428571422</v>
      </c>
      <c r="H257" s="86">
        <f t="shared" si="19"/>
        <v>-106.25</v>
      </c>
      <c r="I257" s="99">
        <f t="shared" si="20"/>
        <v>-122.71428571428564</v>
      </c>
      <c r="J257" s="630">
        <f t="shared" si="21"/>
        <v>2429.2857142857142</v>
      </c>
      <c r="K257" s="86">
        <f t="shared" si="22"/>
        <v>-106.25</v>
      </c>
      <c r="L257" s="631">
        <f t="shared" si="23"/>
        <v>-622.71428571428567</v>
      </c>
      <c r="M257" s="120">
        <v>2000</v>
      </c>
      <c r="N257" s="111">
        <v>50</v>
      </c>
      <c r="O257" s="101"/>
      <c r="P257" s="101">
        <v>0</v>
      </c>
      <c r="Q257" s="102"/>
    </row>
    <row r="258" spans="1:23" ht="15" customHeight="1">
      <c r="A258" s="120"/>
      <c r="B258" s="114"/>
      <c r="C258" s="174">
        <v>2</v>
      </c>
      <c r="D258" s="641">
        <v>85.714285714285708</v>
      </c>
      <c r="E258" s="88">
        <v>56.25</v>
      </c>
      <c r="F258" s="642">
        <v>28.571428571428573</v>
      </c>
      <c r="G258" s="89">
        <f t="shared" si="18"/>
        <v>464.99999999999994</v>
      </c>
      <c r="H258" s="90">
        <f t="shared" si="19"/>
        <v>-100</v>
      </c>
      <c r="I258" s="97">
        <f t="shared" si="20"/>
        <v>-144.14285714285705</v>
      </c>
      <c r="J258" s="55">
        <f t="shared" si="21"/>
        <v>2465</v>
      </c>
      <c r="K258" s="90">
        <f t="shared" si="22"/>
        <v>-100</v>
      </c>
      <c r="L258" s="58">
        <f t="shared" si="23"/>
        <v>-644.14285714285711</v>
      </c>
      <c r="M258" s="120"/>
      <c r="N258" s="111">
        <v>50</v>
      </c>
      <c r="O258" s="101"/>
      <c r="P258" s="101">
        <v>0</v>
      </c>
      <c r="Q258" s="102"/>
      <c r="R258" s="56"/>
      <c r="S258" s="56"/>
      <c r="T258" s="56"/>
      <c r="U258" s="56"/>
      <c r="V258" s="56"/>
      <c r="W258" s="56"/>
    </row>
    <row r="259" spans="1:23" ht="15" customHeight="1">
      <c r="A259" s="120"/>
      <c r="B259" s="114"/>
      <c r="C259" s="174">
        <v>3</v>
      </c>
      <c r="D259" s="641">
        <v>78.571428571428569</v>
      </c>
      <c r="E259" s="88">
        <v>100</v>
      </c>
      <c r="F259" s="642">
        <v>42.857142857142854</v>
      </c>
      <c r="G259" s="89">
        <f t="shared" si="18"/>
        <v>493.5714285714285</v>
      </c>
      <c r="H259" s="90">
        <f t="shared" si="19"/>
        <v>-50</v>
      </c>
      <c r="I259" s="97">
        <f t="shared" si="20"/>
        <v>-151.28571428571419</v>
      </c>
      <c r="J259" s="55">
        <f t="shared" si="21"/>
        <v>2493.5714285714284</v>
      </c>
      <c r="K259" s="90">
        <f t="shared" si="22"/>
        <v>-50</v>
      </c>
      <c r="L259" s="58">
        <f t="shared" si="23"/>
        <v>-651.28571428571422</v>
      </c>
      <c r="M259" s="120"/>
      <c r="N259" s="111">
        <v>50</v>
      </c>
      <c r="O259" s="101"/>
      <c r="P259" s="101">
        <v>0</v>
      </c>
      <c r="Q259" s="102"/>
      <c r="R259" s="56"/>
      <c r="S259" s="56"/>
      <c r="T259" s="56"/>
      <c r="U259" s="56"/>
      <c r="V259" s="56"/>
      <c r="W259" s="56"/>
    </row>
    <row r="260" spans="1:23" ht="15" customHeight="1">
      <c r="A260" s="120"/>
      <c r="B260" s="114"/>
      <c r="C260" s="174">
        <v>4</v>
      </c>
      <c r="D260" s="641">
        <v>42.857142857142854</v>
      </c>
      <c r="E260" s="88">
        <v>37.5</v>
      </c>
      <c r="F260" s="642">
        <v>57.142857142857146</v>
      </c>
      <c r="G260" s="89">
        <f t="shared" si="18"/>
        <v>486.42857142857133</v>
      </c>
      <c r="H260" s="90">
        <f t="shared" si="19"/>
        <v>-62.5</v>
      </c>
      <c r="I260" s="97">
        <f t="shared" si="20"/>
        <v>-144.14285714285705</v>
      </c>
      <c r="J260" s="55">
        <f t="shared" si="21"/>
        <v>2486.4285714285716</v>
      </c>
      <c r="K260" s="90">
        <f t="shared" si="22"/>
        <v>-62.5</v>
      </c>
      <c r="L260" s="58">
        <f t="shared" si="23"/>
        <v>-644.14285714285711</v>
      </c>
      <c r="M260" s="120"/>
      <c r="N260" s="111">
        <v>50</v>
      </c>
      <c r="O260" s="101"/>
      <c r="P260" s="101">
        <v>0</v>
      </c>
      <c r="Q260" s="102"/>
      <c r="R260" s="56"/>
      <c r="S260" s="56"/>
      <c r="T260" s="56"/>
      <c r="U260" s="56"/>
      <c r="V260" s="56"/>
      <c r="W260" s="56"/>
    </row>
    <row r="261" spans="1:23" ht="15" customHeight="1">
      <c r="A261" s="120"/>
      <c r="B261" s="114"/>
      <c r="C261" s="174">
        <v>5</v>
      </c>
      <c r="D261" s="641">
        <v>57.142857142857146</v>
      </c>
      <c r="E261" s="88">
        <v>87.5</v>
      </c>
      <c r="F261" s="642">
        <v>78.571428571428569</v>
      </c>
      <c r="G261" s="89">
        <f t="shared" si="18"/>
        <v>493.5714285714285</v>
      </c>
      <c r="H261" s="90">
        <f t="shared" si="19"/>
        <v>-25</v>
      </c>
      <c r="I261" s="97">
        <f t="shared" si="20"/>
        <v>-115.57142857142848</v>
      </c>
      <c r="J261" s="55">
        <f t="shared" si="21"/>
        <v>2493.5714285714284</v>
      </c>
      <c r="K261" s="90">
        <f t="shared" si="22"/>
        <v>-25</v>
      </c>
      <c r="L261" s="58">
        <f t="shared" si="23"/>
        <v>-615.57142857142844</v>
      </c>
      <c r="M261" s="120"/>
      <c r="N261" s="111">
        <v>50</v>
      </c>
      <c r="O261" s="101"/>
      <c r="P261" s="101">
        <v>0</v>
      </c>
      <c r="Q261" s="102"/>
      <c r="R261" s="56"/>
      <c r="S261" s="56"/>
      <c r="T261" s="56"/>
      <c r="U261" s="56"/>
      <c r="V261" s="56"/>
      <c r="W261" s="56"/>
    </row>
    <row r="262" spans="1:23" ht="15" customHeight="1">
      <c r="A262" s="120"/>
      <c r="B262" s="114"/>
      <c r="C262" s="174">
        <v>6</v>
      </c>
      <c r="D262" s="641">
        <v>57.142857142857146</v>
      </c>
      <c r="E262" s="88">
        <v>87.5</v>
      </c>
      <c r="F262" s="642">
        <v>57.142857142857146</v>
      </c>
      <c r="G262" s="89">
        <f t="shared" ref="G262:G294" si="24">D262-50+G261</f>
        <v>500.71428571428567</v>
      </c>
      <c r="H262" s="90">
        <f t="shared" ref="H262:H294" si="25">E262-50+H261</f>
        <v>12.5</v>
      </c>
      <c r="I262" s="97">
        <f t="shared" ref="I262:I294" si="26">F262-50+I261</f>
        <v>-108.42857142857133</v>
      </c>
      <c r="J262" s="55">
        <f t="shared" ref="J262:J325" si="27">IF($D262="",NA,$G262+2000)</f>
        <v>2500.7142857142858</v>
      </c>
      <c r="K262" s="90">
        <f t="shared" ref="K262:K294" si="28">IF(E262="",NA,H262)</f>
        <v>12.5</v>
      </c>
      <c r="L262" s="58">
        <f t="shared" ref="L262:L325" si="29">IF($F262="",NA,$I262-500)</f>
        <v>-608.42857142857133</v>
      </c>
      <c r="M262" s="120"/>
      <c r="N262" s="111">
        <v>50</v>
      </c>
      <c r="O262" s="101"/>
      <c r="P262" s="101">
        <v>0</v>
      </c>
      <c r="Q262" s="102"/>
      <c r="R262" s="56"/>
      <c r="S262" s="56"/>
      <c r="T262" s="56"/>
      <c r="U262" s="56"/>
      <c r="V262" s="56"/>
      <c r="W262" s="56"/>
    </row>
    <row r="263" spans="1:23" ht="15" customHeight="1">
      <c r="A263" s="120"/>
      <c r="B263" s="114"/>
      <c r="C263" s="174">
        <v>7</v>
      </c>
      <c r="D263" s="641">
        <v>42.857142857142854</v>
      </c>
      <c r="E263" s="88">
        <v>100</v>
      </c>
      <c r="F263" s="642">
        <v>71.428571428571431</v>
      </c>
      <c r="G263" s="89">
        <f t="shared" si="24"/>
        <v>493.5714285714285</v>
      </c>
      <c r="H263" s="90">
        <f t="shared" si="25"/>
        <v>62.5</v>
      </c>
      <c r="I263" s="97">
        <f t="shared" si="26"/>
        <v>-86.999999999999901</v>
      </c>
      <c r="J263" s="55">
        <f t="shared" si="27"/>
        <v>2493.5714285714284</v>
      </c>
      <c r="K263" s="90">
        <f t="shared" si="28"/>
        <v>62.5</v>
      </c>
      <c r="L263" s="58">
        <f t="shared" si="29"/>
        <v>-586.99999999999989</v>
      </c>
      <c r="M263" s="120"/>
      <c r="N263" s="111">
        <v>50</v>
      </c>
      <c r="O263" s="101"/>
      <c r="P263" s="101">
        <v>0</v>
      </c>
      <c r="Q263" s="102"/>
      <c r="R263" s="56"/>
      <c r="S263" s="56"/>
      <c r="T263" s="56"/>
      <c r="U263" s="56"/>
      <c r="V263" s="56"/>
      <c r="W263" s="56"/>
    </row>
    <row r="264" spans="1:23" ht="15" customHeight="1">
      <c r="A264" s="120"/>
      <c r="B264" s="114"/>
      <c r="C264" s="174">
        <v>8</v>
      </c>
      <c r="D264" s="641">
        <v>42.857142857142854</v>
      </c>
      <c r="E264" s="88">
        <v>25</v>
      </c>
      <c r="F264" s="642">
        <v>71.428571428571431</v>
      </c>
      <c r="G264" s="89">
        <f t="shared" si="24"/>
        <v>486.42857142857133</v>
      </c>
      <c r="H264" s="90">
        <f t="shared" si="25"/>
        <v>37.5</v>
      </c>
      <c r="I264" s="97">
        <f t="shared" si="26"/>
        <v>-65.57142857142847</v>
      </c>
      <c r="J264" s="55">
        <f t="shared" si="27"/>
        <v>2486.4285714285716</v>
      </c>
      <c r="K264" s="90">
        <f t="shared" si="28"/>
        <v>37.5</v>
      </c>
      <c r="L264" s="58">
        <f t="shared" si="29"/>
        <v>-565.57142857142844</v>
      </c>
      <c r="M264" s="120"/>
      <c r="N264" s="111">
        <v>50</v>
      </c>
      <c r="O264" s="101"/>
      <c r="P264" s="101">
        <v>0</v>
      </c>
      <c r="Q264" s="102"/>
      <c r="R264" s="56"/>
      <c r="S264" s="56"/>
      <c r="T264" s="56"/>
      <c r="U264" s="56"/>
      <c r="V264" s="56"/>
      <c r="W264" s="56"/>
    </row>
    <row r="265" spans="1:23" ht="15" customHeight="1">
      <c r="A265" s="120"/>
      <c r="B265" s="114"/>
      <c r="C265" s="174">
        <v>9</v>
      </c>
      <c r="D265" s="641">
        <v>57.142857142857146</v>
      </c>
      <c r="E265" s="88">
        <v>100</v>
      </c>
      <c r="F265" s="642">
        <v>57.142857142857146</v>
      </c>
      <c r="G265" s="89">
        <f t="shared" si="24"/>
        <v>493.5714285714285</v>
      </c>
      <c r="H265" s="90">
        <f t="shared" si="25"/>
        <v>87.5</v>
      </c>
      <c r="I265" s="97">
        <f t="shared" si="26"/>
        <v>-58.428571428571324</v>
      </c>
      <c r="J265" s="55">
        <f t="shared" si="27"/>
        <v>2493.5714285714284</v>
      </c>
      <c r="K265" s="90">
        <f t="shared" si="28"/>
        <v>87.5</v>
      </c>
      <c r="L265" s="58">
        <f t="shared" si="29"/>
        <v>-558.42857142857133</v>
      </c>
      <c r="M265" s="120"/>
      <c r="N265" s="111">
        <v>50</v>
      </c>
      <c r="O265" s="101"/>
      <c r="P265" s="101">
        <v>0</v>
      </c>
      <c r="Q265" s="102"/>
      <c r="R265" s="56"/>
      <c r="S265" s="56"/>
      <c r="T265" s="56"/>
      <c r="U265" s="56"/>
      <c r="V265" s="56"/>
      <c r="W265" s="56"/>
    </row>
    <row r="266" spans="1:23" ht="15" customHeight="1">
      <c r="A266" s="120"/>
      <c r="B266" s="114"/>
      <c r="C266" s="174">
        <v>10</v>
      </c>
      <c r="D266" s="641">
        <v>28.571428571428573</v>
      </c>
      <c r="E266" s="88">
        <v>87.5</v>
      </c>
      <c r="F266" s="642">
        <v>28.571428571428573</v>
      </c>
      <c r="G266" s="89">
        <f t="shared" si="24"/>
        <v>472.14285714285705</v>
      </c>
      <c r="H266" s="90">
        <f t="shared" si="25"/>
        <v>125</v>
      </c>
      <c r="I266" s="97">
        <f t="shared" si="26"/>
        <v>-79.857142857142748</v>
      </c>
      <c r="J266" s="55">
        <f t="shared" si="27"/>
        <v>2472.1428571428569</v>
      </c>
      <c r="K266" s="90">
        <f t="shared" si="28"/>
        <v>125</v>
      </c>
      <c r="L266" s="58">
        <f t="shared" si="29"/>
        <v>-579.85714285714278</v>
      </c>
      <c r="M266" s="120"/>
      <c r="N266" s="111">
        <v>50</v>
      </c>
      <c r="O266" s="101"/>
      <c r="P266" s="101">
        <v>0</v>
      </c>
      <c r="Q266" s="102"/>
      <c r="R266" s="56"/>
      <c r="S266" s="56"/>
      <c r="T266" s="56"/>
      <c r="U266" s="56"/>
      <c r="V266" s="56"/>
      <c r="W266" s="56"/>
    </row>
    <row r="267" spans="1:23" ht="15" customHeight="1">
      <c r="A267" s="120"/>
      <c r="B267" s="114"/>
      <c r="C267" s="174">
        <v>11</v>
      </c>
      <c r="D267" s="641">
        <v>71.428571428571431</v>
      </c>
      <c r="E267" s="88">
        <v>81.25</v>
      </c>
      <c r="F267" s="642">
        <v>35.714285714285715</v>
      </c>
      <c r="G267" s="89">
        <f t="shared" si="24"/>
        <v>493.5714285714285</v>
      </c>
      <c r="H267" s="90">
        <f t="shared" si="25"/>
        <v>156.25</v>
      </c>
      <c r="I267" s="97">
        <f t="shared" si="26"/>
        <v>-94.142857142857025</v>
      </c>
      <c r="J267" s="55">
        <f t="shared" si="27"/>
        <v>2493.5714285714284</v>
      </c>
      <c r="K267" s="90">
        <f t="shared" si="28"/>
        <v>156.25</v>
      </c>
      <c r="L267" s="58">
        <f t="shared" si="29"/>
        <v>-594.142857142857</v>
      </c>
      <c r="M267" s="120"/>
      <c r="N267" s="111">
        <v>50</v>
      </c>
      <c r="O267" s="101"/>
      <c r="P267" s="101">
        <v>0</v>
      </c>
      <c r="Q267" s="102"/>
      <c r="R267" s="56"/>
      <c r="S267" s="56"/>
      <c r="T267" s="56"/>
      <c r="U267" s="56"/>
      <c r="V267" s="56"/>
      <c r="W267" s="56"/>
    </row>
    <row r="268" spans="1:23" ht="15" customHeight="1">
      <c r="A268" s="120"/>
      <c r="B268" s="116"/>
      <c r="C268" s="177">
        <v>12</v>
      </c>
      <c r="D268" s="643">
        <v>85.714285714285708</v>
      </c>
      <c r="E268" s="92">
        <v>68.75</v>
      </c>
      <c r="F268" s="93">
        <v>42.857142857142854</v>
      </c>
      <c r="G268" s="154">
        <f t="shared" si="24"/>
        <v>529.28571428571422</v>
      </c>
      <c r="H268" s="155">
        <f t="shared" si="25"/>
        <v>175</v>
      </c>
      <c r="I268" s="156">
        <f t="shared" si="26"/>
        <v>-101.28571428571416</v>
      </c>
      <c r="J268" s="637">
        <f t="shared" si="27"/>
        <v>2529.2857142857142</v>
      </c>
      <c r="K268" s="155">
        <f t="shared" si="28"/>
        <v>175</v>
      </c>
      <c r="L268" s="638">
        <f t="shared" si="29"/>
        <v>-601.28571428571422</v>
      </c>
      <c r="M268" s="120"/>
      <c r="N268" s="145">
        <v>50</v>
      </c>
      <c r="O268" s="146">
        <v>99</v>
      </c>
      <c r="P268" s="146">
        <v>0</v>
      </c>
      <c r="Q268" s="147">
        <v>2980</v>
      </c>
      <c r="R268" s="65"/>
      <c r="S268" s="65"/>
      <c r="T268" s="65"/>
      <c r="U268" s="65"/>
      <c r="V268" s="65"/>
      <c r="W268" s="65"/>
    </row>
    <row r="269" spans="1:23" ht="15" customHeight="1">
      <c r="A269" s="125"/>
      <c r="B269" s="992" t="s">
        <v>704</v>
      </c>
      <c r="C269" s="173">
        <v>1</v>
      </c>
      <c r="D269" s="639">
        <v>14.285714285714286</v>
      </c>
      <c r="E269" s="165">
        <v>50</v>
      </c>
      <c r="F269" s="640">
        <v>42.857142857142854</v>
      </c>
      <c r="G269" s="166">
        <f t="shared" si="24"/>
        <v>493.5714285714285</v>
      </c>
      <c r="H269" s="167">
        <f t="shared" si="25"/>
        <v>175</v>
      </c>
      <c r="I269" s="169">
        <f t="shared" si="26"/>
        <v>-108.4285714285713</v>
      </c>
      <c r="J269" s="632">
        <f t="shared" si="27"/>
        <v>2493.5714285714284</v>
      </c>
      <c r="K269" s="167">
        <f t="shared" si="28"/>
        <v>175</v>
      </c>
      <c r="L269" s="633">
        <f t="shared" si="29"/>
        <v>-608.42857142857133</v>
      </c>
      <c r="M269" s="125">
        <v>2001</v>
      </c>
      <c r="N269" s="133">
        <v>50</v>
      </c>
      <c r="O269" s="134">
        <v>99</v>
      </c>
      <c r="P269" s="134">
        <v>0</v>
      </c>
      <c r="Q269" s="159">
        <v>2980</v>
      </c>
    </row>
    <row r="270" spans="1:23" ht="15" customHeight="1">
      <c r="A270" s="120"/>
      <c r="B270" s="114"/>
      <c r="C270" s="174">
        <v>2</v>
      </c>
      <c r="D270" s="641">
        <v>28.571428571428573</v>
      </c>
      <c r="E270" s="88">
        <v>37.5</v>
      </c>
      <c r="F270" s="642">
        <v>42.857142857142854</v>
      </c>
      <c r="G270" s="89">
        <f t="shared" si="24"/>
        <v>472.14285714285705</v>
      </c>
      <c r="H270" s="90">
        <f t="shared" si="25"/>
        <v>162.5</v>
      </c>
      <c r="I270" s="97">
        <f t="shared" si="26"/>
        <v>-115.57142857142844</v>
      </c>
      <c r="J270" s="634">
        <f t="shared" si="27"/>
        <v>2472.1428571428569</v>
      </c>
      <c r="K270" s="90">
        <f t="shared" si="28"/>
        <v>162.5</v>
      </c>
      <c r="L270" s="58">
        <f t="shared" si="29"/>
        <v>-615.57142857142844</v>
      </c>
      <c r="M270" s="120"/>
      <c r="N270" s="111">
        <v>50</v>
      </c>
      <c r="O270" s="101">
        <v>99</v>
      </c>
      <c r="P270" s="101">
        <v>0</v>
      </c>
      <c r="Q270" s="112">
        <v>2980</v>
      </c>
      <c r="R270" s="56"/>
      <c r="S270" s="56"/>
      <c r="T270" s="56"/>
      <c r="U270" s="56"/>
      <c r="V270" s="56"/>
      <c r="W270" s="56"/>
    </row>
    <row r="271" spans="1:23" ht="15" customHeight="1">
      <c r="A271" s="120"/>
      <c r="B271" s="114"/>
      <c r="C271" s="174">
        <v>3</v>
      </c>
      <c r="D271" s="641">
        <v>28.571428571428573</v>
      </c>
      <c r="E271" s="88">
        <v>37.5</v>
      </c>
      <c r="F271" s="642">
        <v>42.857142857142854</v>
      </c>
      <c r="G271" s="89">
        <f t="shared" si="24"/>
        <v>450.71428571428561</v>
      </c>
      <c r="H271" s="90">
        <f t="shared" si="25"/>
        <v>150</v>
      </c>
      <c r="I271" s="97">
        <f t="shared" si="26"/>
        <v>-122.71428571428558</v>
      </c>
      <c r="J271" s="634">
        <f t="shared" si="27"/>
        <v>2450.7142857142858</v>
      </c>
      <c r="K271" s="90">
        <f t="shared" si="28"/>
        <v>150</v>
      </c>
      <c r="L271" s="58">
        <f t="shared" si="29"/>
        <v>-622.71428571428555</v>
      </c>
      <c r="M271" s="120"/>
      <c r="N271" s="111">
        <v>50</v>
      </c>
      <c r="O271" s="101">
        <v>99</v>
      </c>
      <c r="P271" s="101">
        <v>0</v>
      </c>
      <c r="Q271" s="112">
        <v>2980</v>
      </c>
      <c r="R271" s="56"/>
      <c r="S271" s="56"/>
      <c r="T271" s="56"/>
      <c r="U271" s="56"/>
      <c r="V271" s="56"/>
      <c r="W271" s="56"/>
    </row>
    <row r="272" spans="1:23" ht="15" customHeight="1">
      <c r="A272" s="120"/>
      <c r="B272" s="114"/>
      <c r="C272" s="174">
        <v>4</v>
      </c>
      <c r="D272" s="641">
        <v>14.285714285714286</v>
      </c>
      <c r="E272" s="88">
        <v>12.5</v>
      </c>
      <c r="F272" s="642">
        <v>28.571428571428573</v>
      </c>
      <c r="G272" s="89">
        <f t="shared" si="24"/>
        <v>414.99999999999989</v>
      </c>
      <c r="H272" s="90">
        <f t="shared" si="25"/>
        <v>112.5</v>
      </c>
      <c r="I272" s="97">
        <f t="shared" si="26"/>
        <v>-144.142857142857</v>
      </c>
      <c r="J272" s="634">
        <f t="shared" si="27"/>
        <v>2415</v>
      </c>
      <c r="K272" s="90">
        <f t="shared" si="28"/>
        <v>112.5</v>
      </c>
      <c r="L272" s="58">
        <f t="shared" si="29"/>
        <v>-644.142857142857</v>
      </c>
      <c r="M272" s="120"/>
      <c r="N272" s="111">
        <v>50</v>
      </c>
      <c r="O272" s="101">
        <v>99</v>
      </c>
      <c r="P272" s="101">
        <v>0</v>
      </c>
      <c r="Q272" s="112">
        <v>2980</v>
      </c>
      <c r="R272" s="56"/>
      <c r="S272" s="56"/>
      <c r="T272" s="56"/>
      <c r="U272" s="56"/>
      <c r="V272" s="56"/>
      <c r="W272" s="56"/>
    </row>
    <row r="273" spans="1:23" ht="15" customHeight="1">
      <c r="A273" s="120"/>
      <c r="B273" s="114"/>
      <c r="C273" s="174">
        <v>5</v>
      </c>
      <c r="D273" s="641">
        <v>14.285714285714286</v>
      </c>
      <c r="E273" s="88">
        <v>25</v>
      </c>
      <c r="F273" s="642">
        <v>57.142857142857146</v>
      </c>
      <c r="G273" s="89">
        <f t="shared" si="24"/>
        <v>379.28571428571416</v>
      </c>
      <c r="H273" s="90">
        <f t="shared" si="25"/>
        <v>87.5</v>
      </c>
      <c r="I273" s="97">
        <f t="shared" si="26"/>
        <v>-136.99999999999986</v>
      </c>
      <c r="J273" s="634">
        <f t="shared" si="27"/>
        <v>2379.2857142857142</v>
      </c>
      <c r="K273" s="90">
        <f t="shared" si="28"/>
        <v>87.5</v>
      </c>
      <c r="L273" s="58">
        <f t="shared" si="29"/>
        <v>-636.99999999999989</v>
      </c>
      <c r="M273" s="120"/>
      <c r="N273" s="111">
        <v>50</v>
      </c>
      <c r="O273" s="101">
        <v>99</v>
      </c>
      <c r="P273" s="101">
        <v>0</v>
      </c>
      <c r="Q273" s="112">
        <v>2980</v>
      </c>
      <c r="R273" s="56"/>
      <c r="S273" s="56"/>
      <c r="T273" s="56"/>
      <c r="U273" s="56"/>
      <c r="V273" s="56"/>
      <c r="W273" s="56"/>
    </row>
    <row r="274" spans="1:23" ht="15" customHeight="1">
      <c r="A274" s="120"/>
      <c r="B274" s="114"/>
      <c r="C274" s="174">
        <v>6</v>
      </c>
      <c r="D274" s="641">
        <v>57.142857142857146</v>
      </c>
      <c r="E274" s="88">
        <v>12.5</v>
      </c>
      <c r="F274" s="642">
        <v>42.857142857142854</v>
      </c>
      <c r="G274" s="89">
        <f t="shared" si="24"/>
        <v>386.42857142857133</v>
      </c>
      <c r="H274" s="90">
        <f t="shared" si="25"/>
        <v>50</v>
      </c>
      <c r="I274" s="97">
        <f t="shared" si="26"/>
        <v>-144.142857142857</v>
      </c>
      <c r="J274" s="634">
        <f t="shared" si="27"/>
        <v>2386.4285714285716</v>
      </c>
      <c r="K274" s="90">
        <f t="shared" si="28"/>
        <v>50</v>
      </c>
      <c r="L274" s="58">
        <f t="shared" si="29"/>
        <v>-644.142857142857</v>
      </c>
      <c r="M274" s="120"/>
      <c r="N274" s="111">
        <v>50</v>
      </c>
      <c r="O274" s="101">
        <v>99</v>
      </c>
      <c r="P274" s="101">
        <v>0</v>
      </c>
      <c r="Q274" s="112">
        <v>2980</v>
      </c>
      <c r="R274" s="56"/>
      <c r="S274" s="56"/>
      <c r="T274" s="56"/>
      <c r="U274" s="56"/>
      <c r="V274" s="56"/>
      <c r="W274" s="56"/>
    </row>
    <row r="275" spans="1:23" ht="15" customHeight="1">
      <c r="A275" s="120"/>
      <c r="B275" s="114"/>
      <c r="C275" s="174">
        <v>7</v>
      </c>
      <c r="D275" s="641">
        <v>57.142857142857146</v>
      </c>
      <c r="E275" s="88">
        <v>12.5</v>
      </c>
      <c r="F275" s="642">
        <v>28.571428571428573</v>
      </c>
      <c r="G275" s="89">
        <f t="shared" si="24"/>
        <v>393.5714285714285</v>
      </c>
      <c r="H275" s="90">
        <f t="shared" si="25"/>
        <v>12.5</v>
      </c>
      <c r="I275" s="97">
        <f t="shared" si="26"/>
        <v>-165.57142857142841</v>
      </c>
      <c r="J275" s="634">
        <f t="shared" si="27"/>
        <v>2393.5714285714284</v>
      </c>
      <c r="K275" s="90">
        <f t="shared" si="28"/>
        <v>12.5</v>
      </c>
      <c r="L275" s="58">
        <f t="shared" si="29"/>
        <v>-665.57142857142844</v>
      </c>
      <c r="M275" s="120"/>
      <c r="N275" s="111">
        <v>50</v>
      </c>
      <c r="O275" s="101">
        <v>99</v>
      </c>
      <c r="P275" s="101">
        <v>0</v>
      </c>
      <c r="Q275" s="112">
        <v>2980</v>
      </c>
      <c r="R275" s="56"/>
      <c r="S275" s="56"/>
      <c r="T275" s="56"/>
      <c r="U275" s="56"/>
      <c r="V275" s="56"/>
      <c r="W275" s="56"/>
    </row>
    <row r="276" spans="1:23" ht="15" customHeight="1">
      <c r="A276" s="120"/>
      <c r="B276" s="114"/>
      <c r="C276" s="174">
        <v>8</v>
      </c>
      <c r="D276" s="641">
        <v>42.857142857142854</v>
      </c>
      <c r="E276" s="88">
        <v>12.5</v>
      </c>
      <c r="F276" s="642">
        <v>14.285714285714286</v>
      </c>
      <c r="G276" s="89">
        <f t="shared" si="24"/>
        <v>386.42857142857133</v>
      </c>
      <c r="H276" s="90">
        <f t="shared" si="25"/>
        <v>-25</v>
      </c>
      <c r="I276" s="97">
        <f t="shared" si="26"/>
        <v>-201.28571428571414</v>
      </c>
      <c r="J276" s="634">
        <f t="shared" si="27"/>
        <v>2386.4285714285716</v>
      </c>
      <c r="K276" s="90">
        <f t="shared" si="28"/>
        <v>-25</v>
      </c>
      <c r="L276" s="58">
        <f t="shared" si="29"/>
        <v>-701.28571428571411</v>
      </c>
      <c r="M276" s="120"/>
      <c r="N276" s="111">
        <v>50</v>
      </c>
      <c r="O276" s="101">
        <v>99</v>
      </c>
      <c r="P276" s="101">
        <v>0</v>
      </c>
      <c r="Q276" s="112">
        <v>2980</v>
      </c>
      <c r="R276" s="56"/>
      <c r="S276" s="56"/>
      <c r="T276" s="56"/>
      <c r="U276" s="56"/>
      <c r="V276" s="56"/>
      <c r="W276" s="56"/>
    </row>
    <row r="277" spans="1:23" ht="15" customHeight="1">
      <c r="A277" s="120"/>
      <c r="B277" s="114"/>
      <c r="C277" s="174">
        <v>9</v>
      </c>
      <c r="D277" s="641">
        <v>42.857142857142854</v>
      </c>
      <c r="E277" s="88">
        <v>12.5</v>
      </c>
      <c r="F277" s="642">
        <v>14.285714285714286</v>
      </c>
      <c r="G277" s="89">
        <f t="shared" si="24"/>
        <v>379.28571428571416</v>
      </c>
      <c r="H277" s="90">
        <f t="shared" si="25"/>
        <v>-62.5</v>
      </c>
      <c r="I277" s="97">
        <f t="shared" si="26"/>
        <v>-236.99999999999986</v>
      </c>
      <c r="J277" s="634">
        <f t="shared" si="27"/>
        <v>2379.2857142857142</v>
      </c>
      <c r="K277" s="90">
        <f t="shared" si="28"/>
        <v>-62.5</v>
      </c>
      <c r="L277" s="58">
        <f t="shared" si="29"/>
        <v>-736.99999999999989</v>
      </c>
      <c r="M277" s="120"/>
      <c r="N277" s="111">
        <v>50</v>
      </c>
      <c r="O277" s="101">
        <v>99</v>
      </c>
      <c r="P277" s="101">
        <v>0</v>
      </c>
      <c r="Q277" s="112">
        <v>2980</v>
      </c>
      <c r="R277" s="56"/>
      <c r="S277" s="56"/>
      <c r="T277" s="56"/>
      <c r="U277" s="56"/>
      <c r="V277" s="56"/>
      <c r="W277" s="56"/>
    </row>
    <row r="278" spans="1:23" ht="15" customHeight="1">
      <c r="A278" s="120"/>
      <c r="B278" s="114"/>
      <c r="C278" s="174">
        <v>10</v>
      </c>
      <c r="D278" s="641">
        <v>42.857142857142854</v>
      </c>
      <c r="E278" s="88">
        <v>0</v>
      </c>
      <c r="F278" s="642">
        <v>7.1428571428571432</v>
      </c>
      <c r="G278" s="89">
        <f t="shared" si="24"/>
        <v>372.142857142857</v>
      </c>
      <c r="H278" s="90">
        <f t="shared" si="25"/>
        <v>-112.5</v>
      </c>
      <c r="I278" s="91">
        <f t="shared" si="26"/>
        <v>-279.85714285714272</v>
      </c>
      <c r="J278" s="634">
        <f t="shared" si="27"/>
        <v>2372.1428571428569</v>
      </c>
      <c r="K278" s="90">
        <f t="shared" si="28"/>
        <v>-112.5</v>
      </c>
      <c r="L278" s="58">
        <f t="shared" si="29"/>
        <v>-779.85714285714266</v>
      </c>
      <c r="M278" s="120"/>
      <c r="N278" s="111">
        <v>50</v>
      </c>
      <c r="O278" s="101">
        <v>99</v>
      </c>
      <c r="P278" s="101">
        <v>0</v>
      </c>
      <c r="Q278" s="112">
        <v>2980</v>
      </c>
      <c r="R278" s="56"/>
      <c r="S278" s="56"/>
      <c r="T278" s="56"/>
      <c r="U278" s="56"/>
      <c r="V278" s="56"/>
      <c r="W278" s="56"/>
    </row>
    <row r="279" spans="1:23" ht="15" customHeight="1">
      <c r="A279" s="120"/>
      <c r="B279" s="114"/>
      <c r="C279" s="174">
        <v>11</v>
      </c>
      <c r="D279" s="641">
        <v>28.571428571428573</v>
      </c>
      <c r="E279" s="88">
        <v>0</v>
      </c>
      <c r="F279" s="642">
        <v>14.285714285714286</v>
      </c>
      <c r="G279" s="89">
        <f t="shared" si="24"/>
        <v>350.71428571428555</v>
      </c>
      <c r="H279" s="90">
        <f t="shared" si="25"/>
        <v>-162.5</v>
      </c>
      <c r="I279" s="91">
        <f t="shared" si="26"/>
        <v>-315.57142857142844</v>
      </c>
      <c r="J279" s="634">
        <f t="shared" si="27"/>
        <v>2350.7142857142853</v>
      </c>
      <c r="K279" s="90">
        <f t="shared" si="28"/>
        <v>-162.5</v>
      </c>
      <c r="L279" s="58">
        <f t="shared" si="29"/>
        <v>-815.57142857142844</v>
      </c>
      <c r="M279" s="120"/>
      <c r="N279" s="111">
        <v>50</v>
      </c>
      <c r="O279" s="101">
        <v>99</v>
      </c>
      <c r="P279" s="101">
        <v>0</v>
      </c>
      <c r="Q279" s="112">
        <v>2980</v>
      </c>
      <c r="R279" s="56"/>
      <c r="S279" s="56"/>
      <c r="T279" s="56"/>
      <c r="U279" s="56"/>
      <c r="V279" s="56"/>
      <c r="W279" s="56"/>
    </row>
    <row r="280" spans="1:23" ht="15" customHeight="1">
      <c r="A280" s="132"/>
      <c r="B280" s="115"/>
      <c r="C280" s="175">
        <v>12</v>
      </c>
      <c r="D280" s="643">
        <v>21.428571428571427</v>
      </c>
      <c r="E280" s="92">
        <v>12.5</v>
      </c>
      <c r="F280" s="93">
        <v>35.714285714285715</v>
      </c>
      <c r="G280" s="94">
        <f t="shared" si="24"/>
        <v>322.142857142857</v>
      </c>
      <c r="H280" s="95">
        <f t="shared" si="25"/>
        <v>-200</v>
      </c>
      <c r="I280" s="96">
        <f t="shared" si="26"/>
        <v>-329.85714285714272</v>
      </c>
      <c r="J280" s="635">
        <f t="shared" si="27"/>
        <v>2322.1428571428569</v>
      </c>
      <c r="K280" s="95">
        <f t="shared" si="28"/>
        <v>-200</v>
      </c>
      <c r="L280" s="636">
        <f t="shared" si="29"/>
        <v>-829.85714285714266</v>
      </c>
      <c r="M280" s="132"/>
      <c r="N280" s="136">
        <v>50</v>
      </c>
      <c r="O280" s="137">
        <v>99</v>
      </c>
      <c r="P280" s="137">
        <v>0</v>
      </c>
      <c r="Q280" s="138">
        <v>2980</v>
      </c>
      <c r="R280" s="65"/>
      <c r="S280" s="65"/>
      <c r="T280" s="65"/>
      <c r="U280" s="65"/>
      <c r="V280" s="65"/>
      <c r="W280" s="65"/>
    </row>
    <row r="281" spans="1:23" ht="15" customHeight="1">
      <c r="A281" s="120"/>
      <c r="B281" s="991" t="s">
        <v>705</v>
      </c>
      <c r="C281" s="176">
        <v>1</v>
      </c>
      <c r="D281" s="639">
        <v>14.285714285714286</v>
      </c>
      <c r="E281" s="165">
        <v>25</v>
      </c>
      <c r="F281" s="640">
        <v>42.857142857142854</v>
      </c>
      <c r="G281" s="85">
        <f t="shared" si="24"/>
        <v>286.42857142857127</v>
      </c>
      <c r="H281" s="86">
        <f t="shared" si="25"/>
        <v>-225</v>
      </c>
      <c r="I281" s="87">
        <f t="shared" si="26"/>
        <v>-336.99999999999989</v>
      </c>
      <c r="J281" s="630">
        <f t="shared" si="27"/>
        <v>2286.4285714285711</v>
      </c>
      <c r="K281" s="86">
        <f t="shared" si="28"/>
        <v>-225</v>
      </c>
      <c r="L281" s="631">
        <f t="shared" si="29"/>
        <v>-836.99999999999989</v>
      </c>
      <c r="M281" s="120">
        <v>2002</v>
      </c>
      <c r="N281" s="111">
        <v>50</v>
      </c>
      <c r="O281" s="101">
        <v>99</v>
      </c>
      <c r="P281" s="101">
        <v>0</v>
      </c>
      <c r="Q281" s="112">
        <v>2980</v>
      </c>
    </row>
    <row r="282" spans="1:23" ht="15" customHeight="1">
      <c r="A282" s="120"/>
      <c r="B282" s="114"/>
      <c r="C282" s="174">
        <v>2</v>
      </c>
      <c r="D282" s="641">
        <v>28.571428571428573</v>
      </c>
      <c r="E282" s="88">
        <v>12.5</v>
      </c>
      <c r="F282" s="642">
        <v>28.571428571428573</v>
      </c>
      <c r="G282" s="89">
        <f t="shared" si="24"/>
        <v>264.99999999999983</v>
      </c>
      <c r="H282" s="90">
        <f t="shared" si="25"/>
        <v>-262.5</v>
      </c>
      <c r="I282" s="91">
        <f t="shared" si="26"/>
        <v>-358.42857142857133</v>
      </c>
      <c r="J282" s="55">
        <f t="shared" si="27"/>
        <v>2265</v>
      </c>
      <c r="K282" s="90">
        <f t="shared" si="28"/>
        <v>-262.5</v>
      </c>
      <c r="L282" s="58">
        <f t="shared" si="29"/>
        <v>-858.42857142857133</v>
      </c>
      <c r="M282" s="120"/>
      <c r="N282" s="111">
        <v>50</v>
      </c>
      <c r="O282" s="101"/>
      <c r="P282" s="101">
        <v>0</v>
      </c>
      <c r="Q282" s="112"/>
      <c r="R282" s="56"/>
      <c r="S282" s="56"/>
      <c r="T282" s="56"/>
      <c r="U282" s="56"/>
      <c r="V282" s="56"/>
      <c r="W282" s="56"/>
    </row>
    <row r="283" spans="1:23" ht="15" customHeight="1">
      <c r="A283" s="120"/>
      <c r="B283" s="114"/>
      <c r="C283" s="174">
        <v>3</v>
      </c>
      <c r="D283" s="641">
        <v>42.857142857142854</v>
      </c>
      <c r="E283" s="88">
        <v>68.75</v>
      </c>
      <c r="F283" s="642">
        <v>57.142857142857146</v>
      </c>
      <c r="G283" s="89">
        <f t="shared" si="24"/>
        <v>257.85714285714266</v>
      </c>
      <c r="H283" s="90">
        <f t="shared" si="25"/>
        <v>-243.75</v>
      </c>
      <c r="I283" s="91">
        <f t="shared" si="26"/>
        <v>-351.28571428571416</v>
      </c>
      <c r="J283" s="55">
        <f t="shared" si="27"/>
        <v>2257.8571428571427</v>
      </c>
      <c r="K283" s="90">
        <f t="shared" si="28"/>
        <v>-243.75</v>
      </c>
      <c r="L283" s="58">
        <f t="shared" si="29"/>
        <v>-851.28571428571422</v>
      </c>
      <c r="M283" s="120"/>
      <c r="N283" s="111">
        <v>50</v>
      </c>
      <c r="O283" s="101"/>
      <c r="P283" s="101">
        <v>0</v>
      </c>
      <c r="Q283" s="112"/>
      <c r="R283" s="56"/>
      <c r="S283" s="56"/>
      <c r="T283" s="56"/>
      <c r="U283" s="56"/>
      <c r="V283" s="56"/>
      <c r="W283" s="56"/>
    </row>
    <row r="284" spans="1:23" ht="15" customHeight="1">
      <c r="A284" s="120"/>
      <c r="B284" s="114"/>
      <c r="C284" s="174">
        <v>4</v>
      </c>
      <c r="D284" s="641">
        <v>50</v>
      </c>
      <c r="E284" s="88">
        <v>62.5</v>
      </c>
      <c r="F284" s="642">
        <v>85.714285714285708</v>
      </c>
      <c r="G284" s="89">
        <f t="shared" si="24"/>
        <v>257.85714285714266</v>
      </c>
      <c r="H284" s="90">
        <f t="shared" si="25"/>
        <v>-231.25</v>
      </c>
      <c r="I284" s="91">
        <f t="shared" si="26"/>
        <v>-315.57142857142844</v>
      </c>
      <c r="J284" s="55">
        <f t="shared" si="27"/>
        <v>2257.8571428571427</v>
      </c>
      <c r="K284" s="90">
        <f t="shared" si="28"/>
        <v>-231.25</v>
      </c>
      <c r="L284" s="58">
        <f t="shared" si="29"/>
        <v>-815.57142857142844</v>
      </c>
      <c r="M284" s="120"/>
      <c r="N284" s="111">
        <v>50</v>
      </c>
      <c r="O284" s="101"/>
      <c r="P284" s="101">
        <v>0</v>
      </c>
      <c r="Q284" s="112"/>
      <c r="R284" s="56"/>
      <c r="S284" s="56"/>
      <c r="T284" s="56"/>
      <c r="U284" s="56"/>
      <c r="V284" s="56"/>
      <c r="W284" s="56"/>
    </row>
    <row r="285" spans="1:23" ht="15" customHeight="1">
      <c r="A285" s="120"/>
      <c r="B285" s="114"/>
      <c r="C285" s="174">
        <v>5</v>
      </c>
      <c r="D285" s="641">
        <v>57.142857142857146</v>
      </c>
      <c r="E285" s="88">
        <v>87.5</v>
      </c>
      <c r="F285" s="642">
        <v>71.428571428571431</v>
      </c>
      <c r="G285" s="89">
        <f t="shared" si="24"/>
        <v>264.99999999999983</v>
      </c>
      <c r="H285" s="90">
        <f t="shared" si="25"/>
        <v>-193.75</v>
      </c>
      <c r="I285" s="91">
        <f t="shared" si="26"/>
        <v>-294.142857142857</v>
      </c>
      <c r="J285" s="55">
        <f t="shared" si="27"/>
        <v>2265</v>
      </c>
      <c r="K285" s="90">
        <f t="shared" si="28"/>
        <v>-193.75</v>
      </c>
      <c r="L285" s="58">
        <f t="shared" si="29"/>
        <v>-794.142857142857</v>
      </c>
      <c r="M285" s="120"/>
      <c r="N285" s="111">
        <v>50</v>
      </c>
      <c r="O285" s="101"/>
      <c r="P285" s="101">
        <v>0</v>
      </c>
      <c r="Q285" s="112"/>
      <c r="R285" s="56"/>
      <c r="S285" s="56"/>
      <c r="T285" s="56"/>
      <c r="U285" s="56"/>
      <c r="V285" s="56"/>
      <c r="W285" s="56"/>
    </row>
    <row r="286" spans="1:23" ht="15" customHeight="1">
      <c r="A286" s="120"/>
      <c r="B286" s="114"/>
      <c r="C286" s="174">
        <v>6</v>
      </c>
      <c r="D286" s="641">
        <v>71.428571428571431</v>
      </c>
      <c r="E286" s="88">
        <v>87.5</v>
      </c>
      <c r="F286" s="642">
        <v>57.142857142857146</v>
      </c>
      <c r="G286" s="89">
        <f t="shared" si="24"/>
        <v>286.42857142857127</v>
      </c>
      <c r="H286" s="90">
        <f t="shared" si="25"/>
        <v>-156.25</v>
      </c>
      <c r="I286" s="91">
        <f t="shared" si="26"/>
        <v>-286.99999999999983</v>
      </c>
      <c r="J286" s="55">
        <f t="shared" si="27"/>
        <v>2286.4285714285711</v>
      </c>
      <c r="K286" s="90">
        <f t="shared" si="28"/>
        <v>-156.25</v>
      </c>
      <c r="L286" s="58">
        <f t="shared" si="29"/>
        <v>-786.99999999999977</v>
      </c>
      <c r="M286" s="120"/>
      <c r="N286" s="111">
        <v>50</v>
      </c>
      <c r="O286" s="101"/>
      <c r="P286" s="101">
        <v>0</v>
      </c>
      <c r="Q286" s="112"/>
      <c r="R286" s="56"/>
      <c r="S286" s="56"/>
      <c r="T286" s="56"/>
      <c r="U286" s="56"/>
      <c r="V286" s="56"/>
      <c r="W286" s="56"/>
    </row>
    <row r="287" spans="1:23" ht="15" customHeight="1">
      <c r="A287" s="120"/>
      <c r="B287" s="114"/>
      <c r="C287" s="174">
        <v>7</v>
      </c>
      <c r="D287" s="641">
        <v>71.428571428571431</v>
      </c>
      <c r="E287" s="88">
        <v>75</v>
      </c>
      <c r="F287" s="642">
        <v>42.857142857142854</v>
      </c>
      <c r="G287" s="89">
        <f t="shared" si="24"/>
        <v>307.85714285714272</v>
      </c>
      <c r="H287" s="90">
        <f t="shared" si="25"/>
        <v>-131.25</v>
      </c>
      <c r="I287" s="91">
        <f t="shared" si="26"/>
        <v>-294.142857142857</v>
      </c>
      <c r="J287" s="55">
        <f t="shared" si="27"/>
        <v>2307.8571428571427</v>
      </c>
      <c r="K287" s="90">
        <f t="shared" si="28"/>
        <v>-131.25</v>
      </c>
      <c r="L287" s="58">
        <f t="shared" si="29"/>
        <v>-794.142857142857</v>
      </c>
      <c r="M287" s="120"/>
      <c r="N287" s="111">
        <v>50</v>
      </c>
      <c r="O287" s="101"/>
      <c r="P287" s="101">
        <v>0</v>
      </c>
      <c r="Q287" s="112"/>
      <c r="R287" s="56"/>
      <c r="S287" s="56"/>
      <c r="T287" s="56"/>
      <c r="U287" s="56"/>
      <c r="V287" s="56"/>
      <c r="W287" s="56"/>
    </row>
    <row r="288" spans="1:23" ht="15" customHeight="1">
      <c r="A288" s="120"/>
      <c r="B288" s="114"/>
      <c r="C288" s="174">
        <v>8</v>
      </c>
      <c r="D288" s="641">
        <v>42.857142857142854</v>
      </c>
      <c r="E288" s="88">
        <v>50</v>
      </c>
      <c r="F288" s="642">
        <v>57.142857142857146</v>
      </c>
      <c r="G288" s="89">
        <f t="shared" si="24"/>
        <v>300.71428571428555</v>
      </c>
      <c r="H288" s="90">
        <f t="shared" si="25"/>
        <v>-131.25</v>
      </c>
      <c r="I288" s="91">
        <f t="shared" si="26"/>
        <v>-286.99999999999983</v>
      </c>
      <c r="J288" s="55">
        <f t="shared" si="27"/>
        <v>2300.7142857142853</v>
      </c>
      <c r="K288" s="90">
        <f t="shared" si="28"/>
        <v>-131.25</v>
      </c>
      <c r="L288" s="58">
        <f t="shared" si="29"/>
        <v>-786.99999999999977</v>
      </c>
      <c r="M288" s="120"/>
      <c r="N288" s="111">
        <v>50</v>
      </c>
      <c r="O288" s="101"/>
      <c r="P288" s="101">
        <v>0</v>
      </c>
      <c r="Q288" s="112"/>
      <c r="R288" s="56"/>
      <c r="S288" s="56"/>
      <c r="T288" s="56"/>
      <c r="U288" s="56"/>
      <c r="V288" s="56"/>
      <c r="W288" s="56"/>
    </row>
    <row r="289" spans="1:23" ht="15" customHeight="1">
      <c r="A289" s="120"/>
      <c r="B289" s="114"/>
      <c r="C289" s="174">
        <v>9</v>
      </c>
      <c r="D289" s="641">
        <v>85.714285714285708</v>
      </c>
      <c r="E289" s="88">
        <v>100</v>
      </c>
      <c r="F289" s="642">
        <v>71.428571428571431</v>
      </c>
      <c r="G289" s="89">
        <f t="shared" si="24"/>
        <v>336.42857142857127</v>
      </c>
      <c r="H289" s="90">
        <f t="shared" si="25"/>
        <v>-81.25</v>
      </c>
      <c r="I289" s="91">
        <f t="shared" si="26"/>
        <v>-265.57142857142838</v>
      </c>
      <c r="J289" s="55">
        <f t="shared" si="27"/>
        <v>2336.4285714285711</v>
      </c>
      <c r="K289" s="90">
        <f t="shared" si="28"/>
        <v>-81.25</v>
      </c>
      <c r="L289" s="58">
        <f t="shared" si="29"/>
        <v>-765.57142857142844</v>
      </c>
      <c r="M289" s="120"/>
      <c r="N289" s="111">
        <v>50</v>
      </c>
      <c r="O289" s="101"/>
      <c r="P289" s="101">
        <v>0</v>
      </c>
      <c r="Q289" s="112"/>
      <c r="R289" s="56"/>
      <c r="S289" s="56"/>
      <c r="T289" s="56"/>
      <c r="U289" s="56"/>
      <c r="V289" s="56"/>
      <c r="W289" s="56"/>
    </row>
    <row r="290" spans="1:23" ht="15" customHeight="1">
      <c r="A290" s="120"/>
      <c r="B290" s="114"/>
      <c r="C290" s="174">
        <v>10</v>
      </c>
      <c r="D290" s="641">
        <v>71.428571428571431</v>
      </c>
      <c r="E290" s="88">
        <v>87.5</v>
      </c>
      <c r="F290" s="642">
        <v>57.142857142857146</v>
      </c>
      <c r="G290" s="89">
        <f t="shared" si="24"/>
        <v>357.85714285714272</v>
      </c>
      <c r="H290" s="90">
        <f t="shared" si="25"/>
        <v>-43.75</v>
      </c>
      <c r="I290" s="91">
        <f t="shared" si="26"/>
        <v>-258.42857142857122</v>
      </c>
      <c r="J290" s="55">
        <f t="shared" si="27"/>
        <v>2357.8571428571427</v>
      </c>
      <c r="K290" s="90">
        <f t="shared" si="28"/>
        <v>-43.75</v>
      </c>
      <c r="L290" s="58">
        <f t="shared" si="29"/>
        <v>-758.42857142857122</v>
      </c>
      <c r="M290" s="120"/>
      <c r="N290" s="111">
        <v>50</v>
      </c>
      <c r="O290" s="101"/>
      <c r="P290" s="101">
        <v>0</v>
      </c>
      <c r="Q290" s="112"/>
      <c r="R290" s="56"/>
      <c r="S290" s="56"/>
      <c r="T290" s="56"/>
      <c r="U290" s="56"/>
      <c r="V290" s="56"/>
      <c r="W290" s="56"/>
    </row>
    <row r="291" spans="1:23" ht="15" customHeight="1">
      <c r="A291" s="120"/>
      <c r="B291" s="114"/>
      <c r="C291" s="174">
        <v>11</v>
      </c>
      <c r="D291" s="641">
        <v>100</v>
      </c>
      <c r="E291" s="88">
        <v>87.5</v>
      </c>
      <c r="F291" s="642">
        <v>78.571428571428569</v>
      </c>
      <c r="G291" s="89">
        <f t="shared" si="24"/>
        <v>407.85714285714272</v>
      </c>
      <c r="H291" s="90">
        <f t="shared" si="25"/>
        <v>-6.25</v>
      </c>
      <c r="I291" s="91">
        <f t="shared" si="26"/>
        <v>-229.85714285714266</v>
      </c>
      <c r="J291" s="55">
        <f t="shared" si="27"/>
        <v>2407.8571428571427</v>
      </c>
      <c r="K291" s="90">
        <f t="shared" si="28"/>
        <v>-6.25</v>
      </c>
      <c r="L291" s="58">
        <f t="shared" si="29"/>
        <v>-729.85714285714266</v>
      </c>
      <c r="M291" s="120"/>
      <c r="N291" s="111">
        <v>50</v>
      </c>
      <c r="O291" s="101"/>
      <c r="P291" s="101">
        <v>0</v>
      </c>
      <c r="Q291" s="112"/>
      <c r="R291" s="56"/>
      <c r="S291" s="56"/>
      <c r="T291" s="56"/>
      <c r="U291" s="56"/>
      <c r="V291" s="56"/>
      <c r="W291" s="56"/>
    </row>
    <row r="292" spans="1:23" ht="15" customHeight="1">
      <c r="A292" s="120"/>
      <c r="B292" s="116"/>
      <c r="C292" s="177">
        <v>12</v>
      </c>
      <c r="D292" s="643">
        <v>71.428571428571431</v>
      </c>
      <c r="E292" s="92">
        <v>87.5</v>
      </c>
      <c r="F292" s="93">
        <v>57.142857142857146</v>
      </c>
      <c r="G292" s="154">
        <f t="shared" si="24"/>
        <v>429.28571428571416</v>
      </c>
      <c r="H292" s="155">
        <f t="shared" si="25"/>
        <v>31.25</v>
      </c>
      <c r="I292" s="157">
        <f t="shared" si="26"/>
        <v>-222.71428571428552</v>
      </c>
      <c r="J292" s="637">
        <f t="shared" si="27"/>
        <v>2429.2857142857142</v>
      </c>
      <c r="K292" s="155">
        <f t="shared" si="28"/>
        <v>31.25</v>
      </c>
      <c r="L292" s="638">
        <f t="shared" si="29"/>
        <v>-722.71428571428555</v>
      </c>
      <c r="M292" s="120"/>
      <c r="N292" s="145">
        <v>50</v>
      </c>
      <c r="O292" s="146"/>
      <c r="P292" s="146">
        <v>0</v>
      </c>
      <c r="Q292" s="147"/>
      <c r="R292" s="65"/>
      <c r="S292" s="65"/>
      <c r="T292" s="65"/>
      <c r="U292" s="65"/>
      <c r="V292" s="65"/>
      <c r="W292" s="65"/>
    </row>
    <row r="293" spans="1:23" ht="15" customHeight="1">
      <c r="A293" s="125"/>
      <c r="B293" s="992" t="s">
        <v>706</v>
      </c>
      <c r="C293" s="173">
        <v>1</v>
      </c>
      <c r="D293" s="639">
        <v>71.428571428571431</v>
      </c>
      <c r="E293" s="165">
        <v>75</v>
      </c>
      <c r="F293" s="640">
        <v>57.142857142857146</v>
      </c>
      <c r="G293" s="166">
        <f t="shared" si="24"/>
        <v>450.71428571428561</v>
      </c>
      <c r="H293" s="167">
        <f t="shared" si="25"/>
        <v>56.25</v>
      </c>
      <c r="I293" s="168">
        <f t="shared" si="26"/>
        <v>-215.57142857142838</v>
      </c>
      <c r="J293" s="632">
        <f t="shared" si="27"/>
        <v>2450.7142857142858</v>
      </c>
      <c r="K293" s="167">
        <f t="shared" si="28"/>
        <v>56.25</v>
      </c>
      <c r="L293" s="633">
        <f t="shared" si="29"/>
        <v>-715.57142857142844</v>
      </c>
      <c r="M293" s="125">
        <v>2003</v>
      </c>
      <c r="N293" s="133">
        <v>50</v>
      </c>
      <c r="O293" s="134"/>
      <c r="P293" s="134">
        <v>0</v>
      </c>
      <c r="Q293" s="159"/>
    </row>
    <row r="294" spans="1:23" ht="15" customHeight="1">
      <c r="A294" s="120"/>
      <c r="B294" s="114"/>
      <c r="C294" s="174">
        <v>2</v>
      </c>
      <c r="D294" s="641">
        <v>14.285714285714286</v>
      </c>
      <c r="E294" s="88">
        <v>37.5</v>
      </c>
      <c r="F294" s="642">
        <v>57.142857142857146</v>
      </c>
      <c r="G294" s="89">
        <f t="shared" si="24"/>
        <v>414.99999999999989</v>
      </c>
      <c r="H294" s="90">
        <f t="shared" si="25"/>
        <v>43.75</v>
      </c>
      <c r="I294" s="91">
        <f t="shared" si="26"/>
        <v>-208.42857142857125</v>
      </c>
      <c r="J294" s="634">
        <f t="shared" si="27"/>
        <v>2415</v>
      </c>
      <c r="K294" s="90">
        <f t="shared" si="28"/>
        <v>43.75</v>
      </c>
      <c r="L294" s="58">
        <f t="shared" si="29"/>
        <v>-708.42857142857122</v>
      </c>
      <c r="M294" s="120"/>
      <c r="N294" s="111">
        <v>50</v>
      </c>
      <c r="O294" s="101"/>
      <c r="P294" s="101">
        <v>0</v>
      </c>
      <c r="Q294" s="112"/>
      <c r="R294" s="56"/>
      <c r="S294" s="56"/>
      <c r="T294" s="56"/>
      <c r="U294" s="56"/>
      <c r="V294" s="56"/>
      <c r="W294" s="56"/>
    </row>
    <row r="295" spans="1:23" ht="15" customHeight="1">
      <c r="A295" s="120"/>
      <c r="B295" s="114"/>
      <c r="C295" s="174">
        <v>3</v>
      </c>
      <c r="D295" s="641">
        <v>14.285714285714286</v>
      </c>
      <c r="E295" s="88">
        <v>75</v>
      </c>
      <c r="F295" s="642">
        <v>57.142857142857146</v>
      </c>
      <c r="G295" s="89">
        <f t="shared" ref="G295:G358" si="30">D295-50+G294</f>
        <v>379.28571428571416</v>
      </c>
      <c r="H295" s="90">
        <f t="shared" ref="H295:H358" si="31">E295-50+H294</f>
        <v>68.75</v>
      </c>
      <c r="I295" s="91">
        <f t="shared" ref="I295:I358" si="32">F295-50+I294</f>
        <v>-201.28571428571411</v>
      </c>
      <c r="J295" s="634">
        <f t="shared" si="27"/>
        <v>2379.2857142857142</v>
      </c>
      <c r="K295" s="90">
        <f t="shared" ref="K295:K358" si="33">IF(E295="",NA,H295)</f>
        <v>68.75</v>
      </c>
      <c r="L295" s="58">
        <f t="shared" si="29"/>
        <v>-701.28571428571411</v>
      </c>
      <c r="M295" s="120"/>
      <c r="N295" s="111">
        <v>50</v>
      </c>
      <c r="O295" s="101"/>
      <c r="P295" s="101">
        <v>0</v>
      </c>
      <c r="Q295" s="112"/>
      <c r="R295" s="56"/>
      <c r="S295" s="56"/>
      <c r="T295" s="56"/>
      <c r="U295" s="56"/>
      <c r="V295" s="56"/>
      <c r="W295" s="56"/>
    </row>
    <row r="296" spans="1:23" ht="15" customHeight="1">
      <c r="A296" s="120"/>
      <c r="B296" s="114"/>
      <c r="C296" s="174">
        <v>4</v>
      </c>
      <c r="D296" s="641">
        <v>0</v>
      </c>
      <c r="E296" s="88">
        <v>25</v>
      </c>
      <c r="F296" s="642">
        <v>42.857142857142854</v>
      </c>
      <c r="G296" s="89">
        <f t="shared" si="30"/>
        <v>329.28571428571416</v>
      </c>
      <c r="H296" s="90">
        <f t="shared" si="31"/>
        <v>43.75</v>
      </c>
      <c r="I296" s="91">
        <f t="shared" si="32"/>
        <v>-208.42857142857125</v>
      </c>
      <c r="J296" s="634">
        <f t="shared" si="27"/>
        <v>2329.2857142857142</v>
      </c>
      <c r="K296" s="90">
        <f t="shared" si="33"/>
        <v>43.75</v>
      </c>
      <c r="L296" s="58">
        <f t="shared" si="29"/>
        <v>-708.42857142857122</v>
      </c>
      <c r="M296" s="120"/>
      <c r="N296" s="111">
        <v>50</v>
      </c>
      <c r="O296" s="101"/>
      <c r="P296" s="101">
        <v>0</v>
      </c>
      <c r="Q296" s="112"/>
      <c r="R296" s="56"/>
      <c r="S296" s="56"/>
      <c r="T296" s="56"/>
      <c r="U296" s="56"/>
      <c r="V296" s="56"/>
      <c r="W296" s="56"/>
    </row>
    <row r="297" spans="1:23" ht="15" customHeight="1">
      <c r="A297" s="120"/>
      <c r="B297" s="114"/>
      <c r="C297" s="174">
        <v>5</v>
      </c>
      <c r="D297" s="641">
        <v>14.285714285714286</v>
      </c>
      <c r="E297" s="88">
        <v>50</v>
      </c>
      <c r="F297" s="642">
        <v>14.285714285714286</v>
      </c>
      <c r="G297" s="89">
        <f t="shared" si="30"/>
        <v>293.57142857142844</v>
      </c>
      <c r="H297" s="90">
        <f t="shared" si="31"/>
        <v>43.75</v>
      </c>
      <c r="I297" s="91">
        <f t="shared" si="32"/>
        <v>-244.14285714285697</v>
      </c>
      <c r="J297" s="634">
        <f t="shared" si="27"/>
        <v>2293.5714285714284</v>
      </c>
      <c r="K297" s="90">
        <f t="shared" si="33"/>
        <v>43.75</v>
      </c>
      <c r="L297" s="58">
        <f t="shared" si="29"/>
        <v>-744.142857142857</v>
      </c>
      <c r="M297" s="120"/>
      <c r="N297" s="111">
        <v>50</v>
      </c>
      <c r="O297" s="101"/>
      <c r="P297" s="101">
        <v>0</v>
      </c>
      <c r="Q297" s="112"/>
      <c r="R297" s="56"/>
      <c r="S297" s="56"/>
      <c r="T297" s="56"/>
      <c r="U297" s="56"/>
      <c r="V297" s="56"/>
      <c r="W297" s="56"/>
    </row>
    <row r="298" spans="1:23" ht="15" customHeight="1">
      <c r="A298" s="120"/>
      <c r="B298" s="114"/>
      <c r="C298" s="174">
        <v>6</v>
      </c>
      <c r="D298" s="641">
        <v>57.142857142857146</v>
      </c>
      <c r="E298" s="88">
        <v>75</v>
      </c>
      <c r="F298" s="642">
        <v>57.142857142857146</v>
      </c>
      <c r="G298" s="89">
        <f t="shared" si="30"/>
        <v>300.71428571428561</v>
      </c>
      <c r="H298" s="90">
        <f t="shared" si="31"/>
        <v>68.75</v>
      </c>
      <c r="I298" s="91">
        <f t="shared" si="32"/>
        <v>-236.99999999999983</v>
      </c>
      <c r="J298" s="634">
        <f t="shared" si="27"/>
        <v>2300.7142857142858</v>
      </c>
      <c r="K298" s="90">
        <f t="shared" si="33"/>
        <v>68.75</v>
      </c>
      <c r="L298" s="58">
        <f t="shared" si="29"/>
        <v>-736.99999999999977</v>
      </c>
      <c r="M298" s="120"/>
      <c r="N298" s="111">
        <v>50</v>
      </c>
      <c r="O298" s="101"/>
      <c r="P298" s="101">
        <v>0</v>
      </c>
      <c r="Q298" s="112"/>
      <c r="R298" s="56"/>
      <c r="S298" s="56"/>
      <c r="T298" s="56"/>
      <c r="U298" s="56"/>
      <c r="V298" s="56"/>
      <c r="W298" s="56"/>
    </row>
    <row r="299" spans="1:23" ht="15" customHeight="1">
      <c r="A299" s="120"/>
      <c r="B299" s="114"/>
      <c r="C299" s="174">
        <v>7</v>
      </c>
      <c r="D299" s="641">
        <v>71.428571428571431</v>
      </c>
      <c r="E299" s="88">
        <v>100</v>
      </c>
      <c r="F299" s="642">
        <v>71.428571428571431</v>
      </c>
      <c r="G299" s="89">
        <f t="shared" si="30"/>
        <v>322.14285714285705</v>
      </c>
      <c r="H299" s="90">
        <f t="shared" si="31"/>
        <v>118.75</v>
      </c>
      <c r="I299" s="91">
        <f t="shared" si="32"/>
        <v>-215.57142857142838</v>
      </c>
      <c r="J299" s="634">
        <f t="shared" si="27"/>
        <v>2322.1428571428569</v>
      </c>
      <c r="K299" s="90">
        <f t="shared" si="33"/>
        <v>118.75</v>
      </c>
      <c r="L299" s="58">
        <f t="shared" si="29"/>
        <v>-715.57142857142844</v>
      </c>
      <c r="M299" s="120"/>
      <c r="N299" s="111">
        <v>50</v>
      </c>
      <c r="O299" s="101"/>
      <c r="P299" s="101">
        <v>0</v>
      </c>
      <c r="Q299" s="112"/>
      <c r="R299" s="56"/>
      <c r="S299" s="56"/>
      <c r="T299" s="56"/>
      <c r="U299" s="56"/>
      <c r="V299" s="56"/>
      <c r="W299" s="56"/>
    </row>
    <row r="300" spans="1:23" ht="15" customHeight="1">
      <c r="A300" s="120"/>
      <c r="B300" s="114"/>
      <c r="C300" s="174">
        <v>8</v>
      </c>
      <c r="D300" s="641">
        <v>57.142857142857146</v>
      </c>
      <c r="E300" s="88">
        <v>50</v>
      </c>
      <c r="F300" s="642">
        <v>42.857142857142854</v>
      </c>
      <c r="G300" s="89">
        <f t="shared" si="30"/>
        <v>329.28571428571422</v>
      </c>
      <c r="H300" s="90">
        <f t="shared" si="31"/>
        <v>118.75</v>
      </c>
      <c r="I300" s="91">
        <f t="shared" si="32"/>
        <v>-222.71428571428552</v>
      </c>
      <c r="J300" s="634">
        <f t="shared" si="27"/>
        <v>2329.2857142857142</v>
      </c>
      <c r="K300" s="90">
        <f t="shared" si="33"/>
        <v>118.75</v>
      </c>
      <c r="L300" s="58">
        <f t="shared" si="29"/>
        <v>-722.71428571428555</v>
      </c>
      <c r="M300" s="120"/>
      <c r="N300" s="111">
        <v>50</v>
      </c>
      <c r="O300" s="101"/>
      <c r="P300" s="101">
        <v>0</v>
      </c>
      <c r="Q300" s="112"/>
      <c r="R300" s="56"/>
      <c r="S300" s="56"/>
      <c r="T300" s="56"/>
      <c r="U300" s="56"/>
      <c r="V300" s="56"/>
      <c r="W300" s="56"/>
    </row>
    <row r="301" spans="1:23" ht="15" customHeight="1">
      <c r="A301" s="120"/>
      <c r="B301" s="114"/>
      <c r="C301" s="174">
        <v>9</v>
      </c>
      <c r="D301" s="641">
        <v>57.142857142857146</v>
      </c>
      <c r="E301" s="88">
        <v>100</v>
      </c>
      <c r="F301" s="642">
        <v>57.142857142857146</v>
      </c>
      <c r="G301" s="89">
        <f t="shared" si="30"/>
        <v>336.42857142857139</v>
      </c>
      <c r="H301" s="90">
        <f t="shared" si="31"/>
        <v>168.75</v>
      </c>
      <c r="I301" s="91">
        <f t="shared" si="32"/>
        <v>-215.57142857142838</v>
      </c>
      <c r="J301" s="634">
        <f t="shared" si="27"/>
        <v>2336.4285714285716</v>
      </c>
      <c r="K301" s="90">
        <f t="shared" si="33"/>
        <v>168.75</v>
      </c>
      <c r="L301" s="58">
        <f t="shared" si="29"/>
        <v>-715.57142857142844</v>
      </c>
      <c r="M301" s="120"/>
      <c r="N301" s="111">
        <v>50</v>
      </c>
      <c r="O301" s="101"/>
      <c r="P301" s="101">
        <v>0</v>
      </c>
      <c r="Q301" s="112"/>
      <c r="R301" s="56"/>
      <c r="S301" s="56"/>
      <c r="T301" s="56"/>
      <c r="U301" s="56"/>
      <c r="V301" s="56"/>
      <c r="W301" s="56"/>
    </row>
    <row r="302" spans="1:23" ht="15" customHeight="1">
      <c r="A302" s="120"/>
      <c r="B302" s="114"/>
      <c r="C302" s="174">
        <v>10</v>
      </c>
      <c r="D302" s="641">
        <v>71.428571428571431</v>
      </c>
      <c r="E302" s="88">
        <v>87.5</v>
      </c>
      <c r="F302" s="642">
        <v>92.857142857142861</v>
      </c>
      <c r="G302" s="89">
        <f t="shared" si="30"/>
        <v>357.85714285714283</v>
      </c>
      <c r="H302" s="90">
        <f t="shared" si="31"/>
        <v>206.25</v>
      </c>
      <c r="I302" s="91">
        <f t="shared" si="32"/>
        <v>-172.71428571428552</v>
      </c>
      <c r="J302" s="634">
        <f t="shared" si="27"/>
        <v>2357.8571428571427</v>
      </c>
      <c r="K302" s="90">
        <f t="shared" si="33"/>
        <v>206.25</v>
      </c>
      <c r="L302" s="58">
        <f t="shared" si="29"/>
        <v>-672.71428571428555</v>
      </c>
      <c r="M302" s="120"/>
      <c r="N302" s="111">
        <v>50</v>
      </c>
      <c r="O302" s="101"/>
      <c r="P302" s="101">
        <v>0</v>
      </c>
      <c r="Q302" s="112"/>
      <c r="R302" s="56"/>
      <c r="S302" s="56"/>
      <c r="T302" s="56"/>
      <c r="U302" s="56"/>
      <c r="V302" s="56"/>
      <c r="W302" s="56"/>
    </row>
    <row r="303" spans="1:23" ht="15" customHeight="1">
      <c r="A303" s="120"/>
      <c r="B303" s="114"/>
      <c r="C303" s="174">
        <v>11</v>
      </c>
      <c r="D303" s="641">
        <v>57.142857142857146</v>
      </c>
      <c r="E303" s="88">
        <v>87.5</v>
      </c>
      <c r="F303" s="642">
        <v>71.428571428571431</v>
      </c>
      <c r="G303" s="89">
        <f t="shared" si="30"/>
        <v>365</v>
      </c>
      <c r="H303" s="90">
        <f t="shared" si="31"/>
        <v>243.75</v>
      </c>
      <c r="I303" s="91">
        <f t="shared" si="32"/>
        <v>-151.28571428571411</v>
      </c>
      <c r="J303" s="634">
        <f t="shared" si="27"/>
        <v>2365</v>
      </c>
      <c r="K303" s="90">
        <f t="shared" si="33"/>
        <v>243.75</v>
      </c>
      <c r="L303" s="58">
        <f t="shared" si="29"/>
        <v>-651.28571428571411</v>
      </c>
      <c r="M303" s="120"/>
      <c r="N303" s="111">
        <v>50</v>
      </c>
      <c r="O303" s="101"/>
      <c r="P303" s="101">
        <v>0</v>
      </c>
      <c r="Q303" s="112"/>
      <c r="R303" s="56"/>
      <c r="S303" s="56"/>
      <c r="T303" s="56"/>
      <c r="U303" s="56"/>
      <c r="V303" s="56"/>
      <c r="W303" s="56"/>
    </row>
    <row r="304" spans="1:23" ht="15" customHeight="1">
      <c r="A304" s="132"/>
      <c r="B304" s="115"/>
      <c r="C304" s="175">
        <v>12</v>
      </c>
      <c r="D304" s="641">
        <v>71.428571428571431</v>
      </c>
      <c r="E304" s="88">
        <v>87.5</v>
      </c>
      <c r="F304" s="642">
        <v>42.857142857142854</v>
      </c>
      <c r="G304" s="89">
        <f t="shared" si="30"/>
        <v>386.42857142857144</v>
      </c>
      <c r="H304" s="90">
        <f t="shared" si="31"/>
        <v>281.25</v>
      </c>
      <c r="I304" s="91">
        <f t="shared" si="32"/>
        <v>-158.42857142857125</v>
      </c>
      <c r="J304" s="634">
        <f t="shared" si="27"/>
        <v>2386.4285714285716</v>
      </c>
      <c r="K304" s="90">
        <f t="shared" si="33"/>
        <v>281.25</v>
      </c>
      <c r="L304" s="58">
        <f t="shared" si="29"/>
        <v>-658.42857142857122</v>
      </c>
      <c r="M304" s="132"/>
      <c r="N304" s="136">
        <v>50</v>
      </c>
      <c r="O304" s="137"/>
      <c r="P304" s="137">
        <v>0</v>
      </c>
      <c r="Q304" s="138"/>
      <c r="R304" s="65"/>
      <c r="S304" s="65"/>
      <c r="T304" s="65"/>
      <c r="U304" s="65"/>
      <c r="V304" s="65"/>
      <c r="W304" s="65"/>
    </row>
    <row r="305" spans="1:23" ht="15" customHeight="1">
      <c r="A305" s="120"/>
      <c r="B305" s="991" t="s">
        <v>707</v>
      </c>
      <c r="C305" s="176">
        <v>1</v>
      </c>
      <c r="D305" s="641">
        <v>57.142857142857146</v>
      </c>
      <c r="E305" s="88">
        <v>75</v>
      </c>
      <c r="F305" s="642">
        <v>57.142857142857146</v>
      </c>
      <c r="G305" s="89">
        <f t="shared" si="30"/>
        <v>393.57142857142861</v>
      </c>
      <c r="H305" s="90">
        <f t="shared" si="31"/>
        <v>306.25</v>
      </c>
      <c r="I305" s="91">
        <f t="shared" si="32"/>
        <v>-151.28571428571411</v>
      </c>
      <c r="J305" s="634">
        <f t="shared" si="27"/>
        <v>2393.5714285714284</v>
      </c>
      <c r="K305" s="90">
        <f t="shared" si="33"/>
        <v>306.25</v>
      </c>
      <c r="L305" s="58">
        <f t="shared" si="29"/>
        <v>-651.28571428571411</v>
      </c>
      <c r="M305" s="120">
        <v>2004</v>
      </c>
      <c r="N305" s="111">
        <v>50</v>
      </c>
      <c r="O305" s="101"/>
      <c r="P305" s="101">
        <v>0</v>
      </c>
      <c r="Q305" s="112"/>
    </row>
    <row r="306" spans="1:23" ht="15" customHeight="1">
      <c r="A306" s="120"/>
      <c r="B306" s="114"/>
      <c r="C306" s="174">
        <v>2</v>
      </c>
      <c r="D306" s="641">
        <v>28.571428571428573</v>
      </c>
      <c r="E306" s="88">
        <v>87.5</v>
      </c>
      <c r="F306" s="642">
        <v>71.428571428571431</v>
      </c>
      <c r="G306" s="89">
        <f t="shared" si="30"/>
        <v>372.14285714285717</v>
      </c>
      <c r="H306" s="90">
        <f t="shared" si="31"/>
        <v>343.75</v>
      </c>
      <c r="I306" s="91">
        <f t="shared" si="32"/>
        <v>-129.85714285714266</v>
      </c>
      <c r="J306" s="634">
        <f t="shared" si="27"/>
        <v>2372.1428571428573</v>
      </c>
      <c r="K306" s="90">
        <f t="shared" si="33"/>
        <v>343.75</v>
      </c>
      <c r="L306" s="58">
        <f t="shared" si="29"/>
        <v>-629.85714285714266</v>
      </c>
      <c r="M306" s="120"/>
      <c r="N306" s="111">
        <v>50</v>
      </c>
      <c r="O306" s="101"/>
      <c r="P306" s="101">
        <v>0</v>
      </c>
      <c r="Q306" s="112"/>
      <c r="R306" s="56"/>
      <c r="S306" s="56"/>
      <c r="T306" s="56"/>
      <c r="U306" s="56"/>
      <c r="V306" s="56"/>
      <c r="W306" s="56"/>
    </row>
    <row r="307" spans="1:23" ht="15" customHeight="1">
      <c r="A307" s="120"/>
      <c r="B307" s="114"/>
      <c r="C307" s="174">
        <v>3</v>
      </c>
      <c r="D307" s="641">
        <v>14.285714285714286</v>
      </c>
      <c r="E307" s="88">
        <v>68.75</v>
      </c>
      <c r="F307" s="642">
        <v>42.857142857142854</v>
      </c>
      <c r="G307" s="89">
        <f t="shared" si="30"/>
        <v>336.42857142857144</v>
      </c>
      <c r="H307" s="90">
        <f t="shared" si="31"/>
        <v>362.5</v>
      </c>
      <c r="I307" s="91">
        <f t="shared" si="32"/>
        <v>-136.9999999999998</v>
      </c>
      <c r="J307" s="634">
        <f t="shared" si="27"/>
        <v>2336.4285714285716</v>
      </c>
      <c r="K307" s="90">
        <f t="shared" si="33"/>
        <v>362.5</v>
      </c>
      <c r="L307" s="58">
        <f t="shared" si="29"/>
        <v>-636.99999999999977</v>
      </c>
      <c r="M307" s="120"/>
      <c r="N307" s="111">
        <v>50</v>
      </c>
      <c r="O307" s="101"/>
      <c r="P307" s="101">
        <v>0</v>
      </c>
      <c r="Q307" s="112"/>
      <c r="R307" s="56"/>
      <c r="S307" s="56"/>
      <c r="T307" s="56"/>
      <c r="U307" s="56"/>
      <c r="V307" s="56"/>
      <c r="W307" s="56"/>
    </row>
    <row r="308" spans="1:23" ht="15" customHeight="1">
      <c r="A308" s="120"/>
      <c r="B308" s="114"/>
      <c r="C308" s="174">
        <v>4</v>
      </c>
      <c r="D308" s="641">
        <v>42.857142857142854</v>
      </c>
      <c r="E308" s="88">
        <v>62.5</v>
      </c>
      <c r="F308" s="642">
        <v>57.142857142857146</v>
      </c>
      <c r="G308" s="89">
        <f t="shared" si="30"/>
        <v>329.28571428571428</v>
      </c>
      <c r="H308" s="90">
        <f t="shared" si="31"/>
        <v>375</v>
      </c>
      <c r="I308" s="91">
        <f t="shared" si="32"/>
        <v>-129.85714285714266</v>
      </c>
      <c r="J308" s="634">
        <f t="shared" si="27"/>
        <v>2329.2857142857142</v>
      </c>
      <c r="K308" s="90">
        <f t="shared" si="33"/>
        <v>375</v>
      </c>
      <c r="L308" s="58">
        <f t="shared" si="29"/>
        <v>-629.85714285714266</v>
      </c>
      <c r="M308" s="120"/>
      <c r="N308" s="111">
        <v>50</v>
      </c>
      <c r="O308" s="101"/>
      <c r="P308" s="101">
        <v>0</v>
      </c>
      <c r="Q308" s="112"/>
      <c r="R308" s="56"/>
      <c r="S308" s="56"/>
      <c r="T308" s="56"/>
      <c r="U308" s="56"/>
      <c r="V308" s="56"/>
      <c r="W308" s="56"/>
    </row>
    <row r="309" spans="1:23" ht="15" customHeight="1">
      <c r="A309" s="120"/>
      <c r="B309" s="114"/>
      <c r="C309" s="174">
        <v>5</v>
      </c>
      <c r="D309" s="641">
        <v>14.285714285714286</v>
      </c>
      <c r="E309" s="88">
        <v>62.5</v>
      </c>
      <c r="F309" s="642">
        <v>71.428571428571431</v>
      </c>
      <c r="G309" s="89">
        <f t="shared" si="30"/>
        <v>293.57142857142856</v>
      </c>
      <c r="H309" s="90">
        <f t="shared" si="31"/>
        <v>387.5</v>
      </c>
      <c r="I309" s="91">
        <f t="shared" si="32"/>
        <v>-108.42857142857123</v>
      </c>
      <c r="J309" s="634">
        <f t="shared" si="27"/>
        <v>2293.5714285714284</v>
      </c>
      <c r="K309" s="90">
        <f t="shared" si="33"/>
        <v>387.5</v>
      </c>
      <c r="L309" s="58">
        <f t="shared" si="29"/>
        <v>-608.42857142857122</v>
      </c>
      <c r="M309" s="120"/>
      <c r="N309" s="111">
        <v>50</v>
      </c>
      <c r="O309" s="101"/>
      <c r="P309" s="101">
        <v>0</v>
      </c>
      <c r="Q309" s="112"/>
      <c r="R309" s="56"/>
      <c r="S309" s="56"/>
      <c r="T309" s="56"/>
      <c r="U309" s="56"/>
      <c r="V309" s="56"/>
      <c r="W309" s="56"/>
    </row>
    <row r="310" spans="1:23" ht="15" customHeight="1">
      <c r="A310" s="120"/>
      <c r="B310" s="114"/>
      <c r="C310" s="174">
        <v>6</v>
      </c>
      <c r="D310" s="641">
        <v>50</v>
      </c>
      <c r="E310" s="88">
        <v>75</v>
      </c>
      <c r="F310" s="642">
        <v>71.428571428571431</v>
      </c>
      <c r="G310" s="89">
        <f t="shared" si="30"/>
        <v>293.57142857142856</v>
      </c>
      <c r="H310" s="90">
        <f t="shared" si="31"/>
        <v>412.5</v>
      </c>
      <c r="I310" s="91">
        <f t="shared" si="32"/>
        <v>-86.999999999999801</v>
      </c>
      <c r="J310" s="634">
        <f t="shared" si="27"/>
        <v>2293.5714285714284</v>
      </c>
      <c r="K310" s="90">
        <f t="shared" si="33"/>
        <v>412.5</v>
      </c>
      <c r="L310" s="58">
        <f t="shared" si="29"/>
        <v>-586.99999999999977</v>
      </c>
      <c r="M310" s="120"/>
      <c r="N310" s="111">
        <v>50</v>
      </c>
      <c r="O310" s="101"/>
      <c r="P310" s="101">
        <v>0</v>
      </c>
      <c r="Q310" s="112"/>
      <c r="R310" s="56"/>
      <c r="S310" s="56"/>
      <c r="T310" s="56"/>
      <c r="U310" s="56"/>
      <c r="V310" s="56"/>
      <c r="W310" s="56"/>
    </row>
    <row r="311" spans="1:23" ht="15" customHeight="1">
      <c r="A311" s="120"/>
      <c r="B311" s="114"/>
      <c r="C311" s="174">
        <v>7</v>
      </c>
      <c r="D311" s="641">
        <v>57.142857142857146</v>
      </c>
      <c r="E311" s="88">
        <v>87.5</v>
      </c>
      <c r="F311" s="642">
        <v>57.142857142857146</v>
      </c>
      <c r="G311" s="89">
        <f t="shared" si="30"/>
        <v>300.71428571428572</v>
      </c>
      <c r="H311" s="90">
        <f t="shared" si="31"/>
        <v>450</v>
      </c>
      <c r="I311" s="91">
        <f t="shared" si="32"/>
        <v>-79.857142857142662</v>
      </c>
      <c r="J311" s="634">
        <f t="shared" si="27"/>
        <v>2300.7142857142858</v>
      </c>
      <c r="K311" s="90">
        <f t="shared" si="33"/>
        <v>450</v>
      </c>
      <c r="L311" s="58">
        <f t="shared" si="29"/>
        <v>-579.85714285714266</v>
      </c>
      <c r="M311" s="120"/>
      <c r="N311" s="111">
        <v>50</v>
      </c>
      <c r="O311" s="101"/>
      <c r="P311" s="101">
        <v>0</v>
      </c>
      <c r="Q311" s="112"/>
      <c r="R311" s="56"/>
      <c r="S311" s="56"/>
      <c r="T311" s="56"/>
      <c r="U311" s="56"/>
      <c r="V311" s="56"/>
      <c r="W311" s="56"/>
    </row>
    <row r="312" spans="1:23" ht="15" customHeight="1">
      <c r="A312" s="120"/>
      <c r="B312" s="114"/>
      <c r="C312" s="174">
        <v>8</v>
      </c>
      <c r="D312" s="641">
        <v>57.142857142857146</v>
      </c>
      <c r="E312" s="88">
        <v>75</v>
      </c>
      <c r="F312" s="642">
        <v>57.142857142857146</v>
      </c>
      <c r="G312" s="89">
        <f t="shared" si="30"/>
        <v>307.85714285714289</v>
      </c>
      <c r="H312" s="90">
        <f t="shared" si="31"/>
        <v>475</v>
      </c>
      <c r="I312" s="91">
        <f t="shared" si="32"/>
        <v>-72.714285714285523</v>
      </c>
      <c r="J312" s="634">
        <f t="shared" si="27"/>
        <v>2307.8571428571431</v>
      </c>
      <c r="K312" s="90">
        <f t="shared" si="33"/>
        <v>475</v>
      </c>
      <c r="L312" s="58">
        <f t="shared" si="29"/>
        <v>-572.71428571428555</v>
      </c>
      <c r="M312" s="120"/>
      <c r="N312" s="111">
        <v>50</v>
      </c>
      <c r="O312" s="101"/>
      <c r="P312" s="101">
        <v>0</v>
      </c>
      <c r="Q312" s="112"/>
      <c r="R312" s="56"/>
      <c r="S312" s="56"/>
      <c r="T312" s="56"/>
      <c r="U312" s="56"/>
      <c r="V312" s="56"/>
      <c r="W312" s="56"/>
    </row>
    <row r="313" spans="1:23" ht="15" customHeight="1">
      <c r="A313" s="120"/>
      <c r="B313" s="114"/>
      <c r="C313" s="174">
        <v>9</v>
      </c>
      <c r="D313" s="641">
        <v>57.142857142857146</v>
      </c>
      <c r="E313" s="88">
        <v>25</v>
      </c>
      <c r="F313" s="642">
        <v>57.142857142857146</v>
      </c>
      <c r="G313" s="89">
        <f t="shared" si="30"/>
        <v>315.00000000000006</v>
      </c>
      <c r="H313" s="90">
        <f t="shared" si="31"/>
        <v>450</v>
      </c>
      <c r="I313" s="91">
        <f t="shared" si="32"/>
        <v>-65.571428571428385</v>
      </c>
      <c r="J313" s="634">
        <f t="shared" si="27"/>
        <v>2315</v>
      </c>
      <c r="K313" s="90">
        <f t="shared" si="33"/>
        <v>450</v>
      </c>
      <c r="L313" s="58">
        <f t="shared" si="29"/>
        <v>-565.57142857142844</v>
      </c>
      <c r="M313" s="120"/>
      <c r="N313" s="111">
        <v>50</v>
      </c>
      <c r="O313" s="101"/>
      <c r="P313" s="101">
        <v>0</v>
      </c>
      <c r="Q313" s="112"/>
      <c r="R313" s="56"/>
      <c r="S313" s="56"/>
      <c r="T313" s="56"/>
      <c r="U313" s="56"/>
      <c r="V313" s="56"/>
      <c r="W313" s="56"/>
    </row>
    <row r="314" spans="1:23" ht="15" customHeight="1">
      <c r="A314" s="120"/>
      <c r="B314" s="114"/>
      <c r="C314" s="174">
        <v>10</v>
      </c>
      <c r="D314" s="641">
        <v>35.714285714285715</v>
      </c>
      <c r="E314" s="88">
        <v>25</v>
      </c>
      <c r="F314" s="642">
        <v>57.142857142857146</v>
      </c>
      <c r="G314" s="89">
        <f t="shared" si="30"/>
        <v>300.71428571428578</v>
      </c>
      <c r="H314" s="90">
        <f t="shared" si="31"/>
        <v>425</v>
      </c>
      <c r="I314" s="91">
        <f t="shared" si="32"/>
        <v>-58.428571428571239</v>
      </c>
      <c r="J314" s="634">
        <f t="shared" si="27"/>
        <v>2300.7142857142858</v>
      </c>
      <c r="K314" s="90">
        <f t="shared" si="33"/>
        <v>425</v>
      </c>
      <c r="L314" s="58">
        <f t="shared" si="29"/>
        <v>-558.42857142857122</v>
      </c>
      <c r="M314" s="120"/>
      <c r="N314" s="111">
        <v>50</v>
      </c>
      <c r="O314" s="101"/>
      <c r="P314" s="101">
        <v>0</v>
      </c>
      <c r="Q314" s="112"/>
      <c r="R314" s="56"/>
      <c r="S314" s="56"/>
      <c r="T314" s="56"/>
      <c r="U314" s="56"/>
      <c r="V314" s="56"/>
      <c r="W314" s="56"/>
    </row>
    <row r="315" spans="1:23" ht="15" customHeight="1">
      <c r="A315" s="120"/>
      <c r="B315" s="114"/>
      <c r="C315" s="174">
        <v>11</v>
      </c>
      <c r="D315" s="641">
        <v>42.857142857142854</v>
      </c>
      <c r="E315" s="88">
        <v>25</v>
      </c>
      <c r="F315" s="642">
        <v>57.142857142857146</v>
      </c>
      <c r="G315" s="89">
        <f t="shared" si="30"/>
        <v>293.57142857142861</v>
      </c>
      <c r="H315" s="90">
        <f t="shared" si="31"/>
        <v>400</v>
      </c>
      <c r="I315" s="91">
        <f t="shared" si="32"/>
        <v>-51.285714285714093</v>
      </c>
      <c r="J315" s="634">
        <f t="shared" si="27"/>
        <v>2293.5714285714284</v>
      </c>
      <c r="K315" s="90">
        <f t="shared" si="33"/>
        <v>400</v>
      </c>
      <c r="L315" s="58">
        <f t="shared" si="29"/>
        <v>-551.28571428571411</v>
      </c>
      <c r="M315" s="120"/>
      <c r="N315" s="111">
        <v>50</v>
      </c>
      <c r="O315" s="101"/>
      <c r="P315" s="101">
        <v>0</v>
      </c>
      <c r="Q315" s="112"/>
      <c r="R315" s="56"/>
      <c r="S315" s="56"/>
      <c r="T315" s="56"/>
      <c r="U315" s="56"/>
      <c r="V315" s="56"/>
      <c r="W315" s="56"/>
    </row>
    <row r="316" spans="1:23" ht="15" customHeight="1">
      <c r="A316" s="120"/>
      <c r="B316" s="116"/>
      <c r="C316" s="177">
        <v>12</v>
      </c>
      <c r="D316" s="641">
        <v>28.571428571428573</v>
      </c>
      <c r="E316" s="88">
        <v>12.5</v>
      </c>
      <c r="F316" s="642">
        <v>42.857142857142854</v>
      </c>
      <c r="G316" s="89">
        <f t="shared" si="30"/>
        <v>272.14285714285717</v>
      </c>
      <c r="H316" s="90">
        <f t="shared" si="31"/>
        <v>362.5</v>
      </c>
      <c r="I316" s="91">
        <f t="shared" si="32"/>
        <v>-58.428571428571239</v>
      </c>
      <c r="J316" s="634">
        <f t="shared" si="27"/>
        <v>2272.1428571428573</v>
      </c>
      <c r="K316" s="90">
        <f t="shared" si="33"/>
        <v>362.5</v>
      </c>
      <c r="L316" s="58">
        <f t="shared" si="29"/>
        <v>-558.42857142857122</v>
      </c>
      <c r="M316" s="120"/>
      <c r="N316" s="145">
        <v>50</v>
      </c>
      <c r="O316" s="146"/>
      <c r="P316" s="146">
        <v>0</v>
      </c>
      <c r="Q316" s="147"/>
      <c r="R316" s="65"/>
      <c r="S316" s="65"/>
      <c r="T316" s="65"/>
      <c r="U316" s="65"/>
      <c r="V316" s="65"/>
      <c r="W316" s="65"/>
    </row>
    <row r="317" spans="1:23" ht="15" customHeight="1">
      <c r="A317" s="125"/>
      <c r="B317" s="992" t="s">
        <v>708</v>
      </c>
      <c r="C317" s="173">
        <v>1</v>
      </c>
      <c r="D317" s="641">
        <v>28.571428571428573</v>
      </c>
      <c r="E317" s="88">
        <v>25</v>
      </c>
      <c r="F317" s="642">
        <v>42.857142857142854</v>
      </c>
      <c r="G317" s="89">
        <f t="shared" si="30"/>
        <v>250.71428571428575</v>
      </c>
      <c r="H317" s="90">
        <f t="shared" si="31"/>
        <v>337.5</v>
      </c>
      <c r="I317" s="91">
        <f t="shared" si="32"/>
        <v>-65.571428571428385</v>
      </c>
      <c r="J317" s="634">
        <f t="shared" si="27"/>
        <v>2250.7142857142858</v>
      </c>
      <c r="K317" s="90">
        <f t="shared" si="33"/>
        <v>337.5</v>
      </c>
      <c r="L317" s="58">
        <f t="shared" si="29"/>
        <v>-565.57142857142844</v>
      </c>
      <c r="M317" s="125">
        <v>2005</v>
      </c>
      <c r="N317" s="133">
        <v>50</v>
      </c>
      <c r="O317" s="134"/>
      <c r="P317" s="134">
        <v>0</v>
      </c>
      <c r="Q317" s="159"/>
    </row>
    <row r="318" spans="1:23" ht="15" customHeight="1">
      <c r="A318" s="120"/>
      <c r="B318" s="114"/>
      <c r="C318" s="174">
        <v>2</v>
      </c>
      <c r="D318" s="641">
        <v>14.285714285714286</v>
      </c>
      <c r="E318" s="88">
        <v>37.5</v>
      </c>
      <c r="F318" s="642">
        <v>28.571428571428573</v>
      </c>
      <c r="G318" s="89">
        <f t="shared" si="30"/>
        <v>215.00000000000003</v>
      </c>
      <c r="H318" s="90">
        <f t="shared" si="31"/>
        <v>325</v>
      </c>
      <c r="I318" s="91">
        <f t="shared" si="32"/>
        <v>-86.999999999999815</v>
      </c>
      <c r="J318" s="634">
        <f t="shared" si="27"/>
        <v>2215</v>
      </c>
      <c r="K318" s="90">
        <f t="shared" si="33"/>
        <v>325</v>
      </c>
      <c r="L318" s="58">
        <f t="shared" si="29"/>
        <v>-586.99999999999977</v>
      </c>
      <c r="M318" s="120"/>
      <c r="N318" s="111">
        <v>50</v>
      </c>
      <c r="O318" s="101"/>
      <c r="P318" s="101">
        <v>0</v>
      </c>
      <c r="Q318" s="112"/>
      <c r="R318" s="56"/>
      <c r="S318" s="56"/>
      <c r="T318" s="56"/>
      <c r="U318" s="56"/>
      <c r="V318" s="56"/>
      <c r="W318" s="56"/>
    </row>
    <row r="319" spans="1:23" ht="15" customHeight="1">
      <c r="A319" s="120"/>
      <c r="B319" s="114"/>
      <c r="C319" s="174">
        <v>3</v>
      </c>
      <c r="D319" s="641">
        <v>42.857142857142854</v>
      </c>
      <c r="E319" s="88">
        <v>50</v>
      </c>
      <c r="F319" s="642">
        <v>57.142857142857146</v>
      </c>
      <c r="G319" s="89">
        <f t="shared" si="30"/>
        <v>207.85714285714289</v>
      </c>
      <c r="H319" s="90">
        <f t="shared" si="31"/>
        <v>325</v>
      </c>
      <c r="I319" s="91">
        <f t="shared" si="32"/>
        <v>-79.857142857142662</v>
      </c>
      <c r="J319" s="634">
        <f t="shared" si="27"/>
        <v>2207.8571428571431</v>
      </c>
      <c r="K319" s="90">
        <f t="shared" si="33"/>
        <v>325</v>
      </c>
      <c r="L319" s="58">
        <f t="shared" si="29"/>
        <v>-579.85714285714266</v>
      </c>
      <c r="M319" s="120"/>
      <c r="N319" s="111">
        <v>50</v>
      </c>
      <c r="O319" s="101"/>
      <c r="P319" s="101">
        <v>0</v>
      </c>
      <c r="Q319" s="112"/>
      <c r="R319" s="56"/>
      <c r="S319" s="56"/>
      <c r="T319" s="56"/>
      <c r="U319" s="56"/>
      <c r="V319" s="56"/>
      <c r="W319" s="56"/>
    </row>
    <row r="320" spans="1:23" ht="15" customHeight="1">
      <c r="A320" s="120"/>
      <c r="B320" s="114"/>
      <c r="C320" s="174">
        <v>4</v>
      </c>
      <c r="D320" s="641">
        <v>28.571428571428573</v>
      </c>
      <c r="E320" s="88">
        <v>37.5</v>
      </c>
      <c r="F320" s="642">
        <v>57.142857142857146</v>
      </c>
      <c r="G320" s="89">
        <f t="shared" si="30"/>
        <v>186.42857142857147</v>
      </c>
      <c r="H320" s="90">
        <f t="shared" si="31"/>
        <v>312.5</v>
      </c>
      <c r="I320" s="91">
        <f t="shared" si="32"/>
        <v>-72.714285714285523</v>
      </c>
      <c r="J320" s="634">
        <f t="shared" si="27"/>
        <v>2186.4285714285716</v>
      </c>
      <c r="K320" s="90">
        <f t="shared" si="33"/>
        <v>312.5</v>
      </c>
      <c r="L320" s="58">
        <f t="shared" si="29"/>
        <v>-572.71428571428555</v>
      </c>
      <c r="M320" s="120"/>
      <c r="N320" s="111">
        <v>50</v>
      </c>
      <c r="O320" s="101"/>
      <c r="P320" s="101">
        <v>0</v>
      </c>
      <c r="Q320" s="112"/>
      <c r="R320" s="56"/>
      <c r="S320" s="56"/>
      <c r="T320" s="56"/>
      <c r="U320" s="56"/>
      <c r="V320" s="56"/>
      <c r="W320" s="56"/>
    </row>
    <row r="321" spans="1:23" ht="15" customHeight="1">
      <c r="A321" s="120"/>
      <c r="B321" s="114"/>
      <c r="C321" s="174">
        <v>5</v>
      </c>
      <c r="D321" s="641">
        <v>71.428571428571431</v>
      </c>
      <c r="E321" s="88">
        <v>37.5</v>
      </c>
      <c r="F321" s="642">
        <v>42.857142857142854</v>
      </c>
      <c r="G321" s="89">
        <f t="shared" si="30"/>
        <v>207.85714285714289</v>
      </c>
      <c r="H321" s="90">
        <f t="shared" si="31"/>
        <v>300</v>
      </c>
      <c r="I321" s="91">
        <f t="shared" si="32"/>
        <v>-79.857142857142662</v>
      </c>
      <c r="J321" s="634">
        <f t="shared" si="27"/>
        <v>2207.8571428571431</v>
      </c>
      <c r="K321" s="90">
        <f t="shared" si="33"/>
        <v>300</v>
      </c>
      <c r="L321" s="58">
        <f t="shared" si="29"/>
        <v>-579.85714285714266</v>
      </c>
      <c r="M321" s="120"/>
      <c r="N321" s="111">
        <v>50</v>
      </c>
      <c r="O321" s="101"/>
      <c r="P321" s="101">
        <v>0</v>
      </c>
      <c r="Q321" s="112"/>
      <c r="R321" s="56"/>
      <c r="S321" s="56"/>
      <c r="T321" s="56"/>
      <c r="U321" s="56"/>
      <c r="V321" s="56"/>
      <c r="W321" s="56"/>
    </row>
    <row r="322" spans="1:23" ht="15" customHeight="1">
      <c r="A322" s="120"/>
      <c r="B322" s="114"/>
      <c r="C322" s="174">
        <v>6</v>
      </c>
      <c r="D322" s="641">
        <v>28.571428571428573</v>
      </c>
      <c r="E322" s="88">
        <v>43.75</v>
      </c>
      <c r="F322" s="642">
        <v>57.142857142857146</v>
      </c>
      <c r="G322" s="89">
        <f t="shared" si="30"/>
        <v>186.42857142857147</v>
      </c>
      <c r="H322" s="90">
        <f t="shared" si="31"/>
        <v>293.75</v>
      </c>
      <c r="I322" s="91">
        <f t="shared" si="32"/>
        <v>-72.714285714285523</v>
      </c>
      <c r="J322" s="634">
        <f t="shared" si="27"/>
        <v>2186.4285714285716</v>
      </c>
      <c r="K322" s="90">
        <f t="shared" si="33"/>
        <v>293.75</v>
      </c>
      <c r="L322" s="58">
        <f t="shared" si="29"/>
        <v>-572.71428571428555</v>
      </c>
      <c r="M322" s="120"/>
      <c r="N322" s="111">
        <v>50</v>
      </c>
      <c r="O322" s="101"/>
      <c r="P322" s="101">
        <v>0</v>
      </c>
      <c r="Q322" s="112"/>
      <c r="R322" s="56"/>
      <c r="S322" s="56"/>
      <c r="T322" s="56"/>
      <c r="U322" s="56"/>
      <c r="V322" s="56"/>
      <c r="W322" s="56"/>
    </row>
    <row r="323" spans="1:23" ht="15" customHeight="1">
      <c r="A323" s="120"/>
      <c r="B323" s="114"/>
      <c r="C323" s="174">
        <v>7</v>
      </c>
      <c r="D323" s="641">
        <v>57.142857142857146</v>
      </c>
      <c r="E323" s="88">
        <v>12.5</v>
      </c>
      <c r="F323" s="642">
        <v>35.714285714285715</v>
      </c>
      <c r="G323" s="89">
        <f t="shared" si="30"/>
        <v>193.57142857142861</v>
      </c>
      <c r="H323" s="90">
        <f t="shared" si="31"/>
        <v>256.25</v>
      </c>
      <c r="I323" s="91">
        <f t="shared" si="32"/>
        <v>-86.999999999999801</v>
      </c>
      <c r="J323" s="634">
        <f t="shared" si="27"/>
        <v>2193.5714285714284</v>
      </c>
      <c r="K323" s="90">
        <f t="shared" si="33"/>
        <v>256.25</v>
      </c>
      <c r="L323" s="58">
        <f t="shared" si="29"/>
        <v>-586.99999999999977</v>
      </c>
      <c r="M323" s="120"/>
      <c r="N323" s="111">
        <v>50</v>
      </c>
      <c r="O323" s="101"/>
      <c r="P323" s="101">
        <v>0</v>
      </c>
      <c r="Q323" s="112"/>
      <c r="R323" s="56"/>
      <c r="S323" s="56"/>
      <c r="T323" s="56"/>
      <c r="U323" s="56"/>
      <c r="V323" s="56"/>
      <c r="W323" s="56"/>
    </row>
    <row r="324" spans="1:23" ht="15" customHeight="1">
      <c r="A324" s="120"/>
      <c r="B324" s="114"/>
      <c r="C324" s="174">
        <v>8</v>
      </c>
      <c r="D324" s="641">
        <v>42.857142857142854</v>
      </c>
      <c r="E324" s="88">
        <v>75</v>
      </c>
      <c r="F324" s="642">
        <v>42.857142857142854</v>
      </c>
      <c r="G324" s="89">
        <f t="shared" si="30"/>
        <v>186.42857142857147</v>
      </c>
      <c r="H324" s="90">
        <f t="shared" si="31"/>
        <v>281.25</v>
      </c>
      <c r="I324" s="91">
        <f t="shared" si="32"/>
        <v>-94.14285714285694</v>
      </c>
      <c r="J324" s="634">
        <f t="shared" si="27"/>
        <v>2186.4285714285716</v>
      </c>
      <c r="K324" s="90">
        <f t="shared" si="33"/>
        <v>281.25</v>
      </c>
      <c r="L324" s="58">
        <f t="shared" si="29"/>
        <v>-594.14285714285688</v>
      </c>
      <c r="M324" s="120"/>
      <c r="N324" s="111">
        <v>50</v>
      </c>
      <c r="O324" s="101"/>
      <c r="P324" s="101">
        <v>0</v>
      </c>
      <c r="Q324" s="112"/>
      <c r="R324" s="56"/>
      <c r="S324" s="56"/>
      <c r="T324" s="56"/>
      <c r="U324" s="56"/>
      <c r="V324" s="56"/>
      <c r="W324" s="56"/>
    </row>
    <row r="325" spans="1:23" ht="15" customHeight="1">
      <c r="A325" s="120"/>
      <c r="B325" s="114"/>
      <c r="C325" s="174">
        <v>9</v>
      </c>
      <c r="D325" s="641">
        <v>71.428571428571431</v>
      </c>
      <c r="E325" s="88">
        <v>50</v>
      </c>
      <c r="F325" s="642">
        <v>42.857142857142854</v>
      </c>
      <c r="G325" s="89">
        <f t="shared" si="30"/>
        <v>207.85714285714289</v>
      </c>
      <c r="H325" s="90">
        <f t="shared" si="31"/>
        <v>281.25</v>
      </c>
      <c r="I325" s="91">
        <f t="shared" si="32"/>
        <v>-101.28571428571408</v>
      </c>
      <c r="J325" s="634">
        <f t="shared" si="27"/>
        <v>2207.8571428571431</v>
      </c>
      <c r="K325" s="90">
        <f t="shared" si="33"/>
        <v>281.25</v>
      </c>
      <c r="L325" s="58">
        <f t="shared" si="29"/>
        <v>-601.28571428571411</v>
      </c>
      <c r="M325" s="120"/>
      <c r="N325" s="111">
        <v>50</v>
      </c>
      <c r="O325" s="101"/>
      <c r="P325" s="101">
        <v>0</v>
      </c>
      <c r="Q325" s="112"/>
      <c r="R325" s="56"/>
      <c r="S325" s="56"/>
      <c r="T325" s="56"/>
      <c r="U325" s="56"/>
      <c r="V325" s="56"/>
      <c r="W325" s="56"/>
    </row>
    <row r="326" spans="1:23" ht="15" customHeight="1">
      <c r="A326" s="120"/>
      <c r="B326" s="114"/>
      <c r="C326" s="174">
        <v>10</v>
      </c>
      <c r="D326" s="641">
        <v>71.428571428571431</v>
      </c>
      <c r="E326" s="88">
        <v>75</v>
      </c>
      <c r="F326" s="642">
        <v>42.857142857142854</v>
      </c>
      <c r="G326" s="89">
        <f t="shared" si="30"/>
        <v>229.28571428571433</v>
      </c>
      <c r="H326" s="90">
        <f t="shared" si="31"/>
        <v>306.25</v>
      </c>
      <c r="I326" s="91">
        <f t="shared" si="32"/>
        <v>-108.42857142857122</v>
      </c>
      <c r="J326" s="634">
        <f t="shared" ref="J326:J389" si="34">IF($D326="",NA,$G326+2000)</f>
        <v>2229.2857142857142</v>
      </c>
      <c r="K326" s="90">
        <f t="shared" si="33"/>
        <v>306.25</v>
      </c>
      <c r="L326" s="58">
        <f t="shared" ref="L326:L389" si="35">IF($F326="",NA,$I326-500)</f>
        <v>-608.42857142857122</v>
      </c>
      <c r="M326" s="120"/>
      <c r="N326" s="111">
        <v>50</v>
      </c>
      <c r="O326" s="101"/>
      <c r="P326" s="101">
        <v>0</v>
      </c>
      <c r="Q326" s="112"/>
      <c r="R326" s="56"/>
      <c r="S326" s="56"/>
      <c r="T326" s="56"/>
      <c r="U326" s="56"/>
      <c r="V326" s="56"/>
      <c r="W326" s="56"/>
    </row>
    <row r="327" spans="1:23" ht="15" customHeight="1">
      <c r="A327" s="120"/>
      <c r="B327" s="114"/>
      <c r="C327" s="174">
        <v>11</v>
      </c>
      <c r="D327" s="641">
        <v>85.714285714285708</v>
      </c>
      <c r="E327" s="88">
        <v>100</v>
      </c>
      <c r="F327" s="642">
        <v>57.142857142857146</v>
      </c>
      <c r="G327" s="89">
        <f t="shared" si="30"/>
        <v>265.00000000000006</v>
      </c>
      <c r="H327" s="90">
        <f t="shared" si="31"/>
        <v>356.25</v>
      </c>
      <c r="I327" s="91">
        <f t="shared" si="32"/>
        <v>-101.28571428571408</v>
      </c>
      <c r="J327" s="634">
        <f t="shared" si="34"/>
        <v>2265</v>
      </c>
      <c r="K327" s="90">
        <f t="shared" si="33"/>
        <v>356.25</v>
      </c>
      <c r="L327" s="58">
        <f t="shared" si="35"/>
        <v>-601.28571428571411</v>
      </c>
      <c r="M327" s="120"/>
      <c r="N327" s="111">
        <v>50</v>
      </c>
      <c r="O327" s="101"/>
      <c r="P327" s="101">
        <v>0</v>
      </c>
      <c r="Q327" s="112"/>
      <c r="R327" s="56"/>
      <c r="S327" s="56"/>
      <c r="T327" s="56"/>
      <c r="U327" s="56"/>
      <c r="V327" s="56"/>
      <c r="W327" s="56"/>
    </row>
    <row r="328" spans="1:23" ht="15" customHeight="1">
      <c r="A328" s="132"/>
      <c r="B328" s="115"/>
      <c r="C328" s="175">
        <v>12</v>
      </c>
      <c r="D328" s="641">
        <v>57.142857142857146</v>
      </c>
      <c r="E328" s="88">
        <v>75</v>
      </c>
      <c r="F328" s="642">
        <v>85.714285714285708</v>
      </c>
      <c r="G328" s="89">
        <f t="shared" si="30"/>
        <v>272.14285714285722</v>
      </c>
      <c r="H328" s="90">
        <f t="shared" si="31"/>
        <v>381.25</v>
      </c>
      <c r="I328" s="91">
        <f t="shared" si="32"/>
        <v>-65.57142857142837</v>
      </c>
      <c r="J328" s="634">
        <f t="shared" si="34"/>
        <v>2272.1428571428573</v>
      </c>
      <c r="K328" s="90">
        <f t="shared" si="33"/>
        <v>381.25</v>
      </c>
      <c r="L328" s="58">
        <f t="shared" si="35"/>
        <v>-565.57142857142833</v>
      </c>
      <c r="M328" s="132"/>
      <c r="N328" s="136">
        <v>50</v>
      </c>
      <c r="O328" s="137"/>
      <c r="P328" s="137">
        <v>0</v>
      </c>
      <c r="Q328" s="138"/>
      <c r="R328" s="65"/>
      <c r="S328" s="65"/>
      <c r="T328" s="65"/>
      <c r="U328" s="65"/>
      <c r="V328" s="65"/>
      <c r="W328" s="65"/>
    </row>
    <row r="329" spans="1:23" ht="15" customHeight="1">
      <c r="A329" s="120"/>
      <c r="B329" s="991" t="s">
        <v>709</v>
      </c>
      <c r="C329" s="176">
        <v>1</v>
      </c>
      <c r="D329" s="641">
        <v>85.714285714285708</v>
      </c>
      <c r="E329" s="88">
        <v>62.5</v>
      </c>
      <c r="F329" s="642">
        <v>57.142857142857146</v>
      </c>
      <c r="G329" s="89">
        <f t="shared" si="30"/>
        <v>307.85714285714295</v>
      </c>
      <c r="H329" s="90">
        <f t="shared" si="31"/>
        <v>393.75</v>
      </c>
      <c r="I329" s="91">
        <f t="shared" si="32"/>
        <v>-58.428571428571225</v>
      </c>
      <c r="J329" s="634">
        <f t="shared" si="34"/>
        <v>2307.8571428571431</v>
      </c>
      <c r="K329" s="90">
        <f t="shared" si="33"/>
        <v>393.75</v>
      </c>
      <c r="L329" s="58">
        <f t="shared" si="35"/>
        <v>-558.42857142857122</v>
      </c>
      <c r="M329" s="120">
        <v>2006</v>
      </c>
      <c r="N329" s="111">
        <v>50</v>
      </c>
      <c r="O329" s="101"/>
      <c r="P329" s="101">
        <v>0</v>
      </c>
      <c r="Q329" s="112"/>
    </row>
    <row r="330" spans="1:23" ht="15" customHeight="1">
      <c r="A330" s="120"/>
      <c r="B330" s="114"/>
      <c r="C330" s="174">
        <v>2</v>
      </c>
      <c r="D330" s="641">
        <v>57.142857142857146</v>
      </c>
      <c r="E330" s="88">
        <v>87.5</v>
      </c>
      <c r="F330" s="642">
        <v>85.714285714285708</v>
      </c>
      <c r="G330" s="89">
        <f t="shared" si="30"/>
        <v>315.00000000000011</v>
      </c>
      <c r="H330" s="90">
        <f t="shared" si="31"/>
        <v>431.25</v>
      </c>
      <c r="I330" s="91">
        <f t="shared" si="32"/>
        <v>-22.714285714285516</v>
      </c>
      <c r="J330" s="634">
        <f t="shared" si="34"/>
        <v>2315</v>
      </c>
      <c r="K330" s="90">
        <f t="shared" si="33"/>
        <v>431.25</v>
      </c>
      <c r="L330" s="58">
        <f t="shared" si="35"/>
        <v>-522.71428571428555</v>
      </c>
      <c r="M330" s="120"/>
      <c r="N330" s="111">
        <v>50</v>
      </c>
      <c r="O330" s="101"/>
      <c r="P330" s="101">
        <v>0</v>
      </c>
      <c r="Q330" s="112"/>
      <c r="R330" s="56"/>
      <c r="S330" s="56"/>
      <c r="T330" s="56"/>
      <c r="U330" s="56"/>
      <c r="V330" s="56"/>
      <c r="W330" s="56"/>
    </row>
    <row r="331" spans="1:23" ht="15" customHeight="1">
      <c r="A331" s="120"/>
      <c r="B331" s="114"/>
      <c r="C331" s="174">
        <v>3</v>
      </c>
      <c r="D331" s="641">
        <v>57.142857142857146</v>
      </c>
      <c r="E331" s="88">
        <v>62.5</v>
      </c>
      <c r="F331" s="642">
        <v>71.428571428571431</v>
      </c>
      <c r="G331" s="89">
        <f t="shared" si="30"/>
        <v>322.14285714285728</v>
      </c>
      <c r="H331" s="90">
        <f t="shared" si="31"/>
        <v>443.75</v>
      </c>
      <c r="I331" s="91">
        <f t="shared" si="32"/>
        <v>-1.2857142857140857</v>
      </c>
      <c r="J331" s="634">
        <f t="shared" si="34"/>
        <v>2322.1428571428573</v>
      </c>
      <c r="K331" s="90">
        <f t="shared" si="33"/>
        <v>443.75</v>
      </c>
      <c r="L331" s="58">
        <f t="shared" si="35"/>
        <v>-501.28571428571411</v>
      </c>
      <c r="M331" s="120"/>
      <c r="N331" s="111">
        <v>50</v>
      </c>
      <c r="O331" s="101"/>
      <c r="P331" s="101">
        <v>0</v>
      </c>
      <c r="Q331" s="112"/>
      <c r="R331" s="56"/>
      <c r="S331" s="56"/>
      <c r="T331" s="56"/>
      <c r="U331" s="56"/>
      <c r="V331" s="56"/>
      <c r="W331" s="56"/>
    </row>
    <row r="332" spans="1:23" ht="15" customHeight="1">
      <c r="A332" s="120"/>
      <c r="B332" s="114"/>
      <c r="C332" s="174">
        <v>4</v>
      </c>
      <c r="D332" s="641">
        <v>57.142857142857146</v>
      </c>
      <c r="E332" s="88">
        <v>87.5</v>
      </c>
      <c r="F332" s="642">
        <v>85.714285714285708</v>
      </c>
      <c r="G332" s="89">
        <f t="shared" si="30"/>
        <v>329.28571428571445</v>
      </c>
      <c r="H332" s="90">
        <f t="shared" si="31"/>
        <v>481.25</v>
      </c>
      <c r="I332" s="91">
        <f t="shared" si="32"/>
        <v>34.428571428571622</v>
      </c>
      <c r="J332" s="634">
        <f t="shared" si="34"/>
        <v>2329.2857142857147</v>
      </c>
      <c r="K332" s="90">
        <f t="shared" si="33"/>
        <v>481.25</v>
      </c>
      <c r="L332" s="58">
        <f t="shared" si="35"/>
        <v>-465.57142857142838</v>
      </c>
      <c r="M332" s="120"/>
      <c r="N332" s="111">
        <v>50</v>
      </c>
      <c r="O332" s="101"/>
      <c r="P332" s="101">
        <v>0</v>
      </c>
      <c r="Q332" s="112"/>
      <c r="R332" s="56"/>
      <c r="S332" s="56"/>
      <c r="T332" s="56"/>
      <c r="U332" s="56"/>
      <c r="V332" s="56"/>
      <c r="W332" s="56"/>
    </row>
    <row r="333" spans="1:23" ht="15" customHeight="1">
      <c r="A333" s="120"/>
      <c r="B333" s="114"/>
      <c r="C333" s="174">
        <v>5</v>
      </c>
      <c r="D333" s="641">
        <v>85.714285714285708</v>
      </c>
      <c r="E333" s="88">
        <v>87.5</v>
      </c>
      <c r="F333" s="642">
        <v>85.714285714285708</v>
      </c>
      <c r="G333" s="89">
        <f t="shared" si="30"/>
        <v>365.00000000000017</v>
      </c>
      <c r="H333" s="90">
        <f t="shared" si="31"/>
        <v>518.75</v>
      </c>
      <c r="I333" s="91">
        <f t="shared" si="32"/>
        <v>70.142857142857338</v>
      </c>
      <c r="J333" s="634">
        <f t="shared" si="34"/>
        <v>2365</v>
      </c>
      <c r="K333" s="90">
        <f t="shared" si="33"/>
        <v>518.75</v>
      </c>
      <c r="L333" s="58">
        <f t="shared" si="35"/>
        <v>-429.85714285714266</v>
      </c>
      <c r="M333" s="120"/>
      <c r="N333" s="111">
        <v>50</v>
      </c>
      <c r="O333" s="101"/>
      <c r="P333" s="101">
        <v>0</v>
      </c>
      <c r="Q333" s="112"/>
      <c r="R333" s="56"/>
      <c r="S333" s="56"/>
      <c r="T333" s="56"/>
      <c r="U333" s="56"/>
      <c r="V333" s="56"/>
      <c r="W333" s="56"/>
    </row>
    <row r="334" spans="1:23" ht="15" customHeight="1">
      <c r="A334" s="120"/>
      <c r="B334" s="114"/>
      <c r="C334" s="174">
        <v>6</v>
      </c>
      <c r="D334" s="641">
        <v>28.571428571428573</v>
      </c>
      <c r="E334" s="88">
        <v>75</v>
      </c>
      <c r="F334" s="642">
        <v>71.428571428571431</v>
      </c>
      <c r="G334" s="89">
        <f t="shared" si="30"/>
        <v>343.57142857142873</v>
      </c>
      <c r="H334" s="90">
        <f t="shared" si="31"/>
        <v>543.75</v>
      </c>
      <c r="I334" s="91">
        <f t="shared" si="32"/>
        <v>91.571428571428768</v>
      </c>
      <c r="J334" s="634">
        <f t="shared" si="34"/>
        <v>2343.5714285714289</v>
      </c>
      <c r="K334" s="90">
        <f t="shared" si="33"/>
        <v>543.75</v>
      </c>
      <c r="L334" s="58">
        <f t="shared" si="35"/>
        <v>-408.42857142857122</v>
      </c>
      <c r="M334" s="120"/>
      <c r="N334" s="111">
        <v>50</v>
      </c>
      <c r="O334" s="101"/>
      <c r="P334" s="101">
        <v>0</v>
      </c>
      <c r="Q334" s="112"/>
      <c r="R334" s="56"/>
      <c r="S334" s="56"/>
      <c r="T334" s="56"/>
      <c r="U334" s="56"/>
      <c r="V334" s="56"/>
      <c r="W334" s="56"/>
    </row>
    <row r="335" spans="1:23" ht="15" customHeight="1">
      <c r="A335" s="120"/>
      <c r="B335" s="114"/>
      <c r="C335" s="174">
        <v>7</v>
      </c>
      <c r="D335" s="641">
        <v>85.714285714285708</v>
      </c>
      <c r="E335" s="88">
        <v>87.5</v>
      </c>
      <c r="F335" s="642">
        <v>64.285714285714292</v>
      </c>
      <c r="G335" s="89">
        <f t="shared" si="30"/>
        <v>379.28571428571445</v>
      </c>
      <c r="H335" s="90">
        <f t="shared" si="31"/>
        <v>581.25</v>
      </c>
      <c r="I335" s="91">
        <f t="shared" si="32"/>
        <v>105.85714285714306</v>
      </c>
      <c r="J335" s="634">
        <f t="shared" si="34"/>
        <v>2379.2857142857147</v>
      </c>
      <c r="K335" s="90">
        <f t="shared" si="33"/>
        <v>581.25</v>
      </c>
      <c r="L335" s="58">
        <f t="shared" si="35"/>
        <v>-394.14285714285694</v>
      </c>
      <c r="M335" s="120"/>
      <c r="N335" s="111">
        <v>50</v>
      </c>
      <c r="O335" s="101"/>
      <c r="P335" s="101">
        <v>0</v>
      </c>
      <c r="Q335" s="112"/>
      <c r="R335" s="56"/>
      <c r="S335" s="56"/>
      <c r="T335" s="56"/>
      <c r="U335" s="56"/>
      <c r="V335" s="56"/>
      <c r="W335" s="56"/>
    </row>
    <row r="336" spans="1:23" ht="15" customHeight="1">
      <c r="A336" s="120"/>
      <c r="B336" s="114"/>
      <c r="C336" s="174">
        <v>8</v>
      </c>
      <c r="D336" s="641">
        <v>57.142857142857146</v>
      </c>
      <c r="E336" s="88">
        <v>87.5</v>
      </c>
      <c r="F336" s="642">
        <v>50</v>
      </c>
      <c r="G336" s="89">
        <f t="shared" si="30"/>
        <v>386.42857142857162</v>
      </c>
      <c r="H336" s="90">
        <f t="shared" si="31"/>
        <v>618.75</v>
      </c>
      <c r="I336" s="91">
        <f t="shared" si="32"/>
        <v>105.85714285714306</v>
      </c>
      <c r="J336" s="634">
        <f t="shared" si="34"/>
        <v>2386.4285714285716</v>
      </c>
      <c r="K336" s="90">
        <f t="shared" si="33"/>
        <v>618.75</v>
      </c>
      <c r="L336" s="58">
        <f t="shared" si="35"/>
        <v>-394.14285714285694</v>
      </c>
      <c r="M336" s="120"/>
      <c r="N336" s="111">
        <v>50</v>
      </c>
      <c r="O336" s="101"/>
      <c r="P336" s="101">
        <v>0</v>
      </c>
      <c r="Q336" s="112"/>
      <c r="R336" s="56"/>
      <c r="S336" s="56"/>
      <c r="T336" s="56"/>
      <c r="U336" s="56"/>
      <c r="V336" s="56"/>
      <c r="W336" s="56"/>
    </row>
    <row r="337" spans="1:23" ht="15" customHeight="1">
      <c r="A337" s="120"/>
      <c r="B337" s="114"/>
      <c r="C337" s="174">
        <v>9</v>
      </c>
      <c r="D337" s="641">
        <v>57.142857142857146</v>
      </c>
      <c r="E337" s="88">
        <v>50</v>
      </c>
      <c r="F337" s="642">
        <v>64.285714285714292</v>
      </c>
      <c r="G337" s="89">
        <f t="shared" si="30"/>
        <v>393.57142857142878</v>
      </c>
      <c r="H337" s="90">
        <f t="shared" si="31"/>
        <v>618.75</v>
      </c>
      <c r="I337" s="91">
        <f t="shared" si="32"/>
        <v>120.14285714285735</v>
      </c>
      <c r="J337" s="634">
        <f t="shared" si="34"/>
        <v>2393.5714285714289</v>
      </c>
      <c r="K337" s="90">
        <f t="shared" si="33"/>
        <v>618.75</v>
      </c>
      <c r="L337" s="58">
        <f t="shared" si="35"/>
        <v>-379.85714285714266</v>
      </c>
      <c r="M337" s="120"/>
      <c r="N337" s="111">
        <v>50</v>
      </c>
      <c r="O337" s="101"/>
      <c r="P337" s="101">
        <v>0</v>
      </c>
      <c r="Q337" s="112"/>
      <c r="R337" s="56"/>
      <c r="S337" s="56"/>
      <c r="T337" s="56"/>
      <c r="U337" s="56"/>
      <c r="V337" s="56"/>
      <c r="W337" s="56"/>
    </row>
    <row r="338" spans="1:23" ht="15" customHeight="1">
      <c r="A338" s="120"/>
      <c r="B338" s="114"/>
      <c r="C338" s="174">
        <v>10</v>
      </c>
      <c r="D338" s="641">
        <v>64.285714285714292</v>
      </c>
      <c r="E338" s="88">
        <v>87.5</v>
      </c>
      <c r="F338" s="642">
        <v>50</v>
      </c>
      <c r="G338" s="89">
        <f t="shared" si="30"/>
        <v>407.85714285714306</v>
      </c>
      <c r="H338" s="90">
        <f t="shared" si="31"/>
        <v>656.25</v>
      </c>
      <c r="I338" s="91">
        <f t="shared" si="32"/>
        <v>120.14285714285735</v>
      </c>
      <c r="J338" s="634">
        <f t="shared" si="34"/>
        <v>2407.8571428571431</v>
      </c>
      <c r="K338" s="90">
        <f t="shared" si="33"/>
        <v>656.25</v>
      </c>
      <c r="L338" s="58">
        <f t="shared" si="35"/>
        <v>-379.85714285714266</v>
      </c>
      <c r="M338" s="120"/>
      <c r="N338" s="111">
        <v>50</v>
      </c>
      <c r="O338" s="101"/>
      <c r="P338" s="101">
        <v>0</v>
      </c>
      <c r="Q338" s="112"/>
      <c r="R338" s="56"/>
      <c r="S338" s="56"/>
      <c r="T338" s="56"/>
      <c r="U338" s="56"/>
      <c r="V338" s="56"/>
      <c r="W338" s="56"/>
    </row>
    <row r="339" spans="1:23" ht="15" customHeight="1">
      <c r="A339" s="120"/>
      <c r="B339" s="114"/>
      <c r="C339" s="174">
        <v>11</v>
      </c>
      <c r="D339" s="641">
        <v>71.428571428571431</v>
      </c>
      <c r="E339" s="88">
        <v>100</v>
      </c>
      <c r="F339" s="642">
        <v>57.142857142857146</v>
      </c>
      <c r="G339" s="89">
        <f t="shared" si="30"/>
        <v>429.2857142857145</v>
      </c>
      <c r="H339" s="90">
        <f t="shared" si="31"/>
        <v>706.25</v>
      </c>
      <c r="I339" s="91">
        <f t="shared" si="32"/>
        <v>127.2857142857145</v>
      </c>
      <c r="J339" s="634">
        <f t="shared" si="34"/>
        <v>2429.2857142857147</v>
      </c>
      <c r="K339" s="90">
        <f t="shared" si="33"/>
        <v>706.25</v>
      </c>
      <c r="L339" s="58">
        <f t="shared" si="35"/>
        <v>-372.7142857142855</v>
      </c>
      <c r="M339" s="120"/>
      <c r="N339" s="111">
        <v>50</v>
      </c>
      <c r="O339" s="101"/>
      <c r="P339" s="101">
        <v>0</v>
      </c>
      <c r="Q339" s="112"/>
      <c r="R339" s="56"/>
      <c r="S339" s="56"/>
      <c r="T339" s="56"/>
      <c r="U339" s="56"/>
      <c r="V339" s="56"/>
      <c r="W339" s="56"/>
    </row>
    <row r="340" spans="1:23" ht="15" customHeight="1">
      <c r="A340" s="120"/>
      <c r="B340" s="116"/>
      <c r="C340" s="177">
        <v>12</v>
      </c>
      <c r="D340" s="641">
        <v>57.142857142857146</v>
      </c>
      <c r="E340" s="88">
        <v>87.5</v>
      </c>
      <c r="F340" s="642">
        <v>71.428571428571431</v>
      </c>
      <c r="G340" s="89">
        <f t="shared" si="30"/>
        <v>436.42857142857167</v>
      </c>
      <c r="H340" s="90">
        <f t="shared" si="31"/>
        <v>743.75</v>
      </c>
      <c r="I340" s="91">
        <f t="shared" si="32"/>
        <v>148.71428571428595</v>
      </c>
      <c r="J340" s="634">
        <f t="shared" si="34"/>
        <v>2436.4285714285716</v>
      </c>
      <c r="K340" s="90">
        <f t="shared" si="33"/>
        <v>743.75</v>
      </c>
      <c r="L340" s="58">
        <f t="shared" si="35"/>
        <v>-351.28571428571405</v>
      </c>
      <c r="M340" s="120"/>
      <c r="N340" s="145">
        <v>50</v>
      </c>
      <c r="O340" s="146"/>
      <c r="P340" s="146">
        <v>0</v>
      </c>
      <c r="Q340" s="147"/>
      <c r="R340" s="65"/>
      <c r="S340" s="65"/>
      <c r="T340" s="65"/>
      <c r="U340" s="65"/>
      <c r="V340" s="65"/>
      <c r="W340" s="65"/>
    </row>
    <row r="341" spans="1:23" ht="15" customHeight="1">
      <c r="A341" s="125"/>
      <c r="B341" s="992" t="s">
        <v>710</v>
      </c>
      <c r="C341" s="173">
        <v>1</v>
      </c>
      <c r="D341" s="641">
        <v>57.142857142857146</v>
      </c>
      <c r="E341" s="88">
        <v>100</v>
      </c>
      <c r="F341" s="642">
        <v>42.857142857142854</v>
      </c>
      <c r="G341" s="89">
        <f t="shared" si="30"/>
        <v>443.57142857142884</v>
      </c>
      <c r="H341" s="90">
        <f t="shared" si="31"/>
        <v>793.75</v>
      </c>
      <c r="I341" s="91">
        <f t="shared" si="32"/>
        <v>141.57142857142881</v>
      </c>
      <c r="J341" s="634">
        <f t="shared" si="34"/>
        <v>2443.5714285714289</v>
      </c>
      <c r="K341" s="90">
        <f t="shared" si="33"/>
        <v>793.75</v>
      </c>
      <c r="L341" s="58">
        <f t="shared" si="35"/>
        <v>-358.42857142857122</v>
      </c>
      <c r="M341" s="125">
        <v>2007</v>
      </c>
      <c r="N341" s="133">
        <v>50</v>
      </c>
      <c r="O341" s="134"/>
      <c r="P341" s="134">
        <v>0</v>
      </c>
      <c r="Q341" s="159"/>
    </row>
    <row r="342" spans="1:23" ht="15" customHeight="1">
      <c r="A342" s="120"/>
      <c r="B342" s="114"/>
      <c r="C342" s="174">
        <v>2</v>
      </c>
      <c r="D342" s="641">
        <v>42.857142857142854</v>
      </c>
      <c r="E342" s="88">
        <v>93.75</v>
      </c>
      <c r="F342" s="642">
        <v>42.857142857142854</v>
      </c>
      <c r="G342" s="89">
        <f t="shared" si="30"/>
        <v>436.42857142857167</v>
      </c>
      <c r="H342" s="90">
        <f t="shared" si="31"/>
        <v>837.5</v>
      </c>
      <c r="I342" s="91">
        <f t="shared" si="32"/>
        <v>134.42857142857167</v>
      </c>
      <c r="J342" s="634">
        <f t="shared" si="34"/>
        <v>2436.4285714285716</v>
      </c>
      <c r="K342" s="90">
        <f t="shared" si="33"/>
        <v>837.5</v>
      </c>
      <c r="L342" s="58">
        <f t="shared" si="35"/>
        <v>-365.57142857142833</v>
      </c>
      <c r="M342" s="120"/>
      <c r="N342" s="111">
        <v>50</v>
      </c>
      <c r="O342" s="101"/>
      <c r="P342" s="101">
        <v>0</v>
      </c>
      <c r="Q342" s="112"/>
      <c r="R342" s="56"/>
      <c r="S342" s="56"/>
      <c r="T342" s="56"/>
      <c r="U342" s="56"/>
      <c r="V342" s="56"/>
      <c r="W342" s="56"/>
    </row>
    <row r="343" spans="1:23" ht="15" customHeight="1">
      <c r="A343" s="120"/>
      <c r="B343" s="114"/>
      <c r="C343" s="174">
        <v>3</v>
      </c>
      <c r="D343" s="641">
        <v>14.285714285714286</v>
      </c>
      <c r="E343" s="88">
        <v>75</v>
      </c>
      <c r="F343" s="642">
        <v>57.142857142857146</v>
      </c>
      <c r="G343" s="89">
        <f t="shared" si="30"/>
        <v>400.71428571428595</v>
      </c>
      <c r="H343" s="90">
        <f t="shared" si="31"/>
        <v>862.5</v>
      </c>
      <c r="I343" s="91">
        <f t="shared" si="32"/>
        <v>141.57142857142881</v>
      </c>
      <c r="J343" s="634">
        <f t="shared" si="34"/>
        <v>2400.7142857142858</v>
      </c>
      <c r="K343" s="90">
        <f t="shared" si="33"/>
        <v>862.5</v>
      </c>
      <c r="L343" s="58">
        <f t="shared" si="35"/>
        <v>-358.42857142857122</v>
      </c>
      <c r="M343" s="120"/>
      <c r="N343" s="111">
        <v>50</v>
      </c>
      <c r="O343" s="101"/>
      <c r="P343" s="101">
        <v>0</v>
      </c>
      <c r="Q343" s="112"/>
      <c r="R343" s="56"/>
      <c r="S343" s="56"/>
      <c r="T343" s="56"/>
      <c r="U343" s="56"/>
      <c r="V343" s="56"/>
      <c r="W343" s="56"/>
    </row>
    <row r="344" spans="1:23" ht="15" customHeight="1">
      <c r="A344" s="120"/>
      <c r="B344" s="114"/>
      <c r="C344" s="174">
        <v>4</v>
      </c>
      <c r="D344" s="641">
        <v>14.285714285714286</v>
      </c>
      <c r="E344" s="88">
        <v>75</v>
      </c>
      <c r="F344" s="642">
        <v>14.285714285714286</v>
      </c>
      <c r="G344" s="89">
        <f t="shared" si="30"/>
        <v>365.00000000000023</v>
      </c>
      <c r="H344" s="90">
        <f t="shared" si="31"/>
        <v>887.5</v>
      </c>
      <c r="I344" s="91">
        <f t="shared" si="32"/>
        <v>105.85714285714309</v>
      </c>
      <c r="J344" s="634">
        <f t="shared" si="34"/>
        <v>2365</v>
      </c>
      <c r="K344" s="90">
        <f t="shared" si="33"/>
        <v>887.5</v>
      </c>
      <c r="L344" s="58">
        <f t="shared" si="35"/>
        <v>-394.14285714285688</v>
      </c>
      <c r="M344" s="120"/>
      <c r="N344" s="111">
        <v>50</v>
      </c>
      <c r="O344" s="101"/>
      <c r="P344" s="101">
        <v>0</v>
      </c>
      <c r="Q344" s="112"/>
      <c r="R344" s="56"/>
      <c r="S344" s="56"/>
      <c r="T344" s="56"/>
      <c r="U344" s="56"/>
      <c r="V344" s="56"/>
      <c r="W344" s="56"/>
    </row>
    <row r="345" spans="1:23" ht="15" customHeight="1">
      <c r="A345" s="120"/>
      <c r="B345" s="114"/>
      <c r="C345" s="174">
        <v>5</v>
      </c>
      <c r="D345" s="641">
        <v>42.857142857142854</v>
      </c>
      <c r="E345" s="88">
        <v>75</v>
      </c>
      <c r="F345" s="642">
        <v>14.285714285714286</v>
      </c>
      <c r="G345" s="89">
        <f t="shared" si="30"/>
        <v>357.85714285714306</v>
      </c>
      <c r="H345" s="90">
        <f t="shared" si="31"/>
        <v>912.5</v>
      </c>
      <c r="I345" s="91">
        <f t="shared" si="32"/>
        <v>70.142857142857366</v>
      </c>
      <c r="J345" s="634">
        <f t="shared" si="34"/>
        <v>2357.8571428571431</v>
      </c>
      <c r="K345" s="90">
        <f t="shared" si="33"/>
        <v>912.5</v>
      </c>
      <c r="L345" s="58">
        <f t="shared" si="35"/>
        <v>-429.85714285714266</v>
      </c>
      <c r="M345" s="120"/>
      <c r="N345" s="111">
        <v>50</v>
      </c>
      <c r="O345" s="101"/>
      <c r="P345" s="101">
        <v>0</v>
      </c>
      <c r="Q345" s="112"/>
      <c r="R345" s="56"/>
      <c r="S345" s="56"/>
      <c r="T345" s="56"/>
      <c r="U345" s="56"/>
      <c r="V345" s="56"/>
      <c r="W345" s="56"/>
    </row>
    <row r="346" spans="1:23" ht="15" customHeight="1">
      <c r="A346" s="120"/>
      <c r="B346" s="114"/>
      <c r="C346" s="174">
        <v>6</v>
      </c>
      <c r="D346" s="641">
        <v>71.428571428571431</v>
      </c>
      <c r="E346" s="88">
        <v>75</v>
      </c>
      <c r="F346" s="642">
        <v>64.285714285714292</v>
      </c>
      <c r="G346" s="89">
        <f t="shared" si="30"/>
        <v>379.2857142857145</v>
      </c>
      <c r="H346" s="90">
        <f t="shared" si="31"/>
        <v>937.5</v>
      </c>
      <c r="I346" s="91">
        <f t="shared" si="32"/>
        <v>84.428571428571658</v>
      </c>
      <c r="J346" s="634">
        <f t="shared" si="34"/>
        <v>2379.2857142857147</v>
      </c>
      <c r="K346" s="90">
        <f t="shared" si="33"/>
        <v>937.5</v>
      </c>
      <c r="L346" s="58">
        <f t="shared" si="35"/>
        <v>-415.57142857142833</v>
      </c>
      <c r="M346" s="120"/>
      <c r="N346" s="111">
        <v>50</v>
      </c>
      <c r="O346" s="101"/>
      <c r="P346" s="101">
        <v>0</v>
      </c>
      <c r="Q346" s="112"/>
      <c r="R346" s="56"/>
      <c r="S346" s="56"/>
      <c r="T346" s="56"/>
      <c r="U346" s="56"/>
      <c r="V346" s="56"/>
      <c r="W346" s="56"/>
    </row>
    <row r="347" spans="1:23" ht="15" customHeight="1">
      <c r="A347" s="120"/>
      <c r="B347" s="114"/>
      <c r="C347" s="174">
        <v>7</v>
      </c>
      <c r="D347" s="641">
        <v>14.285714285714286</v>
      </c>
      <c r="E347" s="88">
        <v>50</v>
      </c>
      <c r="F347" s="642">
        <v>57.142857142857146</v>
      </c>
      <c r="G347" s="89">
        <f t="shared" si="30"/>
        <v>343.57142857142878</v>
      </c>
      <c r="H347" s="90">
        <f t="shared" si="31"/>
        <v>937.5</v>
      </c>
      <c r="I347" s="91">
        <f t="shared" si="32"/>
        <v>91.571428571428811</v>
      </c>
      <c r="J347" s="634">
        <f t="shared" si="34"/>
        <v>2343.5714285714289</v>
      </c>
      <c r="K347" s="90">
        <f t="shared" si="33"/>
        <v>937.5</v>
      </c>
      <c r="L347" s="58">
        <f t="shared" si="35"/>
        <v>-408.42857142857122</v>
      </c>
      <c r="M347" s="120"/>
      <c r="N347" s="111">
        <v>50</v>
      </c>
      <c r="O347" s="101"/>
      <c r="P347" s="101">
        <v>0</v>
      </c>
      <c r="Q347" s="112"/>
      <c r="R347" s="56"/>
      <c r="S347" s="56"/>
      <c r="T347" s="56"/>
      <c r="U347" s="56"/>
      <c r="V347" s="56"/>
      <c r="W347" s="56"/>
    </row>
    <row r="348" spans="1:23" ht="15" customHeight="1">
      <c r="A348" s="120"/>
      <c r="B348" s="114"/>
      <c r="C348" s="174">
        <v>8</v>
      </c>
      <c r="D348" s="641">
        <v>35.714285714285715</v>
      </c>
      <c r="E348" s="88">
        <v>62.5</v>
      </c>
      <c r="F348" s="642">
        <v>57.142857142857146</v>
      </c>
      <c r="G348" s="89">
        <f t="shared" si="30"/>
        <v>329.2857142857145</v>
      </c>
      <c r="H348" s="90">
        <f t="shared" si="31"/>
        <v>950</v>
      </c>
      <c r="I348" s="91">
        <f t="shared" si="32"/>
        <v>98.71428571428595</v>
      </c>
      <c r="J348" s="634">
        <f t="shared" si="34"/>
        <v>2329.2857142857147</v>
      </c>
      <c r="K348" s="90">
        <f t="shared" si="33"/>
        <v>950</v>
      </c>
      <c r="L348" s="58">
        <f t="shared" si="35"/>
        <v>-401.28571428571405</v>
      </c>
      <c r="M348" s="120"/>
      <c r="N348" s="111">
        <v>50</v>
      </c>
      <c r="O348" s="101"/>
      <c r="P348" s="101">
        <v>0</v>
      </c>
      <c r="Q348" s="112"/>
      <c r="R348" s="56"/>
      <c r="S348" s="56"/>
      <c r="T348" s="56"/>
      <c r="U348" s="56"/>
      <c r="V348" s="56"/>
      <c r="W348" s="56"/>
    </row>
    <row r="349" spans="1:23" ht="15" customHeight="1">
      <c r="A349" s="120"/>
      <c r="B349" s="114"/>
      <c r="C349" s="174">
        <v>9</v>
      </c>
      <c r="D349" s="641">
        <v>14.285714285714286</v>
      </c>
      <c r="E349" s="88">
        <v>62.5</v>
      </c>
      <c r="F349" s="642">
        <v>71.428571428571431</v>
      </c>
      <c r="G349" s="89">
        <f t="shared" si="30"/>
        <v>293.57142857142878</v>
      </c>
      <c r="H349" s="90">
        <f t="shared" si="31"/>
        <v>962.5</v>
      </c>
      <c r="I349" s="91">
        <f t="shared" si="32"/>
        <v>120.14285714285738</v>
      </c>
      <c r="J349" s="634">
        <f t="shared" si="34"/>
        <v>2293.5714285714289</v>
      </c>
      <c r="K349" s="90">
        <f t="shared" si="33"/>
        <v>962.5</v>
      </c>
      <c r="L349" s="58">
        <f t="shared" si="35"/>
        <v>-379.85714285714261</v>
      </c>
      <c r="M349" s="120"/>
      <c r="N349" s="111">
        <v>50</v>
      </c>
      <c r="O349" s="101"/>
      <c r="P349" s="101">
        <v>0</v>
      </c>
      <c r="Q349" s="112"/>
      <c r="R349" s="56"/>
      <c r="S349" s="56"/>
      <c r="T349" s="56"/>
      <c r="U349" s="56"/>
      <c r="V349" s="56"/>
      <c r="W349" s="56"/>
    </row>
    <row r="350" spans="1:23" ht="15" customHeight="1">
      <c r="A350" s="120"/>
      <c r="B350" s="114"/>
      <c r="C350" s="174">
        <v>10</v>
      </c>
      <c r="D350" s="641">
        <v>42.857142857142854</v>
      </c>
      <c r="E350" s="88">
        <v>62.5</v>
      </c>
      <c r="F350" s="642">
        <v>57.142857142857146</v>
      </c>
      <c r="G350" s="89">
        <f t="shared" si="30"/>
        <v>286.42857142857162</v>
      </c>
      <c r="H350" s="90">
        <f t="shared" si="31"/>
        <v>975</v>
      </c>
      <c r="I350" s="91">
        <f t="shared" si="32"/>
        <v>127.28571428571453</v>
      </c>
      <c r="J350" s="634">
        <f t="shared" si="34"/>
        <v>2286.4285714285716</v>
      </c>
      <c r="K350" s="90">
        <f t="shared" si="33"/>
        <v>975</v>
      </c>
      <c r="L350" s="58">
        <f t="shared" si="35"/>
        <v>-372.71428571428544</v>
      </c>
      <c r="M350" s="120"/>
      <c r="N350" s="111">
        <v>50</v>
      </c>
      <c r="O350" s="101">
        <v>99</v>
      </c>
      <c r="P350" s="101">
        <v>0</v>
      </c>
      <c r="Q350" s="112">
        <v>2980</v>
      </c>
      <c r="R350" s="56"/>
      <c r="S350" s="56"/>
      <c r="T350" s="56"/>
      <c r="U350" s="56"/>
      <c r="V350" s="56"/>
      <c r="W350" s="56"/>
    </row>
    <row r="351" spans="1:23" ht="15" customHeight="1">
      <c r="A351" s="120"/>
      <c r="B351" s="114"/>
      <c r="C351" s="174">
        <v>11</v>
      </c>
      <c r="D351" s="641">
        <v>28.571428571428573</v>
      </c>
      <c r="E351" s="88">
        <v>50</v>
      </c>
      <c r="F351" s="642">
        <v>57.142857142857146</v>
      </c>
      <c r="G351" s="89">
        <f t="shared" si="30"/>
        <v>265.00000000000017</v>
      </c>
      <c r="H351" s="90">
        <f t="shared" si="31"/>
        <v>975</v>
      </c>
      <c r="I351" s="91">
        <f t="shared" si="32"/>
        <v>134.42857142857167</v>
      </c>
      <c r="J351" s="634">
        <f t="shared" si="34"/>
        <v>2265</v>
      </c>
      <c r="K351" s="90">
        <f t="shared" si="33"/>
        <v>975</v>
      </c>
      <c r="L351" s="58">
        <f t="shared" si="35"/>
        <v>-365.57142857142833</v>
      </c>
      <c r="M351" s="120"/>
      <c r="N351" s="111">
        <v>50</v>
      </c>
      <c r="O351" s="101">
        <v>99</v>
      </c>
      <c r="P351" s="101">
        <v>0</v>
      </c>
      <c r="Q351" s="112">
        <v>2980</v>
      </c>
      <c r="R351" s="56"/>
      <c r="S351" s="56"/>
      <c r="T351" s="56"/>
      <c r="U351" s="56"/>
      <c r="V351" s="56"/>
      <c r="W351" s="56"/>
    </row>
    <row r="352" spans="1:23" ht="15" customHeight="1">
      <c r="A352" s="132"/>
      <c r="B352" s="115"/>
      <c r="C352" s="175">
        <v>12</v>
      </c>
      <c r="D352" s="641">
        <v>71.428571428571431</v>
      </c>
      <c r="E352" s="88">
        <v>50</v>
      </c>
      <c r="F352" s="642">
        <v>57.142857142857146</v>
      </c>
      <c r="G352" s="89">
        <f t="shared" si="30"/>
        <v>286.42857142857162</v>
      </c>
      <c r="H352" s="90">
        <f t="shared" si="31"/>
        <v>975</v>
      </c>
      <c r="I352" s="91">
        <f t="shared" si="32"/>
        <v>141.57142857142881</v>
      </c>
      <c r="J352" s="634">
        <f t="shared" si="34"/>
        <v>2286.4285714285716</v>
      </c>
      <c r="K352" s="90">
        <f t="shared" si="33"/>
        <v>975</v>
      </c>
      <c r="L352" s="58">
        <f t="shared" si="35"/>
        <v>-358.42857142857122</v>
      </c>
      <c r="M352" s="132"/>
      <c r="N352" s="136">
        <v>50</v>
      </c>
      <c r="O352" s="137">
        <v>99</v>
      </c>
      <c r="P352" s="137">
        <v>0</v>
      </c>
      <c r="Q352" s="138">
        <v>2980</v>
      </c>
      <c r="R352" s="65"/>
      <c r="S352" s="65"/>
      <c r="T352" s="65"/>
      <c r="U352" s="65"/>
      <c r="V352" s="65"/>
      <c r="W352" s="65"/>
    </row>
    <row r="353" spans="1:23" ht="15" customHeight="1">
      <c r="A353" s="120"/>
      <c r="B353" s="991" t="s">
        <v>711</v>
      </c>
      <c r="C353" s="176">
        <f>IF(初期登録!$B$10*12+初期登録!$D$10&lt;$A353,"",1)</f>
        <v>1</v>
      </c>
      <c r="D353" s="641">
        <v>21.428571428571427</v>
      </c>
      <c r="E353" s="88">
        <v>37.5</v>
      </c>
      <c r="F353" s="642">
        <v>42.857142857142854</v>
      </c>
      <c r="G353" s="89">
        <f t="shared" si="30"/>
        <v>257.85714285714306</v>
      </c>
      <c r="H353" s="90">
        <f t="shared" si="31"/>
        <v>962.5</v>
      </c>
      <c r="I353" s="91">
        <f t="shared" si="32"/>
        <v>134.42857142857167</v>
      </c>
      <c r="J353" s="634">
        <f t="shared" si="34"/>
        <v>2257.8571428571431</v>
      </c>
      <c r="K353" s="90">
        <f t="shared" si="33"/>
        <v>962.5</v>
      </c>
      <c r="L353" s="58">
        <f t="shared" si="35"/>
        <v>-365.57142857142833</v>
      </c>
      <c r="M353" s="120">
        <v>2008</v>
      </c>
      <c r="N353" s="111">
        <v>50</v>
      </c>
      <c r="O353" s="101">
        <v>99</v>
      </c>
      <c r="P353" s="101">
        <v>0</v>
      </c>
      <c r="Q353" s="112">
        <v>2980</v>
      </c>
    </row>
    <row r="354" spans="1:23" ht="15" customHeight="1">
      <c r="A354" s="120"/>
      <c r="B354" s="114"/>
      <c r="C354" s="174">
        <f>IF(初期登録!$B$10*12+初期登録!$D$10&lt;$A354,"",2)</f>
        <v>2</v>
      </c>
      <c r="D354" s="641">
        <v>42.857142857142854</v>
      </c>
      <c r="E354" s="88">
        <v>37.5</v>
      </c>
      <c r="F354" s="642">
        <v>71.428571428571431</v>
      </c>
      <c r="G354" s="89">
        <f t="shared" si="30"/>
        <v>250.71428571428592</v>
      </c>
      <c r="H354" s="90">
        <f t="shared" si="31"/>
        <v>950</v>
      </c>
      <c r="I354" s="91">
        <f t="shared" si="32"/>
        <v>155.85714285714312</v>
      </c>
      <c r="J354" s="634">
        <f t="shared" si="34"/>
        <v>2250.7142857142858</v>
      </c>
      <c r="K354" s="90">
        <f t="shared" si="33"/>
        <v>950</v>
      </c>
      <c r="L354" s="58">
        <f t="shared" si="35"/>
        <v>-344.14285714285688</v>
      </c>
      <c r="M354" s="120"/>
      <c r="N354" s="111">
        <v>50</v>
      </c>
      <c r="O354" s="101">
        <v>99</v>
      </c>
      <c r="P354" s="101">
        <v>0</v>
      </c>
      <c r="Q354" s="112">
        <v>2980</v>
      </c>
      <c r="R354" s="56"/>
      <c r="S354" s="56"/>
      <c r="T354" s="56"/>
      <c r="U354" s="56"/>
      <c r="V354" s="56"/>
      <c r="W354" s="56"/>
    </row>
    <row r="355" spans="1:23" ht="15" customHeight="1">
      <c r="A355" s="120"/>
      <c r="B355" s="114"/>
      <c r="C355" s="174">
        <f>IF(初期登録!$B$10*12+初期登録!$D$10&lt;$A355,"",3)</f>
        <v>3</v>
      </c>
      <c r="D355" s="641">
        <v>42.857142857142854</v>
      </c>
      <c r="E355" s="88">
        <v>25</v>
      </c>
      <c r="F355" s="642">
        <v>57.142857142857146</v>
      </c>
      <c r="G355" s="89">
        <f t="shared" si="30"/>
        <v>243.57142857142878</v>
      </c>
      <c r="H355" s="90">
        <f t="shared" si="31"/>
        <v>925</v>
      </c>
      <c r="I355" s="91">
        <f t="shared" si="32"/>
        <v>163.00000000000026</v>
      </c>
      <c r="J355" s="634">
        <f t="shared" si="34"/>
        <v>2243.5714285714289</v>
      </c>
      <c r="K355" s="90">
        <f t="shared" si="33"/>
        <v>925</v>
      </c>
      <c r="L355" s="58">
        <f t="shared" si="35"/>
        <v>-336.99999999999977</v>
      </c>
      <c r="M355" s="120"/>
      <c r="N355" s="111">
        <v>50</v>
      </c>
      <c r="O355" s="101">
        <v>99</v>
      </c>
      <c r="P355" s="101">
        <v>0</v>
      </c>
      <c r="Q355" s="112">
        <v>2980</v>
      </c>
      <c r="R355" s="56"/>
      <c r="S355" s="56"/>
      <c r="T355" s="56"/>
      <c r="U355" s="56"/>
      <c r="V355" s="56"/>
      <c r="W355" s="56"/>
    </row>
    <row r="356" spans="1:23" ht="15" customHeight="1">
      <c r="A356" s="120"/>
      <c r="B356" s="114"/>
      <c r="C356" s="174">
        <f>IF(初期登録!$B$10*12+初期登録!$D$10&lt;$A356,"",4)</f>
        <v>4</v>
      </c>
      <c r="D356" s="641">
        <v>42.857142857142854</v>
      </c>
      <c r="E356" s="88">
        <v>37.5</v>
      </c>
      <c r="F356" s="642">
        <v>42.857142857142854</v>
      </c>
      <c r="G356" s="89">
        <f t="shared" si="30"/>
        <v>236.42857142857164</v>
      </c>
      <c r="H356" s="90">
        <f t="shared" si="31"/>
        <v>912.5</v>
      </c>
      <c r="I356" s="91">
        <f t="shared" si="32"/>
        <v>155.85714285714312</v>
      </c>
      <c r="J356" s="634">
        <f t="shared" si="34"/>
        <v>2236.4285714285716</v>
      </c>
      <c r="K356" s="90">
        <f t="shared" si="33"/>
        <v>912.5</v>
      </c>
      <c r="L356" s="58">
        <f t="shared" si="35"/>
        <v>-344.14285714285688</v>
      </c>
      <c r="M356" s="120"/>
      <c r="N356" s="111">
        <v>50</v>
      </c>
      <c r="O356" s="101">
        <v>99</v>
      </c>
      <c r="P356" s="101">
        <v>0</v>
      </c>
      <c r="Q356" s="112">
        <v>2980</v>
      </c>
    </row>
    <row r="357" spans="1:23" ht="15" customHeight="1">
      <c r="A357" s="120"/>
      <c r="B357" s="114"/>
      <c r="C357" s="174">
        <f>IF(初期登録!$B$10*12+初期登録!$D$10&lt;$A357,"",5)</f>
        <v>5</v>
      </c>
      <c r="D357" s="641">
        <v>14.285714285714286</v>
      </c>
      <c r="E357" s="88">
        <v>18.75</v>
      </c>
      <c r="F357" s="642">
        <v>42.857142857142854</v>
      </c>
      <c r="G357" s="89">
        <f t="shared" si="30"/>
        <v>200.71428571428592</v>
      </c>
      <c r="H357" s="90">
        <f t="shared" si="31"/>
        <v>881.25</v>
      </c>
      <c r="I357" s="91">
        <f t="shared" si="32"/>
        <v>148.71428571428598</v>
      </c>
      <c r="J357" s="634">
        <f t="shared" si="34"/>
        <v>2200.7142857142858</v>
      </c>
      <c r="K357" s="90">
        <f t="shared" si="33"/>
        <v>881.25</v>
      </c>
      <c r="L357" s="58">
        <f t="shared" si="35"/>
        <v>-351.28571428571399</v>
      </c>
      <c r="M357" s="120"/>
      <c r="N357" s="111">
        <v>50</v>
      </c>
      <c r="O357" s="101">
        <v>99</v>
      </c>
      <c r="P357" s="101">
        <v>0</v>
      </c>
      <c r="Q357" s="112">
        <v>2980</v>
      </c>
    </row>
    <row r="358" spans="1:23" ht="15" customHeight="1">
      <c r="A358" s="120"/>
      <c r="B358" s="114"/>
      <c r="C358" s="174">
        <f>IF(初期登録!$B$10*12+初期登録!$D$10&lt;$A358,"",6)</f>
        <v>6</v>
      </c>
      <c r="D358" s="641">
        <v>42.857142857142854</v>
      </c>
      <c r="E358" s="88">
        <v>25</v>
      </c>
      <c r="F358" s="642">
        <v>28.571428571428573</v>
      </c>
      <c r="G358" s="89">
        <f t="shared" si="30"/>
        <v>193.57142857142878</v>
      </c>
      <c r="H358" s="90">
        <f t="shared" si="31"/>
        <v>856.25</v>
      </c>
      <c r="I358" s="91">
        <f t="shared" si="32"/>
        <v>127.28571428571455</v>
      </c>
      <c r="J358" s="634">
        <f t="shared" si="34"/>
        <v>2193.5714285714289</v>
      </c>
      <c r="K358" s="90">
        <f t="shared" si="33"/>
        <v>856.25</v>
      </c>
      <c r="L358" s="58">
        <f t="shared" si="35"/>
        <v>-372.71428571428544</v>
      </c>
      <c r="M358" s="120"/>
      <c r="N358" s="111">
        <v>50</v>
      </c>
      <c r="O358" s="101">
        <v>99</v>
      </c>
      <c r="P358" s="101">
        <v>0</v>
      </c>
      <c r="Q358" s="112">
        <v>2980</v>
      </c>
    </row>
    <row r="359" spans="1:23" ht="15" customHeight="1">
      <c r="A359" s="120"/>
      <c r="B359" s="114"/>
      <c r="C359" s="174">
        <f>IF(初期登録!$B$10*12+初期登録!$D$10&lt;$A359,"",7)</f>
        <v>7</v>
      </c>
      <c r="D359" s="641">
        <v>28.571428571428573</v>
      </c>
      <c r="E359" s="88">
        <v>12.5</v>
      </c>
      <c r="F359" s="642">
        <v>57.142857142857146</v>
      </c>
      <c r="G359" s="89">
        <f t="shared" ref="G359:G422" si="36">D359-50+G358</f>
        <v>172.14285714285737</v>
      </c>
      <c r="H359" s="90">
        <f t="shared" ref="H359:H422" si="37">E359-50+H358</f>
        <v>818.75</v>
      </c>
      <c r="I359" s="91">
        <f t="shared" ref="I359:I422" si="38">F359-50+I358</f>
        <v>134.4285714285717</v>
      </c>
      <c r="J359" s="634">
        <f t="shared" si="34"/>
        <v>2172.1428571428573</v>
      </c>
      <c r="K359" s="90">
        <f t="shared" ref="K359:K422" si="39">IF(E359="",NA,H359)</f>
        <v>818.75</v>
      </c>
      <c r="L359" s="58">
        <f t="shared" si="35"/>
        <v>-365.57142857142833</v>
      </c>
      <c r="M359" s="120"/>
      <c r="N359" s="111">
        <v>50</v>
      </c>
      <c r="O359" s="101">
        <v>99</v>
      </c>
      <c r="P359" s="101">
        <v>0</v>
      </c>
      <c r="Q359" s="112">
        <v>2980</v>
      </c>
    </row>
    <row r="360" spans="1:23" ht="15" customHeight="1">
      <c r="A360" s="120"/>
      <c r="B360" s="114"/>
      <c r="C360" s="174">
        <f>IF(初期登録!$B$10*12+初期登録!$D$10&lt;$A360,"",8)</f>
        <v>8</v>
      </c>
      <c r="D360" s="641">
        <v>28.571428571428573</v>
      </c>
      <c r="E360" s="88">
        <v>0</v>
      </c>
      <c r="F360" s="642">
        <v>28.571428571428573</v>
      </c>
      <c r="G360" s="89">
        <f t="shared" si="36"/>
        <v>150.71428571428595</v>
      </c>
      <c r="H360" s="90">
        <f t="shared" si="37"/>
        <v>768.75</v>
      </c>
      <c r="I360" s="91">
        <f t="shared" si="38"/>
        <v>113.00000000000027</v>
      </c>
      <c r="J360" s="634">
        <f t="shared" si="34"/>
        <v>2150.7142857142858</v>
      </c>
      <c r="K360" s="90">
        <f t="shared" si="39"/>
        <v>768.75</v>
      </c>
      <c r="L360" s="58">
        <f t="shared" si="35"/>
        <v>-386.99999999999972</v>
      </c>
      <c r="M360" s="120"/>
      <c r="N360" s="111">
        <v>50</v>
      </c>
      <c r="O360" s="101">
        <v>99</v>
      </c>
      <c r="P360" s="101">
        <v>0</v>
      </c>
      <c r="Q360" s="112">
        <v>2980</v>
      </c>
    </row>
    <row r="361" spans="1:23" ht="15" customHeight="1">
      <c r="A361" s="120"/>
      <c r="B361" s="114"/>
      <c r="C361" s="174">
        <f>IF(初期登録!$B$10*12+初期登録!$D$10&lt;$A361,"",9)</f>
        <v>9</v>
      </c>
      <c r="D361" s="641">
        <v>28.571428571428573</v>
      </c>
      <c r="E361" s="88">
        <v>12.5</v>
      </c>
      <c r="F361" s="642">
        <v>14.285714285714286</v>
      </c>
      <c r="G361" s="89">
        <f t="shared" si="36"/>
        <v>129.28571428571453</v>
      </c>
      <c r="H361" s="90">
        <f t="shared" si="37"/>
        <v>731.25</v>
      </c>
      <c r="I361" s="91">
        <f t="shared" si="38"/>
        <v>77.285714285714562</v>
      </c>
      <c r="J361" s="634">
        <f t="shared" si="34"/>
        <v>2129.2857142857147</v>
      </c>
      <c r="K361" s="90">
        <f t="shared" si="39"/>
        <v>731.25</v>
      </c>
      <c r="L361" s="58">
        <f t="shared" si="35"/>
        <v>-422.71428571428544</v>
      </c>
      <c r="M361" s="120"/>
      <c r="N361" s="111">
        <v>50</v>
      </c>
      <c r="O361" s="101">
        <v>99</v>
      </c>
      <c r="P361" s="101">
        <v>0</v>
      </c>
      <c r="Q361" s="112">
        <v>2980</v>
      </c>
    </row>
    <row r="362" spans="1:23" ht="15" customHeight="1">
      <c r="A362" s="120"/>
      <c r="B362" s="114"/>
      <c r="C362" s="174">
        <f>IF(初期登録!$B$10*12+初期登録!$D$10&lt;$A362,"",10)</f>
        <v>10</v>
      </c>
      <c r="D362" s="641">
        <v>28.571428571428573</v>
      </c>
      <c r="E362" s="88">
        <v>25</v>
      </c>
      <c r="F362" s="642">
        <v>28.571428571428573</v>
      </c>
      <c r="G362" s="89">
        <f t="shared" si="36"/>
        <v>107.8571428571431</v>
      </c>
      <c r="H362" s="90">
        <f t="shared" si="37"/>
        <v>706.25</v>
      </c>
      <c r="I362" s="91">
        <f t="shared" si="38"/>
        <v>55.857142857143131</v>
      </c>
      <c r="J362" s="634">
        <f t="shared" si="34"/>
        <v>2107.8571428571431</v>
      </c>
      <c r="K362" s="90">
        <f t="shared" si="39"/>
        <v>706.25</v>
      </c>
      <c r="L362" s="58">
        <f t="shared" si="35"/>
        <v>-444.14285714285688</v>
      </c>
      <c r="M362" s="120"/>
      <c r="N362" s="111">
        <v>50</v>
      </c>
      <c r="O362" s="101">
        <v>99</v>
      </c>
      <c r="P362" s="101">
        <v>0</v>
      </c>
      <c r="Q362" s="112">
        <v>2980</v>
      </c>
    </row>
    <row r="363" spans="1:23" ht="15" customHeight="1">
      <c r="A363" s="120"/>
      <c r="B363" s="114"/>
      <c r="C363" s="174">
        <f>IF(初期登録!$B$10*12+初期登録!$D$10&lt;$A363,"",11)</f>
        <v>11</v>
      </c>
      <c r="D363" s="641">
        <v>28.571428571428573</v>
      </c>
      <c r="E363" s="88">
        <v>12.5</v>
      </c>
      <c r="F363" s="642">
        <v>50</v>
      </c>
      <c r="G363" s="89">
        <f t="shared" si="36"/>
        <v>86.428571428571672</v>
      </c>
      <c r="H363" s="90">
        <f t="shared" si="37"/>
        <v>668.75</v>
      </c>
      <c r="I363" s="91">
        <f t="shared" si="38"/>
        <v>55.857142857143131</v>
      </c>
      <c r="J363" s="634">
        <f t="shared" si="34"/>
        <v>2086.4285714285716</v>
      </c>
      <c r="K363" s="90">
        <f t="shared" si="39"/>
        <v>668.75</v>
      </c>
      <c r="L363" s="58">
        <f t="shared" si="35"/>
        <v>-444.14285714285688</v>
      </c>
      <c r="M363" s="120"/>
      <c r="N363" s="111">
        <v>50</v>
      </c>
      <c r="O363" s="101">
        <v>99</v>
      </c>
      <c r="P363" s="101">
        <v>0</v>
      </c>
      <c r="Q363" s="112">
        <v>2980</v>
      </c>
    </row>
    <row r="364" spans="1:23" ht="15" customHeight="1">
      <c r="A364" s="120"/>
      <c r="B364" s="116"/>
      <c r="C364" s="177">
        <f>IF(初期登録!$B$10*12+初期登録!$D$10&lt;$A364,"",12)</f>
        <v>12</v>
      </c>
      <c r="D364" s="1034">
        <v>14.285714285714286</v>
      </c>
      <c r="E364" s="1035">
        <v>0</v>
      </c>
      <c r="F364" s="1036">
        <v>42.857142857142854</v>
      </c>
      <c r="G364" s="154">
        <f t="shared" si="36"/>
        <v>50.714285714285957</v>
      </c>
      <c r="H364" s="155">
        <f t="shared" si="37"/>
        <v>618.75</v>
      </c>
      <c r="I364" s="157">
        <f t="shared" si="38"/>
        <v>48.714285714285985</v>
      </c>
      <c r="J364" s="1037">
        <f t="shared" si="34"/>
        <v>2050.7142857142858</v>
      </c>
      <c r="K364" s="155">
        <f t="shared" si="39"/>
        <v>618.75</v>
      </c>
      <c r="L364" s="638">
        <f t="shared" si="35"/>
        <v>-451.28571428571399</v>
      </c>
      <c r="M364" s="120"/>
      <c r="N364" s="145">
        <v>50</v>
      </c>
      <c r="O364" s="146">
        <v>99</v>
      </c>
      <c r="P364" s="146">
        <v>0</v>
      </c>
      <c r="Q364" s="147">
        <v>2980</v>
      </c>
    </row>
    <row r="365" spans="1:23" ht="15" customHeight="1">
      <c r="A365" s="125"/>
      <c r="B365" s="993" t="s">
        <v>712</v>
      </c>
      <c r="C365" s="178">
        <f>IF(初期登録!$B$10*12+初期登録!$D$10&lt;$A365,"",1)</f>
        <v>1</v>
      </c>
      <c r="D365" s="1038">
        <v>28.571428571428573</v>
      </c>
      <c r="E365" s="1039">
        <v>0</v>
      </c>
      <c r="F365" s="1040">
        <v>14.285714285714286</v>
      </c>
      <c r="G365" s="1041">
        <f t="shared" si="36"/>
        <v>29.28571428571453</v>
      </c>
      <c r="H365" s="1042">
        <f t="shared" si="37"/>
        <v>568.75</v>
      </c>
      <c r="I365" s="1043">
        <f t="shared" si="38"/>
        <v>13.00000000000027</v>
      </c>
      <c r="J365" s="632">
        <f t="shared" si="34"/>
        <v>2029.2857142857144</v>
      </c>
      <c r="K365" s="1042">
        <f t="shared" si="39"/>
        <v>568.75</v>
      </c>
      <c r="L365" s="633">
        <f t="shared" si="35"/>
        <v>-486.99999999999972</v>
      </c>
      <c r="M365" s="125">
        <v>2009</v>
      </c>
      <c r="N365" s="133">
        <v>50</v>
      </c>
      <c r="O365" s="134">
        <v>99</v>
      </c>
      <c r="P365" s="134">
        <v>0</v>
      </c>
      <c r="Q365" s="159">
        <v>2980</v>
      </c>
    </row>
    <row r="366" spans="1:23" ht="15" customHeight="1">
      <c r="A366" s="120"/>
      <c r="B366" s="114"/>
      <c r="C366" s="174">
        <f>IF(初期登録!$B$10*12+初期登録!$D$10&lt;$A366,"",2)</f>
        <v>2</v>
      </c>
      <c r="D366" s="641">
        <v>14.285714285714286</v>
      </c>
      <c r="E366" s="88">
        <v>0</v>
      </c>
      <c r="F366" s="642">
        <v>14.285714285714286</v>
      </c>
      <c r="G366" s="89">
        <f t="shared" si="36"/>
        <v>-6.4285714285711855</v>
      </c>
      <c r="H366" s="90">
        <f t="shared" si="37"/>
        <v>518.75</v>
      </c>
      <c r="I366" s="91">
        <f t="shared" si="38"/>
        <v>-22.714285714285445</v>
      </c>
      <c r="J366" s="634">
        <f t="shared" si="34"/>
        <v>1993.5714285714289</v>
      </c>
      <c r="K366" s="90">
        <f t="shared" si="39"/>
        <v>518.75</v>
      </c>
      <c r="L366" s="58">
        <f t="shared" si="35"/>
        <v>-522.71428571428544</v>
      </c>
      <c r="M366" s="120"/>
      <c r="N366" s="111">
        <v>50</v>
      </c>
      <c r="O366" s="101">
        <v>99</v>
      </c>
      <c r="P366" s="101">
        <v>0</v>
      </c>
      <c r="Q366" s="112">
        <v>2980</v>
      </c>
    </row>
    <row r="367" spans="1:23" ht="15" customHeight="1">
      <c r="A367" s="120"/>
      <c r="B367" s="114"/>
      <c r="C367" s="174">
        <f>IF(初期登録!$B$10*12+初期登録!$D$10&lt;$A367,"",3)</f>
        <v>3</v>
      </c>
      <c r="D367" s="641">
        <v>14.285714285714286</v>
      </c>
      <c r="E367" s="88">
        <v>0</v>
      </c>
      <c r="F367" s="642">
        <v>14.285714285714286</v>
      </c>
      <c r="G367" s="89">
        <f t="shared" si="36"/>
        <v>-42.142857142856897</v>
      </c>
      <c r="H367" s="90">
        <f t="shared" si="37"/>
        <v>468.75</v>
      </c>
      <c r="I367" s="91">
        <f t="shared" si="38"/>
        <v>-58.428571428571161</v>
      </c>
      <c r="J367" s="634">
        <f t="shared" si="34"/>
        <v>1957.8571428571431</v>
      </c>
      <c r="K367" s="90">
        <f t="shared" si="39"/>
        <v>468.75</v>
      </c>
      <c r="L367" s="58">
        <f t="shared" si="35"/>
        <v>-558.4285714285711</v>
      </c>
      <c r="M367" s="120"/>
      <c r="N367" s="111">
        <v>50</v>
      </c>
      <c r="O367" s="101">
        <v>99</v>
      </c>
      <c r="P367" s="101">
        <v>0</v>
      </c>
      <c r="Q367" s="112">
        <v>2980</v>
      </c>
    </row>
    <row r="368" spans="1:23" ht="15" customHeight="1">
      <c r="A368" s="120"/>
      <c r="B368" s="114"/>
      <c r="C368" s="174">
        <f>IF(初期登録!$B$10*12+初期登録!$D$10&lt;$A368,"",4)</f>
        <v>4</v>
      </c>
      <c r="D368" s="641">
        <v>14.285714285714286</v>
      </c>
      <c r="E368" s="88">
        <v>0</v>
      </c>
      <c r="F368" s="642">
        <v>14.285714285714286</v>
      </c>
      <c r="G368" s="89">
        <f t="shared" si="36"/>
        <v>-77.857142857142605</v>
      </c>
      <c r="H368" s="90">
        <f t="shared" si="37"/>
        <v>418.75</v>
      </c>
      <c r="I368" s="91">
        <f t="shared" si="38"/>
        <v>-94.142857142856883</v>
      </c>
      <c r="J368" s="634">
        <f t="shared" si="34"/>
        <v>1922.1428571428573</v>
      </c>
      <c r="K368" s="90">
        <f t="shared" si="39"/>
        <v>418.75</v>
      </c>
      <c r="L368" s="58">
        <f t="shared" si="35"/>
        <v>-594.14285714285688</v>
      </c>
      <c r="M368" s="120"/>
      <c r="N368" s="111">
        <v>50</v>
      </c>
      <c r="O368" s="101"/>
      <c r="P368" s="101">
        <v>0</v>
      </c>
      <c r="Q368" s="112"/>
    </row>
    <row r="369" spans="1:17" ht="15" customHeight="1">
      <c r="A369" s="120"/>
      <c r="B369" s="114"/>
      <c r="C369" s="174">
        <f>IF(初期登録!$B$10*12+初期登録!$D$10&lt;$A369,"",5)</f>
        <v>5</v>
      </c>
      <c r="D369" s="641">
        <v>14.285714285714286</v>
      </c>
      <c r="E369" s="88">
        <v>0</v>
      </c>
      <c r="F369" s="642">
        <v>28.571428571428573</v>
      </c>
      <c r="G369" s="89">
        <f t="shared" si="36"/>
        <v>-113.57142857142833</v>
      </c>
      <c r="H369" s="90">
        <f t="shared" si="37"/>
        <v>368.75</v>
      </c>
      <c r="I369" s="91">
        <f t="shared" si="38"/>
        <v>-115.57142857142831</v>
      </c>
      <c r="J369" s="634">
        <f t="shared" si="34"/>
        <v>1886.4285714285716</v>
      </c>
      <c r="K369" s="90">
        <f t="shared" si="39"/>
        <v>368.75</v>
      </c>
      <c r="L369" s="58">
        <f t="shared" si="35"/>
        <v>-615.57142857142833</v>
      </c>
      <c r="M369" s="120"/>
      <c r="N369" s="111">
        <f>IF(C368="",NA,50)</f>
        <v>50</v>
      </c>
      <c r="O369" s="101"/>
      <c r="P369" s="101">
        <f>IF(C368="",NA,0)</f>
        <v>0</v>
      </c>
      <c r="Q369" s="112"/>
    </row>
    <row r="370" spans="1:17" ht="15" customHeight="1">
      <c r="A370" s="120"/>
      <c r="B370" s="114"/>
      <c r="C370" s="174">
        <f>IF(初期登録!$B$10*12+初期登録!$D$10&lt;$A370,"",6)</f>
        <v>6</v>
      </c>
      <c r="D370" s="641">
        <v>14.285714285714286</v>
      </c>
      <c r="E370" s="88">
        <v>50</v>
      </c>
      <c r="F370" s="642">
        <v>0</v>
      </c>
      <c r="G370" s="89">
        <f t="shared" si="36"/>
        <v>-149.28571428571405</v>
      </c>
      <c r="H370" s="90">
        <f t="shared" si="37"/>
        <v>368.75</v>
      </c>
      <c r="I370" s="91">
        <f t="shared" si="38"/>
        <v>-165.57142857142833</v>
      </c>
      <c r="J370" s="634">
        <f t="shared" si="34"/>
        <v>1850.714285714286</v>
      </c>
      <c r="K370" s="90">
        <f t="shared" si="39"/>
        <v>368.75</v>
      </c>
      <c r="L370" s="58">
        <f t="shared" si="35"/>
        <v>-665.57142857142833</v>
      </c>
      <c r="M370" s="120"/>
      <c r="N370" s="111">
        <f t="shared" ref="N370:N388" si="40">IF(C369="",NA,50)</f>
        <v>50</v>
      </c>
      <c r="O370" s="101"/>
      <c r="P370" s="101">
        <f t="shared" ref="P370:P388" si="41">IF(C369="",NA,0)</f>
        <v>0</v>
      </c>
      <c r="Q370" s="112"/>
    </row>
    <row r="371" spans="1:17" ht="15" customHeight="1">
      <c r="A371" s="120"/>
      <c r="B371" s="114"/>
      <c r="C371" s="174">
        <f>IF(初期登録!$B$10*12+初期登録!$D$10&lt;$A371,"",7)</f>
        <v>7</v>
      </c>
      <c r="D371" s="641">
        <v>42.857142857142854</v>
      </c>
      <c r="E371" s="88">
        <v>50</v>
      </c>
      <c r="F371" s="642">
        <v>28.571428571428573</v>
      </c>
      <c r="G371" s="89">
        <f t="shared" si="36"/>
        <v>-156.42857142857119</v>
      </c>
      <c r="H371" s="90">
        <f t="shared" si="37"/>
        <v>368.75</v>
      </c>
      <c r="I371" s="91">
        <f t="shared" si="38"/>
        <v>-186.99999999999974</v>
      </c>
      <c r="J371" s="634">
        <f t="shared" si="34"/>
        <v>1843.5714285714289</v>
      </c>
      <c r="K371" s="90">
        <f t="shared" si="39"/>
        <v>368.75</v>
      </c>
      <c r="L371" s="58">
        <f t="shared" si="35"/>
        <v>-686.99999999999977</v>
      </c>
      <c r="M371" s="120"/>
      <c r="N371" s="111">
        <f t="shared" si="40"/>
        <v>50</v>
      </c>
      <c r="O371" s="101"/>
      <c r="P371" s="101">
        <f t="shared" si="41"/>
        <v>0</v>
      </c>
      <c r="Q371" s="112"/>
    </row>
    <row r="372" spans="1:17" ht="15" customHeight="1">
      <c r="A372" s="120"/>
      <c r="B372" s="114"/>
      <c r="C372" s="174">
        <f>IF(初期登録!$B$10*12+初期登録!$D$10&lt;$A372,"",8)</f>
        <v>8</v>
      </c>
      <c r="D372" s="641">
        <v>42.857142857142854</v>
      </c>
      <c r="E372" s="88">
        <v>87.5</v>
      </c>
      <c r="F372" s="642">
        <v>28.571428571428573</v>
      </c>
      <c r="G372" s="89">
        <f t="shared" si="36"/>
        <v>-163.57142857142833</v>
      </c>
      <c r="H372" s="90">
        <f t="shared" si="37"/>
        <v>406.25</v>
      </c>
      <c r="I372" s="91">
        <f t="shared" si="38"/>
        <v>-208.42857142857116</v>
      </c>
      <c r="J372" s="634">
        <f t="shared" si="34"/>
        <v>1836.4285714285716</v>
      </c>
      <c r="K372" s="90">
        <f t="shared" si="39"/>
        <v>406.25</v>
      </c>
      <c r="L372" s="58">
        <f t="shared" si="35"/>
        <v>-708.4285714285711</v>
      </c>
      <c r="M372" s="120"/>
      <c r="N372" s="111">
        <f t="shared" si="40"/>
        <v>50</v>
      </c>
      <c r="O372" s="101"/>
      <c r="P372" s="101">
        <f t="shared" si="41"/>
        <v>0</v>
      </c>
      <c r="Q372" s="112"/>
    </row>
    <row r="373" spans="1:17" ht="15" customHeight="1">
      <c r="A373" s="120"/>
      <c r="B373" s="114"/>
      <c r="C373" s="174">
        <f>IF(初期登録!$B$10*12+初期登録!$D$10&lt;$A373,"",9)</f>
        <v>9</v>
      </c>
      <c r="D373" s="641">
        <v>85.714285714285708</v>
      </c>
      <c r="E373" s="88">
        <v>75</v>
      </c>
      <c r="F373" s="642">
        <v>14.285714285714286</v>
      </c>
      <c r="G373" s="89">
        <f t="shared" si="36"/>
        <v>-127.85714285714262</v>
      </c>
      <c r="H373" s="90">
        <f t="shared" si="37"/>
        <v>431.25</v>
      </c>
      <c r="I373" s="91">
        <f t="shared" si="38"/>
        <v>-244.14285714285688</v>
      </c>
      <c r="J373" s="634">
        <f t="shared" si="34"/>
        <v>1872.1428571428573</v>
      </c>
      <c r="K373" s="90">
        <f t="shared" si="39"/>
        <v>431.25</v>
      </c>
      <c r="L373" s="58">
        <f t="shared" si="35"/>
        <v>-744.14285714285688</v>
      </c>
      <c r="M373" s="120"/>
      <c r="N373" s="111">
        <f t="shared" si="40"/>
        <v>50</v>
      </c>
      <c r="O373" s="101"/>
      <c r="P373" s="101">
        <f t="shared" si="41"/>
        <v>0</v>
      </c>
      <c r="Q373" s="112"/>
    </row>
    <row r="374" spans="1:17" ht="15" customHeight="1">
      <c r="A374" s="120"/>
      <c r="B374" s="114"/>
      <c r="C374" s="174">
        <f>IF(初期登録!$B$10*12+初期登録!$D$10&lt;$A374,"",10)</f>
        <v>10</v>
      </c>
      <c r="D374" s="641">
        <v>71.428571428571431</v>
      </c>
      <c r="E374" s="88">
        <v>100</v>
      </c>
      <c r="F374" s="642">
        <v>57.142857142857146</v>
      </c>
      <c r="G374" s="89">
        <f t="shared" si="36"/>
        <v>-106.42857142857119</v>
      </c>
      <c r="H374" s="90">
        <f t="shared" si="37"/>
        <v>481.25</v>
      </c>
      <c r="I374" s="91">
        <f t="shared" si="38"/>
        <v>-236.99999999999974</v>
      </c>
      <c r="J374" s="634">
        <f t="shared" si="34"/>
        <v>1893.5714285714289</v>
      </c>
      <c r="K374" s="90">
        <f t="shared" si="39"/>
        <v>481.25</v>
      </c>
      <c r="L374" s="58">
        <f t="shared" si="35"/>
        <v>-736.99999999999977</v>
      </c>
      <c r="M374" s="120"/>
      <c r="N374" s="111">
        <f t="shared" si="40"/>
        <v>50</v>
      </c>
      <c r="O374" s="101"/>
      <c r="P374" s="101">
        <f t="shared" si="41"/>
        <v>0</v>
      </c>
      <c r="Q374" s="112"/>
    </row>
    <row r="375" spans="1:17" ht="15" customHeight="1">
      <c r="A375" s="120"/>
      <c r="B375" s="114"/>
      <c r="C375" s="174">
        <f>IF(初期登録!$B$10*12+初期登録!$D$10&lt;$A375,"",11)</f>
        <v>11</v>
      </c>
      <c r="D375" s="641">
        <v>85.714285714285708</v>
      </c>
      <c r="E375" s="88">
        <v>100</v>
      </c>
      <c r="F375" s="642">
        <v>57.142857142857146</v>
      </c>
      <c r="G375" s="89">
        <f t="shared" si="36"/>
        <v>-70.714285714285481</v>
      </c>
      <c r="H375" s="90">
        <f t="shared" si="37"/>
        <v>531.25</v>
      </c>
      <c r="I375" s="91">
        <f t="shared" si="38"/>
        <v>-229.85714285714261</v>
      </c>
      <c r="J375" s="634">
        <f t="shared" si="34"/>
        <v>1929.2857142857144</v>
      </c>
      <c r="K375" s="90">
        <f t="shared" si="39"/>
        <v>531.25</v>
      </c>
      <c r="L375" s="58">
        <f t="shared" si="35"/>
        <v>-729.85714285714266</v>
      </c>
      <c r="M375" s="120"/>
      <c r="N375" s="111">
        <f t="shared" si="40"/>
        <v>50</v>
      </c>
      <c r="O375" s="101"/>
      <c r="P375" s="101">
        <f t="shared" si="41"/>
        <v>0</v>
      </c>
      <c r="Q375" s="112"/>
    </row>
    <row r="376" spans="1:17" ht="15" customHeight="1">
      <c r="A376" s="132"/>
      <c r="B376" s="115"/>
      <c r="C376" s="177">
        <f>IF(初期登録!$B$10*12+初期登録!$D$10&lt;$A376,"",12)</f>
        <v>12</v>
      </c>
      <c r="D376" s="1034">
        <v>57.142857142857146</v>
      </c>
      <c r="E376" s="1035">
        <v>87.5</v>
      </c>
      <c r="F376" s="1036">
        <v>85.714285714285708</v>
      </c>
      <c r="G376" s="154">
        <f t="shared" si="36"/>
        <v>-63.571428571428335</v>
      </c>
      <c r="H376" s="155">
        <f t="shared" si="37"/>
        <v>568.75</v>
      </c>
      <c r="I376" s="157">
        <f t="shared" si="38"/>
        <v>-194.14285714285688</v>
      </c>
      <c r="J376" s="1037">
        <f t="shared" si="34"/>
        <v>1936.4285714285716</v>
      </c>
      <c r="K376" s="155">
        <f t="shared" si="39"/>
        <v>568.75</v>
      </c>
      <c r="L376" s="638">
        <f t="shared" si="35"/>
        <v>-694.14285714285688</v>
      </c>
      <c r="M376" s="120"/>
      <c r="N376" s="145">
        <f t="shared" si="40"/>
        <v>50</v>
      </c>
      <c r="O376" s="137"/>
      <c r="P376" s="137">
        <f t="shared" si="41"/>
        <v>0</v>
      </c>
      <c r="Q376" s="138"/>
    </row>
    <row r="377" spans="1:17" ht="15" customHeight="1">
      <c r="A377" s="120"/>
      <c r="B377" s="994" t="s">
        <v>713</v>
      </c>
      <c r="C377" s="178">
        <f>IF(初期登録!$B$10*12+初期登録!$D$10&lt;$A377,"",1)</f>
        <v>1</v>
      </c>
      <c r="D377" s="1038">
        <v>85.714285714285708</v>
      </c>
      <c r="E377" s="1039">
        <v>100</v>
      </c>
      <c r="F377" s="1040">
        <v>71.428571428571431</v>
      </c>
      <c r="G377" s="1041">
        <f t="shared" si="36"/>
        <v>-27.857142857142627</v>
      </c>
      <c r="H377" s="1042">
        <f t="shared" si="37"/>
        <v>618.75</v>
      </c>
      <c r="I377" s="1043">
        <f t="shared" si="38"/>
        <v>-172.71428571428544</v>
      </c>
      <c r="J377" s="632">
        <f t="shared" si="34"/>
        <v>1972.1428571428573</v>
      </c>
      <c r="K377" s="1042">
        <f t="shared" si="39"/>
        <v>618.75</v>
      </c>
      <c r="L377" s="633">
        <f t="shared" si="35"/>
        <v>-672.71428571428544</v>
      </c>
      <c r="M377" s="125">
        <v>2010</v>
      </c>
      <c r="N377" s="133">
        <f t="shared" si="40"/>
        <v>50</v>
      </c>
      <c r="O377" s="101"/>
      <c r="P377" s="101">
        <f t="shared" si="41"/>
        <v>0</v>
      </c>
      <c r="Q377" s="112"/>
    </row>
    <row r="378" spans="1:17" ht="15" customHeight="1">
      <c r="A378" s="120"/>
      <c r="B378" s="116"/>
      <c r="C378" s="177">
        <f>IF(初期登録!$B$10*12+初期登録!$D$10&lt;$A378,"",2)</f>
        <v>2</v>
      </c>
      <c r="D378" s="641">
        <v>35.714285714285715</v>
      </c>
      <c r="E378" s="88">
        <v>87.5</v>
      </c>
      <c r="F378" s="642">
        <v>85.714285714285708</v>
      </c>
      <c r="G378" s="89">
        <f t="shared" si="36"/>
        <v>-42.142857142856911</v>
      </c>
      <c r="H378" s="90">
        <f t="shared" si="37"/>
        <v>656.25</v>
      </c>
      <c r="I378" s="91">
        <f t="shared" si="38"/>
        <v>-136.99999999999972</v>
      </c>
      <c r="J378" s="634">
        <f t="shared" si="34"/>
        <v>1957.8571428571431</v>
      </c>
      <c r="K378" s="90">
        <f t="shared" si="39"/>
        <v>656.25</v>
      </c>
      <c r="L378" s="58">
        <f t="shared" si="35"/>
        <v>-636.99999999999977</v>
      </c>
      <c r="M378" s="120"/>
      <c r="N378" s="111">
        <f t="shared" si="40"/>
        <v>50</v>
      </c>
      <c r="O378" s="101"/>
      <c r="P378" s="101">
        <f t="shared" si="41"/>
        <v>0</v>
      </c>
      <c r="Q378" s="112"/>
    </row>
    <row r="379" spans="1:17" ht="15" customHeight="1">
      <c r="A379" s="120"/>
      <c r="B379" s="114"/>
      <c r="C379" s="174">
        <f>IF(初期登録!$B$10*12+初期登録!$D$10&lt;$A379,"",3)</f>
        <v>3</v>
      </c>
      <c r="D379" s="641">
        <v>57.142857142857146</v>
      </c>
      <c r="E379" s="88">
        <v>100</v>
      </c>
      <c r="F379" s="642">
        <v>57.142857142857146</v>
      </c>
      <c r="G379" s="89">
        <f t="shared" si="36"/>
        <v>-34.999999999999766</v>
      </c>
      <c r="H379" s="90">
        <f t="shared" si="37"/>
        <v>706.25</v>
      </c>
      <c r="I379" s="91">
        <f t="shared" si="38"/>
        <v>-129.85714285714258</v>
      </c>
      <c r="J379" s="634">
        <f t="shared" si="34"/>
        <v>1965.0000000000002</v>
      </c>
      <c r="K379" s="90">
        <f t="shared" si="39"/>
        <v>706.25</v>
      </c>
      <c r="L379" s="58">
        <f t="shared" si="35"/>
        <v>-629.85714285714255</v>
      </c>
      <c r="M379" s="120"/>
      <c r="N379" s="111">
        <f t="shared" si="40"/>
        <v>50</v>
      </c>
      <c r="O379" s="101"/>
      <c r="P379" s="101">
        <f t="shared" si="41"/>
        <v>0</v>
      </c>
      <c r="Q379" s="100"/>
    </row>
    <row r="380" spans="1:17" ht="15" customHeight="1">
      <c r="A380" s="120"/>
      <c r="B380" s="114"/>
      <c r="C380" s="174">
        <f>IF(初期登録!$B$10*12+初期登録!$D$10&lt;$A380,"",4)</f>
        <v>4</v>
      </c>
      <c r="D380" s="641">
        <v>71.428571428571431</v>
      </c>
      <c r="E380" s="88">
        <v>100</v>
      </c>
      <c r="F380" s="642">
        <v>71.428571428571431</v>
      </c>
      <c r="G380" s="89">
        <f t="shared" si="36"/>
        <v>-13.571428571428335</v>
      </c>
      <c r="H380" s="90">
        <f t="shared" si="37"/>
        <v>756.25</v>
      </c>
      <c r="I380" s="91">
        <f t="shared" si="38"/>
        <v>-108.42857142857115</v>
      </c>
      <c r="J380" s="634">
        <f t="shared" si="34"/>
        <v>1986.4285714285716</v>
      </c>
      <c r="K380" s="90">
        <f t="shared" si="39"/>
        <v>756.25</v>
      </c>
      <c r="L380" s="58">
        <f t="shared" si="35"/>
        <v>-608.4285714285711</v>
      </c>
      <c r="M380" s="120"/>
      <c r="N380" s="111">
        <f t="shared" si="40"/>
        <v>50</v>
      </c>
      <c r="O380" s="101"/>
      <c r="P380" s="101">
        <f t="shared" si="41"/>
        <v>0</v>
      </c>
      <c r="Q380" s="100"/>
    </row>
    <row r="381" spans="1:17" ht="15" customHeight="1">
      <c r="A381" s="120"/>
      <c r="B381" s="114"/>
      <c r="C381" s="174">
        <f>IF(初期登録!$B$10*12+初期登録!$D$10&lt;$A381,"",5)</f>
        <v>5</v>
      </c>
      <c r="D381" s="641">
        <v>71.428571428571431</v>
      </c>
      <c r="E381" s="88">
        <v>100</v>
      </c>
      <c r="F381" s="642">
        <v>71.428571428571431</v>
      </c>
      <c r="G381" s="89">
        <f t="shared" si="36"/>
        <v>7.8571428571430957</v>
      </c>
      <c r="H381" s="90">
        <f t="shared" si="37"/>
        <v>806.25</v>
      </c>
      <c r="I381" s="91">
        <f t="shared" si="38"/>
        <v>-86.999999999999716</v>
      </c>
      <c r="J381" s="634">
        <f t="shared" si="34"/>
        <v>2007.8571428571431</v>
      </c>
      <c r="K381" s="90">
        <f t="shared" si="39"/>
        <v>806.25</v>
      </c>
      <c r="L381" s="58">
        <f t="shared" si="35"/>
        <v>-586.99999999999977</v>
      </c>
      <c r="M381" s="120"/>
      <c r="N381" s="111">
        <f t="shared" si="40"/>
        <v>50</v>
      </c>
      <c r="O381" s="101"/>
      <c r="P381" s="101">
        <f t="shared" si="41"/>
        <v>0</v>
      </c>
      <c r="Q381" s="100"/>
    </row>
    <row r="382" spans="1:17" ht="15" customHeight="1">
      <c r="A382" s="120"/>
      <c r="B382" s="114"/>
      <c r="C382" s="174">
        <f>IF(初期登録!$B$10*12+初期登録!$D$10&lt;$A382,"",6)</f>
        <v>6</v>
      </c>
      <c r="D382" s="641">
        <v>92.857142857142861</v>
      </c>
      <c r="E382" s="88">
        <v>75</v>
      </c>
      <c r="F382" s="642">
        <v>57.142857142857146</v>
      </c>
      <c r="G382" s="89">
        <f t="shared" si="36"/>
        <v>50.714285714285957</v>
      </c>
      <c r="H382" s="90">
        <f t="shared" si="37"/>
        <v>831.25</v>
      </c>
      <c r="I382" s="91">
        <f t="shared" si="38"/>
        <v>-79.857142857142577</v>
      </c>
      <c r="J382" s="634">
        <f t="shared" si="34"/>
        <v>2050.7142857142858</v>
      </c>
      <c r="K382" s="90">
        <f t="shared" si="39"/>
        <v>831.25</v>
      </c>
      <c r="L382" s="58">
        <f t="shared" si="35"/>
        <v>-579.85714285714255</v>
      </c>
      <c r="M382" s="120"/>
      <c r="N382" s="111">
        <f t="shared" si="40"/>
        <v>50</v>
      </c>
      <c r="O382" s="101"/>
      <c r="P382" s="101">
        <f t="shared" si="41"/>
        <v>0</v>
      </c>
      <c r="Q382" s="100"/>
    </row>
    <row r="383" spans="1:17" ht="15" customHeight="1">
      <c r="A383" s="120"/>
      <c r="B383" s="114"/>
      <c r="C383" s="174">
        <f>IF(初期登録!$B$10*12+初期登録!$D$10&lt;$A383,"",7)</f>
        <v>7</v>
      </c>
      <c r="D383" s="641">
        <v>71.428571428571431</v>
      </c>
      <c r="E383" s="88">
        <v>81.25</v>
      </c>
      <c r="F383" s="642">
        <v>71.428571428571431</v>
      </c>
      <c r="G383" s="89">
        <f t="shared" si="36"/>
        <v>72.142857142857395</v>
      </c>
      <c r="H383" s="90">
        <f t="shared" si="37"/>
        <v>862.5</v>
      </c>
      <c r="I383" s="91">
        <f t="shared" si="38"/>
        <v>-58.428571428571146</v>
      </c>
      <c r="J383" s="634">
        <f t="shared" si="34"/>
        <v>2072.1428571428573</v>
      </c>
      <c r="K383" s="90">
        <f t="shared" si="39"/>
        <v>862.5</v>
      </c>
      <c r="L383" s="58">
        <f t="shared" si="35"/>
        <v>-558.4285714285711</v>
      </c>
      <c r="M383" s="120"/>
      <c r="N383" s="111">
        <f t="shared" si="40"/>
        <v>50</v>
      </c>
      <c r="O383" s="101"/>
      <c r="P383" s="101">
        <f t="shared" si="41"/>
        <v>0</v>
      </c>
      <c r="Q383" s="100"/>
    </row>
    <row r="384" spans="1:17" ht="15" customHeight="1">
      <c r="A384" s="120"/>
      <c r="B384" s="114"/>
      <c r="C384" s="174">
        <f>IF(初期登録!$B$10*12+初期登録!$D$10&lt;$A384,"",8)</f>
        <v>8</v>
      </c>
      <c r="D384" s="641">
        <v>71.428571428571431</v>
      </c>
      <c r="E384" s="88">
        <v>87.5</v>
      </c>
      <c r="F384" s="642">
        <v>57.142857142857146</v>
      </c>
      <c r="G384" s="89">
        <f t="shared" si="36"/>
        <v>93.571428571428825</v>
      </c>
      <c r="H384" s="90">
        <f t="shared" si="37"/>
        <v>900</v>
      </c>
      <c r="I384" s="91">
        <f t="shared" si="38"/>
        <v>-51.285714285714</v>
      </c>
      <c r="J384" s="634">
        <f t="shared" si="34"/>
        <v>2093.5714285714289</v>
      </c>
      <c r="K384" s="90">
        <f t="shared" si="39"/>
        <v>900</v>
      </c>
      <c r="L384" s="58">
        <f t="shared" si="35"/>
        <v>-551.28571428571399</v>
      </c>
      <c r="M384" s="120"/>
      <c r="N384" s="111">
        <f t="shared" si="40"/>
        <v>50</v>
      </c>
      <c r="O384" s="101"/>
      <c r="P384" s="101">
        <f t="shared" si="41"/>
        <v>0</v>
      </c>
      <c r="Q384" s="100"/>
    </row>
    <row r="385" spans="1:17" ht="15" customHeight="1">
      <c r="A385" s="120"/>
      <c r="B385" s="114"/>
      <c r="C385" s="174">
        <f>IF(初期登録!$B$10*12+初期登録!$D$10&lt;$A385,"",9)</f>
        <v>9</v>
      </c>
      <c r="D385" s="641">
        <v>85.714285714285708</v>
      </c>
      <c r="E385" s="88">
        <v>87.5</v>
      </c>
      <c r="F385" s="642">
        <v>64.285714285714292</v>
      </c>
      <c r="G385" s="89">
        <f t="shared" si="36"/>
        <v>129.28571428571453</v>
      </c>
      <c r="H385" s="90">
        <f t="shared" si="37"/>
        <v>937.5</v>
      </c>
      <c r="I385" s="91">
        <f t="shared" si="38"/>
        <v>-36.999999999999709</v>
      </c>
      <c r="J385" s="634">
        <f t="shared" si="34"/>
        <v>2129.2857142857147</v>
      </c>
      <c r="K385" s="90">
        <f t="shared" si="39"/>
        <v>937.5</v>
      </c>
      <c r="L385" s="58">
        <f t="shared" si="35"/>
        <v>-536.99999999999966</v>
      </c>
      <c r="M385" s="120"/>
      <c r="N385" s="111">
        <f t="shared" si="40"/>
        <v>50</v>
      </c>
      <c r="O385" s="101"/>
      <c r="P385" s="101">
        <f t="shared" si="41"/>
        <v>0</v>
      </c>
      <c r="Q385" s="100"/>
    </row>
    <row r="386" spans="1:17" ht="15" customHeight="1">
      <c r="A386" s="120"/>
      <c r="B386" s="114"/>
      <c r="C386" s="174">
        <f>IF(初期登録!$B$10*12+初期登録!$D$10&lt;$A386,"",10)</f>
        <v>10</v>
      </c>
      <c r="D386" s="641">
        <v>42.857142857142854</v>
      </c>
      <c r="E386" s="88">
        <v>87.5</v>
      </c>
      <c r="F386" s="642">
        <v>85.714285714285708</v>
      </c>
      <c r="G386" s="89">
        <f t="shared" si="36"/>
        <v>122.14285714285739</v>
      </c>
      <c r="H386" s="90">
        <f t="shared" si="37"/>
        <v>975</v>
      </c>
      <c r="I386" s="91">
        <f t="shared" si="38"/>
        <v>-1.2857142857140005</v>
      </c>
      <c r="J386" s="634">
        <f t="shared" si="34"/>
        <v>2122.1428571428573</v>
      </c>
      <c r="K386" s="90">
        <f t="shared" si="39"/>
        <v>975</v>
      </c>
      <c r="L386" s="58">
        <f t="shared" si="35"/>
        <v>-501.28571428571399</v>
      </c>
      <c r="M386" s="120"/>
      <c r="N386" s="111">
        <f t="shared" si="40"/>
        <v>50</v>
      </c>
      <c r="O386" s="101"/>
      <c r="P386" s="101">
        <f t="shared" si="41"/>
        <v>0</v>
      </c>
      <c r="Q386" s="100"/>
    </row>
    <row r="387" spans="1:17" ht="15" customHeight="1">
      <c r="A387" s="120"/>
      <c r="B387" s="114"/>
      <c r="C387" s="174">
        <f>IF(初期登録!$B$10*12+初期登録!$D$10&lt;$A387,"",11)</f>
        <v>11</v>
      </c>
      <c r="D387" s="641">
        <v>42.857142857142854</v>
      </c>
      <c r="E387" s="88">
        <v>87.5</v>
      </c>
      <c r="F387" s="642">
        <v>85.714285714285708</v>
      </c>
      <c r="G387" s="89">
        <f t="shared" si="36"/>
        <v>115.00000000000026</v>
      </c>
      <c r="H387" s="90">
        <f t="shared" si="37"/>
        <v>1012.5</v>
      </c>
      <c r="I387" s="91">
        <f t="shared" si="38"/>
        <v>34.428571428571708</v>
      </c>
      <c r="J387" s="634">
        <f t="shared" si="34"/>
        <v>2115.0000000000005</v>
      </c>
      <c r="K387" s="90">
        <f t="shared" si="39"/>
        <v>1012.5</v>
      </c>
      <c r="L387" s="58">
        <f t="shared" si="35"/>
        <v>-465.57142857142827</v>
      </c>
      <c r="M387" s="120"/>
      <c r="N387" s="111">
        <f t="shared" si="40"/>
        <v>50</v>
      </c>
      <c r="O387" s="101"/>
      <c r="P387" s="101">
        <f t="shared" si="41"/>
        <v>0</v>
      </c>
      <c r="Q387" s="100"/>
    </row>
    <row r="388" spans="1:17" ht="15" customHeight="1">
      <c r="A388" s="120"/>
      <c r="B388" s="116"/>
      <c r="C388" s="177">
        <f>IF(初期登録!$B$10*12+初期登録!$D$10&lt;$A388,"",12)</f>
        <v>12</v>
      </c>
      <c r="D388" s="1034">
        <v>71.428571428571431</v>
      </c>
      <c r="E388" s="1035">
        <v>100</v>
      </c>
      <c r="F388" s="1036">
        <v>71.428571428571431</v>
      </c>
      <c r="G388" s="154">
        <f t="shared" si="36"/>
        <v>136.42857142857167</v>
      </c>
      <c r="H388" s="155">
        <f t="shared" si="37"/>
        <v>1062.5</v>
      </c>
      <c r="I388" s="157">
        <f t="shared" si="38"/>
        <v>55.857142857143138</v>
      </c>
      <c r="J388" s="1037">
        <f t="shared" si="34"/>
        <v>2136.4285714285716</v>
      </c>
      <c r="K388" s="155">
        <f t="shared" si="39"/>
        <v>1062.5</v>
      </c>
      <c r="L388" s="638">
        <f t="shared" si="35"/>
        <v>-444.14285714285688</v>
      </c>
      <c r="M388" s="120"/>
      <c r="N388" s="145">
        <f t="shared" si="40"/>
        <v>50</v>
      </c>
      <c r="O388" s="146"/>
      <c r="P388" s="146">
        <f t="shared" si="41"/>
        <v>0</v>
      </c>
      <c r="Q388" s="104"/>
    </row>
    <row r="389" spans="1:17" ht="15" customHeight="1">
      <c r="A389" s="125"/>
      <c r="B389" s="993" t="s">
        <v>714</v>
      </c>
      <c r="C389" s="178">
        <f>IF(初期登録!$B$10*12+初期登録!$D$10&lt;$A389,"",1)</f>
        <v>1</v>
      </c>
      <c r="D389" s="1038">
        <v>57.142857142857146</v>
      </c>
      <c r="E389" s="1039">
        <v>81.25</v>
      </c>
      <c r="F389" s="1040">
        <v>85.714285714285708</v>
      </c>
      <c r="G389" s="1041">
        <f t="shared" si="36"/>
        <v>143.57142857142881</v>
      </c>
      <c r="H389" s="1042">
        <f t="shared" si="37"/>
        <v>1093.75</v>
      </c>
      <c r="I389" s="1043">
        <f t="shared" si="38"/>
        <v>91.571428571428839</v>
      </c>
      <c r="J389" s="632">
        <f t="shared" si="34"/>
        <v>2143.5714285714289</v>
      </c>
      <c r="K389" s="1042">
        <f t="shared" si="39"/>
        <v>1093.75</v>
      </c>
      <c r="L389" s="633">
        <f t="shared" si="35"/>
        <v>-408.42857142857116</v>
      </c>
      <c r="M389" s="125">
        <v>2011</v>
      </c>
      <c r="N389" s="133">
        <f t="shared" ref="N389:N424" si="42">IF(C388="",NA(),50)</f>
        <v>50</v>
      </c>
      <c r="O389" s="134"/>
      <c r="P389" s="134">
        <f t="shared" ref="P389:P424" si="43">IF(C388="",NA(),0)</f>
        <v>0</v>
      </c>
      <c r="Q389" s="159"/>
    </row>
    <row r="390" spans="1:17" ht="15" customHeight="1">
      <c r="A390" s="120"/>
      <c r="B390" s="114"/>
      <c r="C390" s="174">
        <f>IF(初期登録!$B$10*12+初期登録!$D$10&lt;$A390,"",2)</f>
        <v>2</v>
      </c>
      <c r="D390" s="641">
        <v>35.714285714285715</v>
      </c>
      <c r="E390" s="88">
        <v>75</v>
      </c>
      <c r="F390" s="642">
        <v>57.142857142857146</v>
      </c>
      <c r="G390" s="89">
        <f t="shared" si="36"/>
        <v>129.28571428571453</v>
      </c>
      <c r="H390" s="90">
        <f t="shared" si="37"/>
        <v>1118.75</v>
      </c>
      <c r="I390" s="91">
        <f t="shared" si="38"/>
        <v>98.714285714285978</v>
      </c>
      <c r="J390" s="634">
        <f t="shared" ref="J390:J453" si="44">IF($D390="",NA,$G390+2000)</f>
        <v>2129.2857142857147</v>
      </c>
      <c r="K390" s="90">
        <f t="shared" si="39"/>
        <v>1118.75</v>
      </c>
      <c r="L390" s="58">
        <f t="shared" ref="L390:L453" si="45">IF($F390="",NA,$I390-500)</f>
        <v>-401.28571428571399</v>
      </c>
      <c r="M390" s="120"/>
      <c r="N390" s="111">
        <f t="shared" si="42"/>
        <v>50</v>
      </c>
      <c r="O390" s="101"/>
      <c r="P390" s="101">
        <f t="shared" si="43"/>
        <v>0</v>
      </c>
      <c r="Q390" s="112"/>
    </row>
    <row r="391" spans="1:17" ht="15" customHeight="1">
      <c r="A391" s="120"/>
      <c r="B391" s="114"/>
      <c r="C391" s="174">
        <f>IF(初期登録!$B$10*12+初期登録!$D$10&lt;$A391,"",3)</f>
        <v>3</v>
      </c>
      <c r="D391" s="641">
        <v>14.285714285714286</v>
      </c>
      <c r="E391" s="88">
        <v>16.666666666666668</v>
      </c>
      <c r="F391" s="642">
        <v>50</v>
      </c>
      <c r="G391" s="89">
        <f t="shared" si="36"/>
        <v>93.571428571428811</v>
      </c>
      <c r="H391" s="90">
        <f t="shared" si="37"/>
        <v>1085.4166666666667</v>
      </c>
      <c r="I391" s="91">
        <f t="shared" si="38"/>
        <v>98.714285714285978</v>
      </c>
      <c r="J391" s="634">
        <f t="shared" si="44"/>
        <v>2093.5714285714289</v>
      </c>
      <c r="K391" s="90">
        <f t="shared" si="39"/>
        <v>1085.4166666666667</v>
      </c>
      <c r="L391" s="58">
        <f t="shared" si="45"/>
        <v>-401.28571428571399</v>
      </c>
      <c r="M391" s="120"/>
      <c r="N391" s="111">
        <f t="shared" si="42"/>
        <v>50</v>
      </c>
      <c r="O391" s="101"/>
      <c r="P391" s="101">
        <f t="shared" si="43"/>
        <v>0</v>
      </c>
      <c r="Q391" s="112"/>
    </row>
    <row r="392" spans="1:17" ht="15" customHeight="1">
      <c r="A392" s="120"/>
      <c r="B392" s="114"/>
      <c r="C392" s="174">
        <f>IF(初期登録!$B$10*12+初期登録!$D$10&lt;$A392,"",4)</f>
        <v>4</v>
      </c>
      <c r="D392" s="641">
        <v>35.714285714285715</v>
      </c>
      <c r="E392" s="88">
        <v>0</v>
      </c>
      <c r="F392" s="642">
        <v>50</v>
      </c>
      <c r="G392" s="89">
        <f t="shared" si="36"/>
        <v>79.285714285714533</v>
      </c>
      <c r="H392" s="90">
        <f t="shared" si="37"/>
        <v>1035.4166666666667</v>
      </c>
      <c r="I392" s="91">
        <f t="shared" si="38"/>
        <v>98.714285714285978</v>
      </c>
      <c r="J392" s="634">
        <f t="shared" si="44"/>
        <v>2079.2857142857147</v>
      </c>
      <c r="K392" s="90">
        <f t="shared" si="39"/>
        <v>1035.4166666666667</v>
      </c>
      <c r="L392" s="58">
        <f t="shared" si="45"/>
        <v>-401.28571428571399</v>
      </c>
      <c r="M392" s="120"/>
      <c r="N392" s="111">
        <f t="shared" si="42"/>
        <v>50</v>
      </c>
      <c r="O392" s="101"/>
      <c r="P392" s="101">
        <f t="shared" si="43"/>
        <v>0</v>
      </c>
      <c r="Q392" s="112"/>
    </row>
    <row r="393" spans="1:17" ht="15" customHeight="1">
      <c r="A393" s="120"/>
      <c r="B393" s="114"/>
      <c r="C393" s="174">
        <f>IF(初期登録!$B$10*12+初期登録!$D$10&lt;$A393,"",5)</f>
        <v>5</v>
      </c>
      <c r="D393" s="641">
        <v>42.857142857142854</v>
      </c>
      <c r="E393" s="88">
        <v>0</v>
      </c>
      <c r="F393" s="642">
        <v>42.857142857142854</v>
      </c>
      <c r="G393" s="89">
        <f t="shared" si="36"/>
        <v>72.142857142857395</v>
      </c>
      <c r="H393" s="90">
        <f t="shared" si="37"/>
        <v>985.41666666666674</v>
      </c>
      <c r="I393" s="91">
        <f t="shared" si="38"/>
        <v>91.571428571428839</v>
      </c>
      <c r="J393" s="634">
        <f t="shared" si="44"/>
        <v>2072.1428571428573</v>
      </c>
      <c r="K393" s="90">
        <f t="shared" si="39"/>
        <v>985.41666666666674</v>
      </c>
      <c r="L393" s="58">
        <f t="shared" si="45"/>
        <v>-408.42857142857116</v>
      </c>
      <c r="M393" s="120"/>
      <c r="N393" s="111">
        <f t="shared" si="42"/>
        <v>50</v>
      </c>
      <c r="O393" s="101"/>
      <c r="P393" s="101">
        <f t="shared" si="43"/>
        <v>0</v>
      </c>
      <c r="Q393" s="112"/>
    </row>
    <row r="394" spans="1:17" ht="15" customHeight="1">
      <c r="A394" s="120"/>
      <c r="B394" s="114"/>
      <c r="C394" s="174">
        <f>IF(初期登録!$B$10*12+初期登録!$D$10&lt;$A394,"",6)</f>
        <v>6</v>
      </c>
      <c r="D394" s="641">
        <v>28.571428571428573</v>
      </c>
      <c r="E394" s="88">
        <v>0</v>
      </c>
      <c r="F394" s="642">
        <v>57.142857142857146</v>
      </c>
      <c r="G394" s="89">
        <f t="shared" si="36"/>
        <v>50.714285714285964</v>
      </c>
      <c r="H394" s="90">
        <f t="shared" si="37"/>
        <v>935.41666666666674</v>
      </c>
      <c r="I394" s="91">
        <f t="shared" si="38"/>
        <v>98.714285714285978</v>
      </c>
      <c r="J394" s="634">
        <f t="shared" si="44"/>
        <v>2050.7142857142858</v>
      </c>
      <c r="K394" s="90">
        <f t="shared" si="39"/>
        <v>935.41666666666674</v>
      </c>
      <c r="L394" s="58">
        <f t="shared" si="45"/>
        <v>-401.28571428571399</v>
      </c>
      <c r="M394" s="120"/>
      <c r="N394" s="111">
        <f t="shared" si="42"/>
        <v>50</v>
      </c>
      <c r="O394" s="101"/>
      <c r="P394" s="101">
        <f t="shared" si="43"/>
        <v>0</v>
      </c>
      <c r="Q394" s="112"/>
    </row>
    <row r="395" spans="1:17" ht="15" customHeight="1">
      <c r="A395" s="120"/>
      <c r="B395" s="114"/>
      <c r="C395" s="174">
        <f>IF(初期登録!$B$10*12+初期登録!$D$10&lt;$A395,"",7)</f>
        <v>7</v>
      </c>
      <c r="D395" s="641">
        <v>57.142857142857146</v>
      </c>
      <c r="E395" s="88">
        <v>12.5</v>
      </c>
      <c r="F395" s="642">
        <v>42.857142857142854</v>
      </c>
      <c r="G395" s="89">
        <f t="shared" si="36"/>
        <v>57.85714285714311</v>
      </c>
      <c r="H395" s="90">
        <f t="shared" si="37"/>
        <v>897.91666666666674</v>
      </c>
      <c r="I395" s="91">
        <f t="shared" si="38"/>
        <v>91.571428571428839</v>
      </c>
      <c r="J395" s="634">
        <f t="shared" si="44"/>
        <v>2057.8571428571431</v>
      </c>
      <c r="K395" s="90">
        <f t="shared" si="39"/>
        <v>897.91666666666674</v>
      </c>
      <c r="L395" s="58">
        <f t="shared" si="45"/>
        <v>-408.42857142857116</v>
      </c>
      <c r="M395" s="120"/>
      <c r="N395" s="111">
        <f t="shared" si="42"/>
        <v>50</v>
      </c>
      <c r="O395" s="101"/>
      <c r="P395" s="101">
        <f t="shared" si="43"/>
        <v>0</v>
      </c>
      <c r="Q395" s="112"/>
    </row>
    <row r="396" spans="1:17" ht="15" customHeight="1">
      <c r="A396" s="120"/>
      <c r="B396" s="114"/>
      <c r="C396" s="174">
        <f>IF(初期登録!$B$10*12+初期登録!$D$10&lt;$A396,"",8)</f>
        <v>8</v>
      </c>
      <c r="D396" s="641">
        <v>100</v>
      </c>
      <c r="E396" s="88">
        <v>83.333333333333343</v>
      </c>
      <c r="F396" s="642">
        <v>100</v>
      </c>
      <c r="G396" s="89">
        <f t="shared" si="36"/>
        <v>107.85714285714312</v>
      </c>
      <c r="H396" s="90">
        <f t="shared" si="37"/>
        <v>931.25000000000011</v>
      </c>
      <c r="I396" s="91">
        <f t="shared" si="38"/>
        <v>141.57142857142884</v>
      </c>
      <c r="J396" s="634">
        <f t="shared" si="44"/>
        <v>2107.8571428571431</v>
      </c>
      <c r="K396" s="90">
        <f t="shared" si="39"/>
        <v>931.25000000000011</v>
      </c>
      <c r="L396" s="58">
        <f t="shared" si="45"/>
        <v>-358.42857142857116</v>
      </c>
      <c r="M396" s="120"/>
      <c r="N396" s="111">
        <f t="shared" si="42"/>
        <v>50</v>
      </c>
      <c r="O396" s="101"/>
      <c r="P396" s="101">
        <f t="shared" si="43"/>
        <v>0</v>
      </c>
      <c r="Q396" s="112"/>
    </row>
    <row r="397" spans="1:17" ht="15" customHeight="1">
      <c r="A397" s="120"/>
      <c r="B397" s="114"/>
      <c r="C397" s="174">
        <f>IF(初期登録!$B$10*12+初期登録!$D$10&lt;$A397,"",9)</f>
        <v>9</v>
      </c>
      <c r="D397" s="641">
        <v>100</v>
      </c>
      <c r="E397" s="88">
        <v>100</v>
      </c>
      <c r="F397" s="642">
        <v>83.333333333333343</v>
      </c>
      <c r="G397" s="89">
        <f t="shared" si="36"/>
        <v>157.85714285714312</v>
      </c>
      <c r="H397" s="90">
        <f t="shared" si="37"/>
        <v>981.25000000000011</v>
      </c>
      <c r="I397" s="91">
        <f t="shared" si="38"/>
        <v>174.90476190476218</v>
      </c>
      <c r="J397" s="634">
        <f t="shared" si="44"/>
        <v>2157.8571428571431</v>
      </c>
      <c r="K397" s="90">
        <f t="shared" si="39"/>
        <v>981.25000000000011</v>
      </c>
      <c r="L397" s="58">
        <f t="shared" si="45"/>
        <v>-325.09523809523785</v>
      </c>
      <c r="M397" s="120"/>
      <c r="N397" s="111">
        <f t="shared" si="42"/>
        <v>50</v>
      </c>
      <c r="O397" s="101"/>
      <c r="P397" s="101">
        <f t="shared" si="43"/>
        <v>0</v>
      </c>
      <c r="Q397" s="112"/>
    </row>
    <row r="398" spans="1:17" ht="15" customHeight="1">
      <c r="A398" s="120"/>
      <c r="B398" s="114"/>
      <c r="C398" s="174">
        <f>IF(初期登録!$B$10*12+初期登録!$D$10&lt;$A398,"",10)</f>
        <v>10</v>
      </c>
      <c r="D398" s="641">
        <v>85.714285714285708</v>
      </c>
      <c r="E398" s="88">
        <v>75</v>
      </c>
      <c r="F398" s="642">
        <v>57.142857142857146</v>
      </c>
      <c r="G398" s="89">
        <f t="shared" si="36"/>
        <v>193.57142857142884</v>
      </c>
      <c r="H398" s="90">
        <f t="shared" si="37"/>
        <v>1006.2500000000001</v>
      </c>
      <c r="I398" s="91">
        <f t="shared" si="38"/>
        <v>182.04761904761932</v>
      </c>
      <c r="J398" s="634">
        <f t="shared" si="44"/>
        <v>2193.5714285714289</v>
      </c>
      <c r="K398" s="90">
        <f t="shared" si="39"/>
        <v>1006.2500000000001</v>
      </c>
      <c r="L398" s="58">
        <f t="shared" si="45"/>
        <v>-317.95238095238068</v>
      </c>
      <c r="M398" s="120"/>
      <c r="N398" s="111">
        <f t="shared" si="42"/>
        <v>50</v>
      </c>
      <c r="O398" s="146"/>
      <c r="P398" s="146">
        <f t="shared" si="43"/>
        <v>0</v>
      </c>
      <c r="Q398" s="112"/>
    </row>
    <row r="399" spans="1:17" ht="15" customHeight="1">
      <c r="A399" s="120"/>
      <c r="B399" s="114"/>
      <c r="C399" s="174">
        <f>IF(初期登録!$B$10*12+初期登録!$D$10&lt;$A399,"",11)</f>
        <v>11</v>
      </c>
      <c r="D399" s="641">
        <v>100</v>
      </c>
      <c r="E399" s="88">
        <v>62.5</v>
      </c>
      <c r="F399" s="642">
        <v>71.428571428571431</v>
      </c>
      <c r="G399" s="89">
        <f t="shared" si="36"/>
        <v>243.57142857142884</v>
      </c>
      <c r="H399" s="90">
        <f t="shared" si="37"/>
        <v>1018.7500000000001</v>
      </c>
      <c r="I399" s="91">
        <f t="shared" si="38"/>
        <v>203.47619047619077</v>
      </c>
      <c r="J399" s="634">
        <f t="shared" si="44"/>
        <v>2243.5714285714289</v>
      </c>
      <c r="K399" s="90">
        <f t="shared" si="39"/>
        <v>1018.7500000000001</v>
      </c>
      <c r="L399" s="58">
        <f t="shared" si="45"/>
        <v>-296.52380952380923</v>
      </c>
      <c r="M399" s="120"/>
      <c r="N399" s="170">
        <f t="shared" si="42"/>
        <v>50</v>
      </c>
      <c r="O399" s="101"/>
      <c r="P399" s="101">
        <f t="shared" si="43"/>
        <v>0</v>
      </c>
      <c r="Q399" s="577"/>
    </row>
    <row r="400" spans="1:17" ht="15" customHeight="1">
      <c r="A400" s="132"/>
      <c r="C400" s="176">
        <f>IF(初期登録!$B$10*12+初期登録!$D$10&lt;$A400,"",12)</f>
        <v>12</v>
      </c>
      <c r="D400" s="1034">
        <v>71.428571428571431</v>
      </c>
      <c r="E400" s="1035">
        <v>75</v>
      </c>
      <c r="F400" s="1036">
        <v>57.142857142857146</v>
      </c>
      <c r="G400" s="154">
        <f t="shared" si="36"/>
        <v>265.00000000000028</v>
      </c>
      <c r="H400" s="155">
        <f t="shared" si="37"/>
        <v>1043.75</v>
      </c>
      <c r="I400" s="157">
        <f t="shared" si="38"/>
        <v>210.6190476190479</v>
      </c>
      <c r="J400" s="1037">
        <f t="shared" si="44"/>
        <v>2265.0000000000005</v>
      </c>
      <c r="K400" s="155">
        <f t="shared" si="39"/>
        <v>1043.75</v>
      </c>
      <c r="L400" s="638">
        <f t="shared" si="45"/>
        <v>-289.38095238095207</v>
      </c>
      <c r="M400" s="120"/>
      <c r="N400" s="1250">
        <f t="shared" si="42"/>
        <v>50</v>
      </c>
      <c r="O400" s="179"/>
      <c r="P400" s="137">
        <f t="shared" si="43"/>
        <v>0</v>
      </c>
      <c r="Q400" s="578"/>
    </row>
    <row r="401" spans="1:17" ht="15" customHeight="1">
      <c r="A401" s="180"/>
      <c r="B401" s="995" t="s">
        <v>715</v>
      </c>
      <c r="C401" s="178">
        <f>IF(初期登録!$B$10*12+初期登録!$D$10&lt;$A401,"",1)</f>
        <v>1</v>
      </c>
      <c r="D401" s="1038">
        <v>92.857142857142861</v>
      </c>
      <c r="E401" s="1039">
        <v>87.5</v>
      </c>
      <c r="F401" s="1040">
        <v>42.857142857142854</v>
      </c>
      <c r="G401" s="1041">
        <f t="shared" si="36"/>
        <v>307.85714285714312</v>
      </c>
      <c r="H401" s="1042">
        <f t="shared" si="37"/>
        <v>1081.25</v>
      </c>
      <c r="I401" s="1043">
        <f t="shared" si="38"/>
        <v>203.47619047619077</v>
      </c>
      <c r="J401" s="632">
        <f t="shared" si="44"/>
        <v>2307.8571428571431</v>
      </c>
      <c r="K401" s="1042">
        <f t="shared" si="39"/>
        <v>1081.25</v>
      </c>
      <c r="L401" s="633">
        <f t="shared" si="45"/>
        <v>-296.52380952380923</v>
      </c>
      <c r="M401" s="188">
        <v>2012</v>
      </c>
      <c r="N401" s="171">
        <f t="shared" si="42"/>
        <v>50</v>
      </c>
      <c r="O401" s="134"/>
      <c r="P401" s="134">
        <f t="shared" si="43"/>
        <v>0</v>
      </c>
      <c r="Q401" s="159"/>
    </row>
    <row r="402" spans="1:17" ht="15" customHeight="1">
      <c r="A402" s="117"/>
      <c r="B402" s="185"/>
      <c r="C402" s="174">
        <f>IF(初期登録!$B$10*12+初期登録!$D$10&lt;$A402,"",2)</f>
        <v>2</v>
      </c>
      <c r="D402" s="641">
        <v>85.714285714285708</v>
      </c>
      <c r="E402" s="88">
        <v>75</v>
      </c>
      <c r="F402" s="642">
        <v>42.857142857142854</v>
      </c>
      <c r="G402" s="89">
        <f t="shared" si="36"/>
        <v>343.57142857142884</v>
      </c>
      <c r="H402" s="90">
        <f t="shared" si="37"/>
        <v>1106.25</v>
      </c>
      <c r="I402" s="91">
        <f t="shared" si="38"/>
        <v>196.33333333333363</v>
      </c>
      <c r="J402" s="634">
        <f t="shared" si="44"/>
        <v>2343.5714285714289</v>
      </c>
      <c r="K402" s="90">
        <f t="shared" si="39"/>
        <v>1106.25</v>
      </c>
      <c r="L402" s="58">
        <f t="shared" si="45"/>
        <v>-303.6666666666664</v>
      </c>
      <c r="M402" s="189"/>
      <c r="N402" s="172">
        <f t="shared" si="42"/>
        <v>50</v>
      </c>
      <c r="O402" s="101"/>
      <c r="P402" s="101">
        <f t="shared" si="43"/>
        <v>0</v>
      </c>
      <c r="Q402" s="112"/>
    </row>
    <row r="403" spans="1:17" ht="15" customHeight="1">
      <c r="A403" s="117"/>
      <c r="B403" s="185"/>
      <c r="C403" s="174">
        <f>IF(初期登録!$B$10*12+初期登録!$D$10&lt;$A403,"",3)</f>
        <v>3</v>
      </c>
      <c r="D403" s="641">
        <v>71.428571428571431</v>
      </c>
      <c r="E403" s="88">
        <v>75</v>
      </c>
      <c r="F403" s="642">
        <v>57.142857142857146</v>
      </c>
      <c r="G403" s="89">
        <f t="shared" si="36"/>
        <v>365.00000000000028</v>
      </c>
      <c r="H403" s="90">
        <f t="shared" si="37"/>
        <v>1131.25</v>
      </c>
      <c r="I403" s="91">
        <f t="shared" si="38"/>
        <v>203.47619047619077</v>
      </c>
      <c r="J403" s="634">
        <f t="shared" si="44"/>
        <v>2365.0000000000005</v>
      </c>
      <c r="K403" s="90">
        <f t="shared" si="39"/>
        <v>1131.25</v>
      </c>
      <c r="L403" s="58">
        <f t="shared" si="45"/>
        <v>-296.52380952380923</v>
      </c>
      <c r="M403" s="189"/>
      <c r="N403" s="172">
        <f t="shared" si="42"/>
        <v>50</v>
      </c>
      <c r="O403" s="101"/>
      <c r="P403" s="101">
        <f t="shared" si="43"/>
        <v>0</v>
      </c>
      <c r="Q403" s="112"/>
    </row>
    <row r="404" spans="1:17" ht="15" customHeight="1">
      <c r="A404" s="117"/>
      <c r="B404" s="185"/>
      <c r="C404" s="174">
        <f>IF(初期登録!$B$10*12+初期登録!$D$10&lt;$A404,"",4)</f>
        <v>4</v>
      </c>
      <c r="D404" s="641">
        <v>85.714285714285708</v>
      </c>
      <c r="E404" s="88">
        <v>75</v>
      </c>
      <c r="F404" s="642">
        <v>64.285714285714292</v>
      </c>
      <c r="G404" s="89">
        <f t="shared" si="36"/>
        <v>400.71428571428601</v>
      </c>
      <c r="H404" s="90">
        <f t="shared" si="37"/>
        <v>1156.25</v>
      </c>
      <c r="I404" s="91">
        <f t="shared" si="38"/>
        <v>217.76190476190504</v>
      </c>
      <c r="J404" s="634">
        <f t="shared" si="44"/>
        <v>2400.7142857142862</v>
      </c>
      <c r="K404" s="90">
        <f t="shared" si="39"/>
        <v>1156.25</v>
      </c>
      <c r="L404" s="58">
        <f t="shared" si="45"/>
        <v>-282.23809523809496</v>
      </c>
      <c r="M404" s="189"/>
      <c r="N404" s="172">
        <f t="shared" si="42"/>
        <v>50</v>
      </c>
      <c r="O404" s="101">
        <v>99</v>
      </c>
      <c r="P404" s="101">
        <f t="shared" si="43"/>
        <v>0</v>
      </c>
      <c r="Q404" s="112">
        <v>2980</v>
      </c>
    </row>
    <row r="405" spans="1:17" ht="15" customHeight="1">
      <c r="A405" s="117"/>
      <c r="B405" s="185"/>
      <c r="C405" s="174">
        <f>IF(初期登録!$B$10*12+初期登録!$D$10&lt;$A405,"",5)</f>
        <v>5</v>
      </c>
      <c r="D405" s="641">
        <v>100</v>
      </c>
      <c r="E405" s="88">
        <v>75</v>
      </c>
      <c r="F405" s="642">
        <v>71.428571428571431</v>
      </c>
      <c r="G405" s="89">
        <f t="shared" si="36"/>
        <v>450.71428571428601</v>
      </c>
      <c r="H405" s="90">
        <f t="shared" si="37"/>
        <v>1181.25</v>
      </c>
      <c r="I405" s="91">
        <f t="shared" si="38"/>
        <v>239.19047619047649</v>
      </c>
      <c r="J405" s="634">
        <f t="shared" si="44"/>
        <v>2450.7142857142862</v>
      </c>
      <c r="K405" s="90">
        <f t="shared" si="39"/>
        <v>1181.25</v>
      </c>
      <c r="L405" s="58">
        <f t="shared" si="45"/>
        <v>-260.80952380952351</v>
      </c>
      <c r="M405" s="189"/>
      <c r="N405" s="172">
        <f t="shared" si="42"/>
        <v>50</v>
      </c>
      <c r="O405" s="101">
        <v>99</v>
      </c>
      <c r="P405" s="101">
        <f t="shared" si="43"/>
        <v>0</v>
      </c>
      <c r="Q405" s="112">
        <v>2980</v>
      </c>
    </row>
    <row r="406" spans="1:17" ht="15" customHeight="1">
      <c r="A406" s="117"/>
      <c r="B406" s="185"/>
      <c r="C406" s="174">
        <f>IF(初期登録!$B$10*12+初期登録!$D$10&lt;$A406,"",6)</f>
        <v>6</v>
      </c>
      <c r="D406" s="641">
        <v>57.142857142857146</v>
      </c>
      <c r="E406" s="88">
        <v>37.5</v>
      </c>
      <c r="F406" s="642">
        <v>71.428571428571431</v>
      </c>
      <c r="G406" s="89">
        <f t="shared" si="36"/>
        <v>457.85714285714317</v>
      </c>
      <c r="H406" s="90">
        <f t="shared" si="37"/>
        <v>1168.75</v>
      </c>
      <c r="I406" s="91">
        <f t="shared" si="38"/>
        <v>260.61904761904793</v>
      </c>
      <c r="J406" s="634">
        <f t="shared" si="44"/>
        <v>2457.8571428571431</v>
      </c>
      <c r="K406" s="90">
        <f t="shared" si="39"/>
        <v>1168.75</v>
      </c>
      <c r="L406" s="58">
        <f t="shared" si="45"/>
        <v>-239.38095238095207</v>
      </c>
      <c r="M406" s="189"/>
      <c r="N406" s="172">
        <f t="shared" si="42"/>
        <v>50</v>
      </c>
      <c r="O406" s="101">
        <v>99</v>
      </c>
      <c r="P406" s="101">
        <f t="shared" si="43"/>
        <v>0</v>
      </c>
      <c r="Q406" s="112">
        <v>2980</v>
      </c>
    </row>
    <row r="407" spans="1:17" ht="15" customHeight="1">
      <c r="A407" s="117"/>
      <c r="B407" s="185"/>
      <c r="C407" s="174">
        <f>IF(初期登録!$B$10*12+初期登録!$D$10&lt;$A407,"",7)</f>
        <v>7</v>
      </c>
      <c r="D407" s="641">
        <v>71.428571428571431</v>
      </c>
      <c r="E407" s="88">
        <v>62.5</v>
      </c>
      <c r="F407" s="642">
        <v>57.142857142857146</v>
      </c>
      <c r="G407" s="89">
        <f t="shared" si="36"/>
        <v>479.28571428571462</v>
      </c>
      <c r="H407" s="90">
        <f t="shared" si="37"/>
        <v>1181.25</v>
      </c>
      <c r="I407" s="91">
        <f t="shared" si="38"/>
        <v>267.7619047619051</v>
      </c>
      <c r="J407" s="634">
        <f t="shared" si="44"/>
        <v>2479.2857142857147</v>
      </c>
      <c r="K407" s="90">
        <f t="shared" si="39"/>
        <v>1181.25</v>
      </c>
      <c r="L407" s="58">
        <f t="shared" si="45"/>
        <v>-232.2380952380949</v>
      </c>
      <c r="M407" s="189"/>
      <c r="N407" s="172">
        <f t="shared" si="42"/>
        <v>50</v>
      </c>
      <c r="O407" s="101">
        <v>99</v>
      </c>
      <c r="P407" s="101">
        <f t="shared" si="43"/>
        <v>0</v>
      </c>
      <c r="Q407" s="112">
        <v>2980</v>
      </c>
    </row>
    <row r="408" spans="1:17" ht="15" customHeight="1">
      <c r="A408" s="117"/>
      <c r="B408" s="185"/>
      <c r="C408" s="174">
        <f>IF(初期登録!$B$10*12+初期登録!$D$10&lt;$A408,"",8)</f>
        <v>8</v>
      </c>
      <c r="D408" s="641">
        <v>64.285714285714292</v>
      </c>
      <c r="E408" s="88">
        <v>25</v>
      </c>
      <c r="F408" s="642">
        <v>57.142857142857146</v>
      </c>
      <c r="G408" s="89">
        <f t="shared" si="36"/>
        <v>493.5714285714289</v>
      </c>
      <c r="H408" s="90">
        <f t="shared" si="37"/>
        <v>1156.25</v>
      </c>
      <c r="I408" s="91">
        <f t="shared" si="38"/>
        <v>274.90476190476227</v>
      </c>
      <c r="J408" s="634">
        <f t="shared" si="44"/>
        <v>2493.5714285714289</v>
      </c>
      <c r="K408" s="90">
        <f t="shared" si="39"/>
        <v>1156.25</v>
      </c>
      <c r="L408" s="58">
        <f t="shared" si="45"/>
        <v>-225.09523809523773</v>
      </c>
      <c r="M408" s="189"/>
      <c r="N408" s="172">
        <f t="shared" si="42"/>
        <v>50</v>
      </c>
      <c r="O408" s="101">
        <v>99</v>
      </c>
      <c r="P408" s="101">
        <f t="shared" si="43"/>
        <v>0</v>
      </c>
      <c r="Q408" s="112">
        <v>2980</v>
      </c>
    </row>
    <row r="409" spans="1:17" ht="15" customHeight="1">
      <c r="A409" s="117"/>
      <c r="B409" s="185"/>
      <c r="C409" s="174">
        <f>IF(初期登録!$B$10*12+初期登録!$D$10&lt;$A409,"",9)</f>
        <v>9</v>
      </c>
      <c r="D409" s="641">
        <v>28.571428571428573</v>
      </c>
      <c r="E409" s="88">
        <v>37.5</v>
      </c>
      <c r="F409" s="642">
        <v>64.285714285714292</v>
      </c>
      <c r="G409" s="89">
        <f t="shared" si="36"/>
        <v>472.14285714285745</v>
      </c>
      <c r="H409" s="90">
        <f t="shared" si="37"/>
        <v>1143.75</v>
      </c>
      <c r="I409" s="91">
        <f t="shared" si="38"/>
        <v>289.19047619047655</v>
      </c>
      <c r="J409" s="634">
        <f t="shared" si="44"/>
        <v>2472.1428571428573</v>
      </c>
      <c r="K409" s="90">
        <f t="shared" si="39"/>
        <v>1143.75</v>
      </c>
      <c r="L409" s="58">
        <f t="shared" si="45"/>
        <v>-210.80952380952345</v>
      </c>
      <c r="M409" s="189"/>
      <c r="N409" s="172">
        <f t="shared" si="42"/>
        <v>50</v>
      </c>
      <c r="O409" s="101">
        <v>99</v>
      </c>
      <c r="P409" s="101">
        <f t="shared" si="43"/>
        <v>0</v>
      </c>
      <c r="Q409" s="112">
        <v>2980</v>
      </c>
    </row>
    <row r="410" spans="1:17" ht="15" customHeight="1">
      <c r="A410" s="117"/>
      <c r="B410" s="185"/>
      <c r="C410" s="174">
        <f>IF(初期登録!$B$10*12+初期登録!$D$10&lt;$A410,"",10)</f>
        <v>10</v>
      </c>
      <c r="D410" s="641">
        <v>35.714285714285715</v>
      </c>
      <c r="E410" s="88">
        <v>12.5</v>
      </c>
      <c r="F410" s="642">
        <v>42.857142857142854</v>
      </c>
      <c r="G410" s="89">
        <f t="shared" si="36"/>
        <v>457.85714285714317</v>
      </c>
      <c r="H410" s="90">
        <f t="shared" si="37"/>
        <v>1106.25</v>
      </c>
      <c r="I410" s="91">
        <f t="shared" si="38"/>
        <v>282.04761904761938</v>
      </c>
      <c r="J410" s="634">
        <f t="shared" si="44"/>
        <v>2457.8571428571431</v>
      </c>
      <c r="K410" s="90">
        <f t="shared" si="39"/>
        <v>1106.25</v>
      </c>
      <c r="L410" s="58">
        <f t="shared" si="45"/>
        <v>-217.95238095238062</v>
      </c>
      <c r="M410" s="189"/>
      <c r="N410" s="172">
        <f t="shared" si="42"/>
        <v>50</v>
      </c>
      <c r="O410" s="101">
        <v>99</v>
      </c>
      <c r="P410" s="101">
        <f t="shared" si="43"/>
        <v>0</v>
      </c>
      <c r="Q410" s="112">
        <v>2980</v>
      </c>
    </row>
    <row r="411" spans="1:17" ht="15" customHeight="1">
      <c r="A411" s="117"/>
      <c r="B411" s="185"/>
      <c r="C411" s="174">
        <f>IF(初期登録!$B$10*12+初期登録!$D$10&lt;$A411,"",11)</f>
        <v>11</v>
      </c>
      <c r="D411" s="641">
        <v>42.857142857142854</v>
      </c>
      <c r="E411" s="88">
        <v>12.5</v>
      </c>
      <c r="F411" s="642">
        <v>57.142857142857146</v>
      </c>
      <c r="G411" s="89">
        <f t="shared" si="36"/>
        <v>450.71428571428601</v>
      </c>
      <c r="H411" s="90">
        <f t="shared" si="37"/>
        <v>1068.75</v>
      </c>
      <c r="I411" s="91">
        <f t="shared" si="38"/>
        <v>289.19047619047655</v>
      </c>
      <c r="J411" s="634">
        <f t="shared" si="44"/>
        <v>2450.7142857142862</v>
      </c>
      <c r="K411" s="90">
        <f t="shared" si="39"/>
        <v>1068.75</v>
      </c>
      <c r="L411" s="58">
        <f t="shared" si="45"/>
        <v>-210.80952380952345</v>
      </c>
      <c r="M411" s="189"/>
      <c r="N411" s="172">
        <f t="shared" si="42"/>
        <v>50</v>
      </c>
      <c r="O411" s="101">
        <v>99</v>
      </c>
      <c r="P411" s="101">
        <f t="shared" si="43"/>
        <v>0</v>
      </c>
      <c r="Q411" s="112">
        <v>2980</v>
      </c>
    </row>
    <row r="412" spans="1:17" ht="15" customHeight="1">
      <c r="A412" s="181"/>
      <c r="B412" s="186"/>
      <c r="C412" s="175">
        <f>IF(初期登録!$B$10*12+初期登録!$D$10&lt;$A412,"",12)</f>
        <v>12</v>
      </c>
      <c r="D412" s="1034">
        <v>14.285714285714286</v>
      </c>
      <c r="E412" s="1035">
        <v>37.5</v>
      </c>
      <c r="F412" s="1036">
        <v>57.142857142857146</v>
      </c>
      <c r="G412" s="154">
        <f t="shared" si="36"/>
        <v>415.00000000000028</v>
      </c>
      <c r="H412" s="155">
        <f t="shared" si="37"/>
        <v>1056.25</v>
      </c>
      <c r="I412" s="157">
        <f t="shared" si="38"/>
        <v>296.33333333333371</v>
      </c>
      <c r="J412" s="1037">
        <f t="shared" si="44"/>
        <v>2415.0000000000005</v>
      </c>
      <c r="K412" s="155">
        <f t="shared" si="39"/>
        <v>1056.25</v>
      </c>
      <c r="L412" s="638">
        <f t="shared" si="45"/>
        <v>-203.66666666666629</v>
      </c>
      <c r="M412" s="189"/>
      <c r="N412" s="182">
        <f t="shared" si="42"/>
        <v>50</v>
      </c>
      <c r="O412" s="137"/>
      <c r="P412" s="137">
        <f t="shared" si="43"/>
        <v>0</v>
      </c>
      <c r="Q412" s="138"/>
    </row>
    <row r="413" spans="1:17" ht="15" customHeight="1">
      <c r="A413" s="180"/>
      <c r="B413" s="184">
        <v>25</v>
      </c>
      <c r="C413" s="178">
        <f>IF(初期登録!$B$10*12+初期登録!$D$10&lt;$A413,"",1)</f>
        <v>1</v>
      </c>
      <c r="D413" s="1038">
        <v>42.857142857142854</v>
      </c>
      <c r="E413" s="1039">
        <v>50</v>
      </c>
      <c r="F413" s="1040">
        <v>14.285714285714286</v>
      </c>
      <c r="G413" s="1041">
        <f t="shared" si="36"/>
        <v>407.85714285714312</v>
      </c>
      <c r="H413" s="1042">
        <f t="shared" si="37"/>
        <v>1056.25</v>
      </c>
      <c r="I413" s="1043">
        <f t="shared" si="38"/>
        <v>260.61904761904799</v>
      </c>
      <c r="J413" s="632">
        <f t="shared" si="44"/>
        <v>2407.8571428571431</v>
      </c>
      <c r="K413" s="1042">
        <f t="shared" si="39"/>
        <v>1056.25</v>
      </c>
      <c r="L413" s="633">
        <f t="shared" si="45"/>
        <v>-239.38095238095201</v>
      </c>
      <c r="M413" s="188">
        <v>2013</v>
      </c>
      <c r="N413" s="171">
        <f t="shared" si="42"/>
        <v>50</v>
      </c>
      <c r="O413" s="134"/>
      <c r="P413" s="134">
        <f t="shared" si="43"/>
        <v>0</v>
      </c>
      <c r="Q413" s="159"/>
    </row>
    <row r="414" spans="1:17" ht="15" customHeight="1">
      <c r="A414" s="117"/>
      <c r="B414" s="185"/>
      <c r="C414" s="174">
        <f>IF(初期登録!$B$10*12+初期登録!$D$10&lt;$A414,"",2)</f>
        <v>2</v>
      </c>
      <c r="D414" s="641">
        <v>57.142857142857146</v>
      </c>
      <c r="E414" s="88">
        <v>50</v>
      </c>
      <c r="F414" s="642">
        <v>42.857142857142854</v>
      </c>
      <c r="G414" s="89">
        <f t="shared" si="36"/>
        <v>415.00000000000028</v>
      </c>
      <c r="H414" s="90">
        <f t="shared" si="37"/>
        <v>1056.25</v>
      </c>
      <c r="I414" s="91">
        <f t="shared" si="38"/>
        <v>253.47619047619085</v>
      </c>
      <c r="J414" s="634">
        <f t="shared" si="44"/>
        <v>2415.0000000000005</v>
      </c>
      <c r="K414" s="90">
        <f t="shared" si="39"/>
        <v>1056.25</v>
      </c>
      <c r="L414" s="58">
        <f t="shared" si="45"/>
        <v>-246.52380952380915</v>
      </c>
      <c r="M414" s="189"/>
      <c r="N414" s="172">
        <f t="shared" si="42"/>
        <v>50</v>
      </c>
      <c r="O414" s="101"/>
      <c r="P414" s="101">
        <f t="shared" si="43"/>
        <v>0</v>
      </c>
      <c r="Q414" s="112"/>
    </row>
    <row r="415" spans="1:17" ht="15" customHeight="1">
      <c r="A415" s="117"/>
      <c r="B415" s="185"/>
      <c r="C415" s="174">
        <f>IF(初期登録!$B$10*12+初期登録!$D$10&lt;$A415,"",3)</f>
        <v>3</v>
      </c>
      <c r="D415" s="641">
        <v>57.142857142857146</v>
      </c>
      <c r="E415" s="88">
        <v>62.5</v>
      </c>
      <c r="F415" s="642">
        <v>71.428571428571431</v>
      </c>
      <c r="G415" s="89">
        <f t="shared" si="36"/>
        <v>422.14285714285745</v>
      </c>
      <c r="H415" s="90">
        <f t="shared" si="37"/>
        <v>1068.75</v>
      </c>
      <c r="I415" s="91">
        <f t="shared" si="38"/>
        <v>274.90476190476227</v>
      </c>
      <c r="J415" s="634">
        <f t="shared" si="44"/>
        <v>2422.1428571428573</v>
      </c>
      <c r="K415" s="90">
        <f t="shared" si="39"/>
        <v>1068.75</v>
      </c>
      <c r="L415" s="58">
        <f t="shared" si="45"/>
        <v>-225.09523809523773</v>
      </c>
      <c r="M415" s="189"/>
      <c r="N415" s="172">
        <f t="shared" si="42"/>
        <v>50</v>
      </c>
      <c r="O415" s="101"/>
      <c r="P415" s="101">
        <f t="shared" si="43"/>
        <v>0</v>
      </c>
      <c r="Q415" s="112"/>
    </row>
    <row r="416" spans="1:17" ht="15" customHeight="1">
      <c r="A416" s="117"/>
      <c r="B416" s="185"/>
      <c r="C416" s="174">
        <f>IF(初期登録!$B$10*12+初期登録!$D$10&lt;$A416,"",4)</f>
        <v>4</v>
      </c>
      <c r="D416" s="641">
        <v>28.571428571428573</v>
      </c>
      <c r="E416" s="88">
        <v>62.5</v>
      </c>
      <c r="F416" s="642">
        <v>57.142857142857146</v>
      </c>
      <c r="G416" s="89">
        <f t="shared" si="36"/>
        <v>400.71428571428601</v>
      </c>
      <c r="H416" s="90">
        <f t="shared" si="37"/>
        <v>1081.25</v>
      </c>
      <c r="I416" s="91">
        <f t="shared" si="38"/>
        <v>282.04761904761943</v>
      </c>
      <c r="J416" s="634">
        <f t="shared" si="44"/>
        <v>2400.7142857142862</v>
      </c>
      <c r="K416" s="90">
        <f t="shared" si="39"/>
        <v>1081.25</v>
      </c>
      <c r="L416" s="58">
        <f t="shared" si="45"/>
        <v>-217.95238095238057</v>
      </c>
      <c r="M416" s="189"/>
      <c r="N416" s="172">
        <f t="shared" si="42"/>
        <v>50</v>
      </c>
      <c r="O416" s="101"/>
      <c r="P416" s="101">
        <f t="shared" si="43"/>
        <v>0</v>
      </c>
      <c r="Q416" s="112"/>
    </row>
    <row r="417" spans="1:17" ht="15" customHeight="1">
      <c r="A417" s="117"/>
      <c r="B417" s="185"/>
      <c r="C417" s="174">
        <f>IF(初期登録!$B$10*12+初期登録!$D$10&lt;$A417,"",5)</f>
        <v>5</v>
      </c>
      <c r="D417" s="641">
        <v>71.428571428571431</v>
      </c>
      <c r="E417" s="88">
        <v>50</v>
      </c>
      <c r="F417" s="642">
        <v>71.428571428571431</v>
      </c>
      <c r="G417" s="89">
        <f t="shared" si="36"/>
        <v>422.14285714285745</v>
      </c>
      <c r="H417" s="90">
        <f t="shared" si="37"/>
        <v>1081.25</v>
      </c>
      <c r="I417" s="91">
        <f t="shared" si="38"/>
        <v>303.47619047619088</v>
      </c>
      <c r="J417" s="634">
        <f t="shared" si="44"/>
        <v>2422.1428571428573</v>
      </c>
      <c r="K417" s="90">
        <f t="shared" si="39"/>
        <v>1081.25</v>
      </c>
      <c r="L417" s="58">
        <f t="shared" si="45"/>
        <v>-196.52380952380912</v>
      </c>
      <c r="M417" s="189"/>
      <c r="N417" s="172">
        <f t="shared" si="42"/>
        <v>50</v>
      </c>
      <c r="O417" s="101"/>
      <c r="P417" s="101">
        <f t="shared" si="43"/>
        <v>0</v>
      </c>
      <c r="Q417" s="112"/>
    </row>
    <row r="418" spans="1:17" ht="15" customHeight="1">
      <c r="A418" s="117"/>
      <c r="B418" s="185"/>
      <c r="C418" s="174">
        <f>IF(初期登録!$B$10*12+初期登録!$D$10&lt;$A418,"",6)</f>
        <v>6</v>
      </c>
      <c r="D418" s="641">
        <v>57.142857142857146</v>
      </c>
      <c r="E418" s="88">
        <v>62.5</v>
      </c>
      <c r="F418" s="642">
        <v>100</v>
      </c>
      <c r="G418" s="89">
        <f t="shared" si="36"/>
        <v>429.28571428571462</v>
      </c>
      <c r="H418" s="90">
        <f t="shared" si="37"/>
        <v>1093.75</v>
      </c>
      <c r="I418" s="91">
        <f t="shared" si="38"/>
        <v>353.47619047619088</v>
      </c>
      <c r="J418" s="634">
        <f t="shared" si="44"/>
        <v>2429.2857142857147</v>
      </c>
      <c r="K418" s="90">
        <f t="shared" si="39"/>
        <v>1093.75</v>
      </c>
      <c r="L418" s="58">
        <f t="shared" si="45"/>
        <v>-146.52380952380912</v>
      </c>
      <c r="M418" s="189"/>
      <c r="N418" s="172">
        <f t="shared" si="42"/>
        <v>50</v>
      </c>
      <c r="O418" s="101"/>
      <c r="P418" s="101">
        <f t="shared" si="43"/>
        <v>0</v>
      </c>
      <c r="Q418" s="112"/>
    </row>
    <row r="419" spans="1:17" ht="15" customHeight="1">
      <c r="A419" s="117"/>
      <c r="B419" s="185"/>
      <c r="C419" s="174">
        <f>IF(初期登録!$B$10*12+初期登録!$D$10&lt;$A419,"",7)</f>
        <v>7</v>
      </c>
      <c r="D419" s="641">
        <v>35.714285714285715</v>
      </c>
      <c r="E419" s="88">
        <v>75</v>
      </c>
      <c r="F419" s="642">
        <v>71.428571428571431</v>
      </c>
      <c r="G419" s="89">
        <f t="shared" si="36"/>
        <v>415.00000000000034</v>
      </c>
      <c r="H419" s="90">
        <f t="shared" si="37"/>
        <v>1118.75</v>
      </c>
      <c r="I419" s="91">
        <f t="shared" si="38"/>
        <v>374.90476190476232</v>
      </c>
      <c r="J419" s="634">
        <f t="shared" si="44"/>
        <v>2415.0000000000005</v>
      </c>
      <c r="K419" s="90">
        <f t="shared" si="39"/>
        <v>1118.75</v>
      </c>
      <c r="L419" s="58">
        <f t="shared" si="45"/>
        <v>-125.09523809523768</v>
      </c>
      <c r="M419" s="189"/>
      <c r="N419" s="172">
        <f t="shared" si="42"/>
        <v>50</v>
      </c>
      <c r="O419" s="101"/>
      <c r="P419" s="101">
        <f t="shared" si="43"/>
        <v>0</v>
      </c>
      <c r="Q419" s="112"/>
    </row>
    <row r="420" spans="1:17" ht="15" customHeight="1">
      <c r="A420" s="117"/>
      <c r="B420" s="185"/>
      <c r="C420" s="174">
        <f>IF(初期登録!$B$10*12+初期登録!$D$10&lt;$A420,"",8)</f>
        <v>8</v>
      </c>
      <c r="D420" s="641">
        <v>57.142857142857146</v>
      </c>
      <c r="E420" s="88">
        <v>50</v>
      </c>
      <c r="F420" s="642">
        <v>57.142857142857146</v>
      </c>
      <c r="G420" s="89">
        <f t="shared" si="36"/>
        <v>422.14285714285751</v>
      </c>
      <c r="H420" s="90">
        <f t="shared" si="37"/>
        <v>1118.75</v>
      </c>
      <c r="I420" s="91">
        <f t="shared" si="38"/>
        <v>382.04761904761949</v>
      </c>
      <c r="J420" s="634">
        <f t="shared" si="44"/>
        <v>2422.1428571428573</v>
      </c>
      <c r="K420" s="90">
        <f t="shared" si="39"/>
        <v>1118.75</v>
      </c>
      <c r="L420" s="58">
        <f t="shared" si="45"/>
        <v>-117.95238095238051</v>
      </c>
      <c r="M420" s="189"/>
      <c r="N420" s="172">
        <f t="shared" si="42"/>
        <v>50</v>
      </c>
      <c r="O420" s="101"/>
      <c r="P420" s="101">
        <f t="shared" si="43"/>
        <v>0</v>
      </c>
      <c r="Q420" s="112"/>
    </row>
    <row r="421" spans="1:17" ht="15" customHeight="1">
      <c r="A421" s="117"/>
      <c r="B421" s="185"/>
      <c r="C421" s="174">
        <f>IF(初期登録!$B$10*12+初期登録!$D$10&lt;$A421,"",9)</f>
        <v>9</v>
      </c>
      <c r="D421" s="641">
        <v>78.571428571428569</v>
      </c>
      <c r="E421" s="88">
        <v>100</v>
      </c>
      <c r="F421" s="642">
        <v>85.714285714285708</v>
      </c>
      <c r="G421" s="89">
        <f t="shared" si="36"/>
        <v>450.71428571428606</v>
      </c>
      <c r="H421" s="90">
        <f t="shared" si="37"/>
        <v>1168.75</v>
      </c>
      <c r="I421" s="91">
        <f t="shared" si="38"/>
        <v>417.76190476190521</v>
      </c>
      <c r="J421" s="634">
        <f t="shared" si="44"/>
        <v>2450.7142857142862</v>
      </c>
      <c r="K421" s="90">
        <f t="shared" si="39"/>
        <v>1168.75</v>
      </c>
      <c r="L421" s="58">
        <f t="shared" si="45"/>
        <v>-82.238095238094786</v>
      </c>
      <c r="M421" s="189"/>
      <c r="N421" s="172">
        <f t="shared" si="42"/>
        <v>50</v>
      </c>
      <c r="O421" s="101"/>
      <c r="P421" s="101">
        <f t="shared" si="43"/>
        <v>0</v>
      </c>
      <c r="Q421" s="112"/>
    </row>
    <row r="422" spans="1:17" ht="15" customHeight="1">
      <c r="A422" s="117"/>
      <c r="B422" s="185"/>
      <c r="C422" s="174">
        <f>IF(初期登録!$B$10*12+初期登録!$D$10&lt;$A422,"",10)</f>
        <v>10</v>
      </c>
      <c r="D422" s="641">
        <v>42.857142857142854</v>
      </c>
      <c r="E422" s="88">
        <v>75</v>
      </c>
      <c r="F422" s="642">
        <v>71.428571428571431</v>
      </c>
      <c r="G422" s="89">
        <f t="shared" si="36"/>
        <v>443.5714285714289</v>
      </c>
      <c r="H422" s="90">
        <f t="shared" si="37"/>
        <v>1193.75</v>
      </c>
      <c r="I422" s="91">
        <f t="shared" si="38"/>
        <v>439.19047619047666</v>
      </c>
      <c r="J422" s="634">
        <f t="shared" si="44"/>
        <v>2443.5714285714289</v>
      </c>
      <c r="K422" s="90">
        <f t="shared" si="39"/>
        <v>1193.75</v>
      </c>
      <c r="L422" s="58">
        <f t="shared" si="45"/>
        <v>-60.809523809523341</v>
      </c>
      <c r="M422" s="189"/>
      <c r="N422" s="172">
        <f t="shared" si="42"/>
        <v>50</v>
      </c>
      <c r="O422" s="101"/>
      <c r="P422" s="101">
        <f t="shared" si="43"/>
        <v>0</v>
      </c>
      <c r="Q422" s="112"/>
    </row>
    <row r="423" spans="1:17" ht="15" customHeight="1">
      <c r="A423" s="117"/>
      <c r="B423" s="185"/>
      <c r="C423" s="174">
        <f>IF(初期登録!$B$10*12+初期登録!$D$10&lt;$A423,"",11)</f>
        <v>11</v>
      </c>
      <c r="D423" s="641">
        <v>57.142857142857146</v>
      </c>
      <c r="E423" s="88">
        <v>62.5</v>
      </c>
      <c r="F423" s="642">
        <v>85.714285714285708</v>
      </c>
      <c r="G423" s="89">
        <f t="shared" ref="G423:G472" si="46">D423-50+G422</f>
        <v>450.71428571428606</v>
      </c>
      <c r="H423" s="90">
        <f t="shared" ref="H423:H472" si="47">E423-50+H422</f>
        <v>1206.25</v>
      </c>
      <c r="I423" s="91">
        <f t="shared" ref="I423:I472" si="48">F423-50+I422</f>
        <v>474.90476190476238</v>
      </c>
      <c r="J423" s="634">
        <f t="shared" si="44"/>
        <v>2450.7142857142862</v>
      </c>
      <c r="K423" s="90">
        <f t="shared" ref="K423:K472" si="49">IF(E423="",NA,H423)</f>
        <v>1206.25</v>
      </c>
      <c r="L423" s="58">
        <f t="shared" si="45"/>
        <v>-25.095238095237619</v>
      </c>
      <c r="M423" s="189"/>
      <c r="N423" s="172">
        <f t="shared" si="42"/>
        <v>50</v>
      </c>
      <c r="O423" s="101"/>
      <c r="P423" s="101">
        <f t="shared" si="43"/>
        <v>0</v>
      </c>
      <c r="Q423" s="112"/>
    </row>
    <row r="424" spans="1:17" ht="15" customHeight="1">
      <c r="A424" s="117"/>
      <c r="B424" s="186"/>
      <c r="C424" s="175">
        <f>IF(初期登録!$B$10*12+初期登録!$D$10&lt;$A424,"",12)</f>
        <v>12</v>
      </c>
      <c r="D424" s="643">
        <v>57.142857142857146</v>
      </c>
      <c r="E424" s="92">
        <v>62.5</v>
      </c>
      <c r="F424" s="93">
        <v>85.714285714285708</v>
      </c>
      <c r="G424" s="94">
        <f t="shared" si="46"/>
        <v>457.85714285714323</v>
      </c>
      <c r="H424" s="95">
        <f t="shared" si="47"/>
        <v>1218.75</v>
      </c>
      <c r="I424" s="96">
        <f t="shared" si="48"/>
        <v>510.6190476190481</v>
      </c>
      <c r="J424" s="635">
        <f t="shared" si="44"/>
        <v>2457.8571428571431</v>
      </c>
      <c r="K424" s="95">
        <f t="shared" si="49"/>
        <v>1218.75</v>
      </c>
      <c r="L424" s="636">
        <f t="shared" si="45"/>
        <v>10.619047619048104</v>
      </c>
      <c r="M424" s="190"/>
      <c r="N424" s="183">
        <f t="shared" si="42"/>
        <v>50</v>
      </c>
      <c r="O424" s="146"/>
      <c r="P424" s="146">
        <f t="shared" si="43"/>
        <v>0</v>
      </c>
      <c r="Q424" s="147"/>
    </row>
    <row r="425" spans="1:17" ht="15" customHeight="1">
      <c r="A425" s="180"/>
      <c r="B425" s="1118">
        <v>26</v>
      </c>
      <c r="C425" s="1119">
        <f>IF(初期登録!$B$10*12+初期登録!$D$10&lt;$A425,"",1)</f>
        <v>1</v>
      </c>
      <c r="D425" s="1111">
        <v>42.857142857142854</v>
      </c>
      <c r="E425" s="1112">
        <v>62.5</v>
      </c>
      <c r="F425" s="1113">
        <v>71.428571428571431</v>
      </c>
      <c r="G425" s="1114">
        <f t="shared" si="46"/>
        <v>450.71428571428606</v>
      </c>
      <c r="H425" s="1115">
        <f t="shared" si="47"/>
        <v>1231.25</v>
      </c>
      <c r="I425" s="1116">
        <f t="shared" si="48"/>
        <v>532.04761904761949</v>
      </c>
      <c r="J425" s="1117">
        <f t="shared" si="44"/>
        <v>2450.7142857142862</v>
      </c>
      <c r="K425" s="1115">
        <f t="shared" si="49"/>
        <v>1231.25</v>
      </c>
      <c r="L425" s="631">
        <f t="shared" si="45"/>
        <v>32.047619047619492</v>
      </c>
      <c r="M425" s="188">
        <v>2014</v>
      </c>
      <c r="N425" s="171">
        <f>IF(C412="",NA(),50)</f>
        <v>50</v>
      </c>
      <c r="O425" s="134"/>
      <c r="P425" s="134">
        <f>IF(C412="",NA(),0)</f>
        <v>0</v>
      </c>
      <c r="Q425" s="159"/>
    </row>
    <row r="426" spans="1:17" ht="15" customHeight="1">
      <c r="A426" s="117"/>
      <c r="B426" s="185"/>
      <c r="C426" s="174">
        <f>IF(初期登録!$B$10*12+初期登録!$D$10&lt;$A426,"",2)</f>
        <v>2</v>
      </c>
      <c r="D426" s="641">
        <v>35.714285714285715</v>
      </c>
      <c r="E426" s="88">
        <v>75</v>
      </c>
      <c r="F426" s="642">
        <v>78.571428571428569</v>
      </c>
      <c r="G426" s="89">
        <f t="shared" si="46"/>
        <v>436.42857142857179</v>
      </c>
      <c r="H426" s="90">
        <f t="shared" si="47"/>
        <v>1256.25</v>
      </c>
      <c r="I426" s="91">
        <f t="shared" si="48"/>
        <v>560.61904761904805</v>
      </c>
      <c r="J426" s="634">
        <f t="shared" si="44"/>
        <v>2436.4285714285716</v>
      </c>
      <c r="K426" s="90">
        <f t="shared" si="49"/>
        <v>1256.25</v>
      </c>
      <c r="L426" s="58">
        <f t="shared" si="45"/>
        <v>60.619047619048047</v>
      </c>
      <c r="M426" s="189"/>
      <c r="N426" s="172">
        <f t="shared" ref="N426:N436" si="50">IF(C425="",NA(),50)</f>
        <v>50</v>
      </c>
      <c r="O426" s="101"/>
      <c r="P426" s="101">
        <f t="shared" ref="P426:P436" si="51">IF(C425="",NA(),0)</f>
        <v>0</v>
      </c>
      <c r="Q426" s="112"/>
    </row>
    <row r="427" spans="1:17" ht="15" customHeight="1">
      <c r="A427" s="117"/>
      <c r="B427" s="185"/>
      <c r="C427" s="174">
        <f>IF(初期登録!$B$10*12+初期登録!$D$10&lt;$A427,"",3)</f>
        <v>3</v>
      </c>
      <c r="D427" s="641">
        <v>35.714285714285715</v>
      </c>
      <c r="E427" s="88">
        <v>50</v>
      </c>
      <c r="F427" s="642">
        <v>42.857142857142854</v>
      </c>
      <c r="G427" s="89">
        <f t="shared" si="46"/>
        <v>422.14285714285751</v>
      </c>
      <c r="H427" s="90">
        <f t="shared" si="47"/>
        <v>1256.25</v>
      </c>
      <c r="I427" s="91">
        <f t="shared" si="48"/>
        <v>553.47619047619094</v>
      </c>
      <c r="J427" s="634">
        <f t="shared" si="44"/>
        <v>2422.1428571428573</v>
      </c>
      <c r="K427" s="90">
        <f t="shared" si="49"/>
        <v>1256.25</v>
      </c>
      <c r="L427" s="58">
        <f t="shared" si="45"/>
        <v>53.476190476190936</v>
      </c>
      <c r="M427" s="189"/>
      <c r="N427" s="172">
        <f t="shared" si="50"/>
        <v>50</v>
      </c>
      <c r="O427" s="101"/>
      <c r="P427" s="101">
        <f t="shared" si="51"/>
        <v>0</v>
      </c>
      <c r="Q427" s="112"/>
    </row>
    <row r="428" spans="1:17" ht="15" customHeight="1">
      <c r="A428" s="117"/>
      <c r="B428" s="185"/>
      <c r="C428" s="174">
        <f>IF(初期登録!$B$10*12+初期登録!$D$10&lt;$A428,"",4)</f>
        <v>4</v>
      </c>
      <c r="D428" s="641">
        <v>21.428571428571427</v>
      </c>
      <c r="E428" s="88">
        <v>37.5</v>
      </c>
      <c r="F428" s="642">
        <v>57.142857142857146</v>
      </c>
      <c r="G428" s="89">
        <f t="shared" si="46"/>
        <v>393.57142857142895</v>
      </c>
      <c r="H428" s="90">
        <f t="shared" si="47"/>
        <v>1243.75</v>
      </c>
      <c r="I428" s="91">
        <f t="shared" si="48"/>
        <v>560.61904761904805</v>
      </c>
      <c r="J428" s="634">
        <f t="shared" si="44"/>
        <v>2393.5714285714289</v>
      </c>
      <c r="K428" s="90">
        <f t="shared" si="49"/>
        <v>1243.75</v>
      </c>
      <c r="L428" s="58">
        <f t="shared" si="45"/>
        <v>60.619047619048047</v>
      </c>
      <c r="M428" s="189"/>
      <c r="N428" s="172">
        <f t="shared" si="50"/>
        <v>50</v>
      </c>
      <c r="O428" s="101"/>
      <c r="P428" s="101">
        <f t="shared" si="51"/>
        <v>0</v>
      </c>
      <c r="Q428" s="112"/>
    </row>
    <row r="429" spans="1:17" ht="15" customHeight="1">
      <c r="A429" s="117"/>
      <c r="B429" s="185"/>
      <c r="C429" s="174">
        <f>IF(初期登録!$B$10*12+初期登録!$D$10&lt;$A429,"",5)</f>
        <v>5</v>
      </c>
      <c r="D429" s="641">
        <v>28.571428571428573</v>
      </c>
      <c r="E429" s="88">
        <v>43.75</v>
      </c>
      <c r="F429" s="642">
        <v>42.857142857142854</v>
      </c>
      <c r="G429" s="89">
        <f t="shared" si="46"/>
        <v>372.14285714285751</v>
      </c>
      <c r="H429" s="90">
        <f t="shared" si="47"/>
        <v>1237.5</v>
      </c>
      <c r="I429" s="91">
        <f t="shared" si="48"/>
        <v>553.47619047619094</v>
      </c>
      <c r="J429" s="634">
        <f t="shared" si="44"/>
        <v>2372.1428571428573</v>
      </c>
      <c r="K429" s="90">
        <f t="shared" si="49"/>
        <v>1237.5</v>
      </c>
      <c r="L429" s="58">
        <f t="shared" si="45"/>
        <v>53.476190476190936</v>
      </c>
      <c r="M429" s="189"/>
      <c r="N429" s="172">
        <f t="shared" si="50"/>
        <v>50</v>
      </c>
      <c r="O429" s="101"/>
      <c r="P429" s="101">
        <f t="shared" si="51"/>
        <v>0</v>
      </c>
      <c r="Q429" s="112"/>
    </row>
    <row r="430" spans="1:17" ht="15" customHeight="1">
      <c r="A430" s="117"/>
      <c r="B430" s="185"/>
      <c r="C430" s="174">
        <f>IF(初期登録!$B$10*12+初期登録!$D$10&lt;$A430,"",6)</f>
        <v>6</v>
      </c>
      <c r="D430" s="641">
        <v>28.571428571428573</v>
      </c>
      <c r="E430" s="88">
        <v>75</v>
      </c>
      <c r="F430" s="642">
        <v>42.857142857142854</v>
      </c>
      <c r="G430" s="89">
        <f t="shared" si="46"/>
        <v>350.71428571428606</v>
      </c>
      <c r="H430" s="90">
        <f t="shared" si="47"/>
        <v>1262.5</v>
      </c>
      <c r="I430" s="91">
        <f t="shared" si="48"/>
        <v>546.33333333333383</v>
      </c>
      <c r="J430" s="634">
        <f t="shared" si="44"/>
        <v>2350.7142857142862</v>
      </c>
      <c r="K430" s="90">
        <f t="shared" si="49"/>
        <v>1262.5</v>
      </c>
      <c r="L430" s="58">
        <f t="shared" si="45"/>
        <v>46.333333333333826</v>
      </c>
      <c r="M430" s="189"/>
      <c r="N430" s="172">
        <f t="shared" si="50"/>
        <v>50</v>
      </c>
      <c r="O430" s="101"/>
      <c r="P430" s="101">
        <f t="shared" si="51"/>
        <v>0</v>
      </c>
      <c r="Q430" s="112"/>
    </row>
    <row r="431" spans="1:17" ht="15" customHeight="1">
      <c r="A431" s="117"/>
      <c r="B431" s="185"/>
      <c r="C431" s="174">
        <f>IF(初期登録!$B$10*12+初期登録!$D$10&lt;$A431,"",7)</f>
        <v>7</v>
      </c>
      <c r="D431" s="641">
        <v>14.285714285714286</v>
      </c>
      <c r="E431" s="88">
        <v>37.5</v>
      </c>
      <c r="F431" s="642">
        <v>57.142857142857146</v>
      </c>
      <c r="G431" s="89">
        <f t="shared" si="46"/>
        <v>315.00000000000034</v>
      </c>
      <c r="H431" s="90">
        <f t="shared" si="47"/>
        <v>1250</v>
      </c>
      <c r="I431" s="91">
        <f t="shared" si="48"/>
        <v>553.47619047619094</v>
      </c>
      <c r="J431" s="634">
        <f t="shared" si="44"/>
        <v>2315.0000000000005</v>
      </c>
      <c r="K431" s="90">
        <f t="shared" si="49"/>
        <v>1250</v>
      </c>
      <c r="L431" s="58">
        <f t="shared" si="45"/>
        <v>53.476190476190936</v>
      </c>
      <c r="M431" s="189"/>
      <c r="N431" s="172">
        <f t="shared" si="50"/>
        <v>50</v>
      </c>
      <c r="O431" s="101"/>
      <c r="P431" s="101">
        <f t="shared" si="51"/>
        <v>0</v>
      </c>
      <c r="Q431" s="112"/>
    </row>
    <row r="432" spans="1:17" ht="15" customHeight="1">
      <c r="A432" s="117"/>
      <c r="B432" s="185"/>
      <c r="C432" s="174">
        <f>IF(初期登録!$B$10*12+初期登録!$D$10&lt;$A432,"",8)</f>
        <v>8</v>
      </c>
      <c r="D432" s="641">
        <v>28.571428571428573</v>
      </c>
      <c r="E432" s="88">
        <v>12.5</v>
      </c>
      <c r="F432" s="642">
        <v>71.428571428571431</v>
      </c>
      <c r="G432" s="89">
        <f t="shared" si="46"/>
        <v>293.5714285714289</v>
      </c>
      <c r="H432" s="90">
        <f t="shared" si="47"/>
        <v>1212.5</v>
      </c>
      <c r="I432" s="91">
        <f t="shared" si="48"/>
        <v>574.90476190476238</v>
      </c>
      <c r="J432" s="634">
        <f t="shared" si="44"/>
        <v>2293.5714285714289</v>
      </c>
      <c r="K432" s="90">
        <f t="shared" si="49"/>
        <v>1212.5</v>
      </c>
      <c r="L432" s="58">
        <f t="shared" si="45"/>
        <v>74.904761904762381</v>
      </c>
      <c r="M432" s="189"/>
      <c r="N432" s="172">
        <f t="shared" si="50"/>
        <v>50</v>
      </c>
      <c r="O432" s="101"/>
      <c r="P432" s="101">
        <f t="shared" si="51"/>
        <v>0</v>
      </c>
      <c r="Q432" s="112"/>
    </row>
    <row r="433" spans="1:17" ht="15" customHeight="1">
      <c r="A433" s="117"/>
      <c r="B433" s="185"/>
      <c r="C433" s="174">
        <f>IF(初期登録!$B$10*12+初期登録!$D$10&lt;$A433,"",9)</f>
        <v>9</v>
      </c>
      <c r="D433" s="641">
        <v>57.142857142857146</v>
      </c>
      <c r="E433" s="88">
        <v>87.5</v>
      </c>
      <c r="F433" s="642">
        <v>100</v>
      </c>
      <c r="G433" s="89">
        <f t="shared" si="46"/>
        <v>300.71428571428606</v>
      </c>
      <c r="H433" s="90">
        <f t="shared" si="47"/>
        <v>1250</v>
      </c>
      <c r="I433" s="91">
        <f t="shared" si="48"/>
        <v>624.90476190476238</v>
      </c>
      <c r="J433" s="634">
        <f t="shared" si="44"/>
        <v>2300.7142857142862</v>
      </c>
      <c r="K433" s="90">
        <f t="shared" si="49"/>
        <v>1250</v>
      </c>
      <c r="L433" s="58">
        <f t="shared" si="45"/>
        <v>124.90476190476238</v>
      </c>
      <c r="M433" s="189"/>
      <c r="N433" s="172">
        <f t="shared" si="50"/>
        <v>50</v>
      </c>
      <c r="O433" s="101"/>
      <c r="P433" s="101">
        <f t="shared" si="51"/>
        <v>0</v>
      </c>
      <c r="Q433" s="112"/>
    </row>
    <row r="434" spans="1:17" ht="15" customHeight="1">
      <c r="A434" s="117"/>
      <c r="B434" s="185"/>
      <c r="C434" s="174">
        <f>IF(初期登録!$B$10*12+初期登録!$D$10&lt;$A434,"",10)</f>
        <v>10</v>
      </c>
      <c r="D434" s="641">
        <v>64.285714285714292</v>
      </c>
      <c r="E434" s="88">
        <v>62.5</v>
      </c>
      <c r="F434" s="642">
        <v>42.857142857142854</v>
      </c>
      <c r="G434" s="89">
        <f t="shared" si="46"/>
        <v>315.00000000000034</v>
      </c>
      <c r="H434" s="90">
        <f t="shared" si="47"/>
        <v>1262.5</v>
      </c>
      <c r="I434" s="91">
        <f t="shared" si="48"/>
        <v>617.76190476190527</v>
      </c>
      <c r="J434" s="634">
        <f t="shared" si="44"/>
        <v>2315.0000000000005</v>
      </c>
      <c r="K434" s="90">
        <f t="shared" si="49"/>
        <v>1262.5</v>
      </c>
      <c r="L434" s="58">
        <f t="shared" si="45"/>
        <v>117.76190476190527</v>
      </c>
      <c r="M434" s="189"/>
      <c r="N434" s="172">
        <f t="shared" si="50"/>
        <v>50</v>
      </c>
      <c r="O434" s="101"/>
      <c r="P434" s="101">
        <f t="shared" si="51"/>
        <v>0</v>
      </c>
      <c r="Q434" s="112"/>
    </row>
    <row r="435" spans="1:17" ht="15" customHeight="1">
      <c r="A435" s="117"/>
      <c r="B435" s="185"/>
      <c r="C435" s="174">
        <f>IF(初期登録!$B$10*12+初期登録!$D$10&lt;$A435,"",11)</f>
        <v>11</v>
      </c>
      <c r="D435" s="641">
        <v>71.428571428571431</v>
      </c>
      <c r="E435" s="88">
        <v>50</v>
      </c>
      <c r="F435" s="642">
        <v>57.142857142857146</v>
      </c>
      <c r="G435" s="89">
        <f t="shared" si="46"/>
        <v>336.42857142857179</v>
      </c>
      <c r="H435" s="90">
        <f t="shared" si="47"/>
        <v>1262.5</v>
      </c>
      <c r="I435" s="91">
        <f t="shared" si="48"/>
        <v>624.90476190476238</v>
      </c>
      <c r="J435" s="634">
        <f t="shared" si="44"/>
        <v>2336.4285714285716</v>
      </c>
      <c r="K435" s="90">
        <f t="shared" si="49"/>
        <v>1262.5</v>
      </c>
      <c r="L435" s="58">
        <f t="shared" si="45"/>
        <v>124.90476190476238</v>
      </c>
      <c r="M435" s="189"/>
      <c r="N435" s="172">
        <f t="shared" si="50"/>
        <v>50</v>
      </c>
      <c r="O435" s="101"/>
      <c r="P435" s="101">
        <f t="shared" si="51"/>
        <v>0</v>
      </c>
      <c r="Q435" s="112"/>
    </row>
    <row r="436" spans="1:17" ht="15" customHeight="1">
      <c r="A436" s="117"/>
      <c r="B436" s="186"/>
      <c r="C436" s="175">
        <f>IF(初期登録!$B$10*12+初期登録!$D$10&lt;$A436,"",12)</f>
        <v>12</v>
      </c>
      <c r="D436" s="643">
        <v>85.714285714285708</v>
      </c>
      <c r="E436" s="92">
        <v>37.5</v>
      </c>
      <c r="F436" s="93">
        <v>28.571428571428573</v>
      </c>
      <c r="G436" s="94">
        <f t="shared" si="46"/>
        <v>372.14285714285751</v>
      </c>
      <c r="H436" s="95">
        <f t="shared" si="47"/>
        <v>1250</v>
      </c>
      <c r="I436" s="96">
        <f t="shared" si="48"/>
        <v>603.47619047619094</v>
      </c>
      <c r="J436" s="635">
        <f t="shared" si="44"/>
        <v>2372.1428571428573</v>
      </c>
      <c r="K436" s="95">
        <f t="shared" si="49"/>
        <v>1250</v>
      </c>
      <c r="L436" s="636">
        <f t="shared" si="45"/>
        <v>103.47619047619094</v>
      </c>
      <c r="M436" s="190"/>
      <c r="N436" s="183">
        <f t="shared" si="50"/>
        <v>50</v>
      </c>
      <c r="O436" s="146"/>
      <c r="P436" s="146">
        <f t="shared" si="51"/>
        <v>0</v>
      </c>
      <c r="Q436" s="147"/>
    </row>
    <row r="437" spans="1:17" ht="15" customHeight="1">
      <c r="A437" s="180"/>
      <c r="B437" s="184">
        <v>27</v>
      </c>
      <c r="C437" s="178">
        <f>IF(初期登録!$B$10*12+初期登録!$D$10&lt;$A437,"",1)</f>
        <v>1</v>
      </c>
      <c r="D437" s="1111">
        <v>64.285714285714292</v>
      </c>
      <c r="E437" s="1112">
        <v>100</v>
      </c>
      <c r="F437" s="1113">
        <v>28.571428571428573</v>
      </c>
      <c r="G437" s="1114">
        <f t="shared" si="46"/>
        <v>386.42857142857179</v>
      </c>
      <c r="H437" s="1115">
        <f t="shared" si="47"/>
        <v>1300</v>
      </c>
      <c r="I437" s="1116">
        <f t="shared" si="48"/>
        <v>582.04761904761949</v>
      </c>
      <c r="J437" s="1117">
        <f t="shared" si="44"/>
        <v>2386.4285714285716</v>
      </c>
      <c r="K437" s="1115">
        <f t="shared" si="49"/>
        <v>1300</v>
      </c>
      <c r="L437" s="631">
        <f t="shared" si="45"/>
        <v>82.047619047619492</v>
      </c>
      <c r="M437" s="188">
        <v>2015</v>
      </c>
      <c r="N437" s="171">
        <f>IF(C424="",NA(),50)</f>
        <v>50</v>
      </c>
      <c r="O437" s="134"/>
      <c r="P437" s="134">
        <f>IF(C424="",NA(),0)</f>
        <v>0</v>
      </c>
      <c r="Q437" s="159"/>
    </row>
    <row r="438" spans="1:17" ht="15" customHeight="1">
      <c r="A438" s="117"/>
      <c r="B438" s="185"/>
      <c r="C438" s="174">
        <f>IF(初期登録!$B$10*12+初期登録!$D$10&lt;$A438,"",2)</f>
        <v>2</v>
      </c>
      <c r="D438" s="641">
        <v>50</v>
      </c>
      <c r="E438" s="88">
        <v>50</v>
      </c>
      <c r="F438" s="642">
        <v>28.571428571428573</v>
      </c>
      <c r="G438" s="89">
        <f t="shared" si="46"/>
        <v>386.42857142857179</v>
      </c>
      <c r="H438" s="90">
        <f t="shared" si="47"/>
        <v>1300</v>
      </c>
      <c r="I438" s="91">
        <f t="shared" si="48"/>
        <v>560.61904761904805</v>
      </c>
      <c r="J438" s="634">
        <f t="shared" si="44"/>
        <v>2386.4285714285716</v>
      </c>
      <c r="K438" s="90">
        <f t="shared" si="49"/>
        <v>1300</v>
      </c>
      <c r="L438" s="58">
        <f t="shared" si="45"/>
        <v>60.619047619048047</v>
      </c>
      <c r="M438" s="189"/>
      <c r="N438" s="172">
        <f t="shared" ref="N438:N448" si="52">IF(C437="",NA(),50)</f>
        <v>50</v>
      </c>
      <c r="O438" s="101"/>
      <c r="P438" s="101">
        <f t="shared" ref="P438:P448" si="53">IF(C437="",NA(),0)</f>
        <v>0</v>
      </c>
      <c r="Q438" s="112"/>
    </row>
    <row r="439" spans="1:17" ht="15" customHeight="1">
      <c r="A439" s="117"/>
      <c r="B439" s="185"/>
      <c r="C439" s="174">
        <f>IF(初期登録!$B$10*12+初期登録!$D$10&lt;$A439,"",3)</f>
        <v>3</v>
      </c>
      <c r="D439" s="641">
        <v>14.285714285714286</v>
      </c>
      <c r="E439" s="88">
        <v>62.5</v>
      </c>
      <c r="F439" s="642">
        <v>28.571428571428573</v>
      </c>
      <c r="G439" s="89">
        <f t="shared" si="46"/>
        <v>350.71428571428606</v>
      </c>
      <c r="H439" s="90">
        <f t="shared" si="47"/>
        <v>1312.5</v>
      </c>
      <c r="I439" s="91">
        <f t="shared" si="48"/>
        <v>539.1904761904766</v>
      </c>
      <c r="J439" s="634">
        <f t="shared" si="44"/>
        <v>2350.7142857142862</v>
      </c>
      <c r="K439" s="90">
        <f t="shared" si="49"/>
        <v>1312.5</v>
      </c>
      <c r="L439" s="58">
        <f t="shared" si="45"/>
        <v>39.190476190476602</v>
      </c>
      <c r="M439" s="189"/>
      <c r="N439" s="172">
        <f t="shared" si="52"/>
        <v>50</v>
      </c>
      <c r="O439" s="101"/>
      <c r="P439" s="101">
        <f t="shared" si="53"/>
        <v>0</v>
      </c>
      <c r="Q439" s="112"/>
    </row>
    <row r="440" spans="1:17" ht="15" customHeight="1">
      <c r="A440" s="117"/>
      <c r="B440" s="185"/>
      <c r="C440" s="174">
        <f>IF(初期登録!$B$10*12+初期登録!$D$10&lt;$A440,"",4)</f>
        <v>4</v>
      </c>
      <c r="D440" s="641">
        <v>28.571428571428573</v>
      </c>
      <c r="E440" s="88">
        <v>50</v>
      </c>
      <c r="F440" s="642">
        <v>57.142857142857146</v>
      </c>
      <c r="G440" s="89">
        <f t="shared" si="46"/>
        <v>329.28571428571462</v>
      </c>
      <c r="H440" s="90">
        <f t="shared" si="47"/>
        <v>1312.5</v>
      </c>
      <c r="I440" s="91">
        <f t="shared" si="48"/>
        <v>546.33333333333371</v>
      </c>
      <c r="J440" s="634">
        <f t="shared" si="44"/>
        <v>2329.2857142857147</v>
      </c>
      <c r="K440" s="90">
        <f t="shared" si="49"/>
        <v>1312.5</v>
      </c>
      <c r="L440" s="58">
        <f t="shared" si="45"/>
        <v>46.333333333333712</v>
      </c>
      <c r="M440" s="189"/>
      <c r="N440" s="172">
        <f t="shared" si="52"/>
        <v>50</v>
      </c>
      <c r="O440" s="101"/>
      <c r="P440" s="101">
        <f t="shared" si="53"/>
        <v>0</v>
      </c>
      <c r="Q440" s="112"/>
    </row>
    <row r="441" spans="1:17" ht="15" customHeight="1">
      <c r="A441" s="117"/>
      <c r="B441" s="185"/>
      <c r="C441" s="174">
        <f>IF(初期登録!$B$10*12+初期登録!$D$10&lt;$A441,"",5)</f>
        <v>5</v>
      </c>
      <c r="D441" s="641">
        <v>28.571428571428573</v>
      </c>
      <c r="E441" s="88">
        <v>75</v>
      </c>
      <c r="F441" s="642">
        <v>57.142857142857146</v>
      </c>
      <c r="G441" s="89">
        <f t="shared" si="46"/>
        <v>307.85714285714317</v>
      </c>
      <c r="H441" s="90">
        <f t="shared" si="47"/>
        <v>1337.5</v>
      </c>
      <c r="I441" s="91">
        <f t="shared" si="48"/>
        <v>553.47619047619082</v>
      </c>
      <c r="J441" s="634">
        <f t="shared" si="44"/>
        <v>2307.8571428571431</v>
      </c>
      <c r="K441" s="90">
        <f t="shared" si="49"/>
        <v>1337.5</v>
      </c>
      <c r="L441" s="58">
        <f t="shared" si="45"/>
        <v>53.476190476190823</v>
      </c>
      <c r="M441" s="189"/>
      <c r="N441" s="172">
        <f t="shared" si="52"/>
        <v>50</v>
      </c>
      <c r="O441" s="101"/>
      <c r="P441" s="101">
        <f t="shared" si="53"/>
        <v>0</v>
      </c>
      <c r="Q441" s="112"/>
    </row>
    <row r="442" spans="1:17" ht="15" customHeight="1">
      <c r="A442" s="117"/>
      <c r="B442" s="185"/>
      <c r="C442" s="174">
        <f>IF(初期登録!$B$10*12+初期登録!$D$10&lt;$A442,"",6)</f>
        <v>6</v>
      </c>
      <c r="D442" s="641">
        <v>42.857142857142854</v>
      </c>
      <c r="E442" s="88">
        <v>12.5</v>
      </c>
      <c r="F442" s="642">
        <v>71.428571428571431</v>
      </c>
      <c r="G442" s="89">
        <f t="shared" si="46"/>
        <v>300.71428571428601</v>
      </c>
      <c r="H442" s="90">
        <f t="shared" si="47"/>
        <v>1300</v>
      </c>
      <c r="I442" s="91">
        <f t="shared" si="48"/>
        <v>574.90476190476227</v>
      </c>
      <c r="J442" s="634">
        <f t="shared" si="44"/>
        <v>2300.7142857142862</v>
      </c>
      <c r="K442" s="90">
        <f t="shared" si="49"/>
        <v>1300</v>
      </c>
      <c r="L442" s="58">
        <f t="shared" si="45"/>
        <v>74.904761904762267</v>
      </c>
      <c r="M442" s="189"/>
      <c r="N442" s="172">
        <f t="shared" si="52"/>
        <v>50</v>
      </c>
      <c r="O442" s="101"/>
      <c r="P442" s="101">
        <f t="shared" si="53"/>
        <v>0</v>
      </c>
      <c r="Q442" s="112"/>
    </row>
    <row r="443" spans="1:17" ht="15" customHeight="1">
      <c r="A443" s="117"/>
      <c r="B443" s="185"/>
      <c r="C443" s="174">
        <f>IF(初期登録!$B$10*12+初期登録!$D$10&lt;$A443,"",7)</f>
        <v>7</v>
      </c>
      <c r="D443" s="641">
        <v>57.142857142857146</v>
      </c>
      <c r="E443" s="88">
        <v>50</v>
      </c>
      <c r="F443" s="642">
        <v>42.857142857142854</v>
      </c>
      <c r="G443" s="89">
        <f t="shared" si="46"/>
        <v>307.85714285714317</v>
      </c>
      <c r="H443" s="90">
        <f t="shared" si="47"/>
        <v>1300</v>
      </c>
      <c r="I443" s="91">
        <f t="shared" si="48"/>
        <v>567.76190476190516</v>
      </c>
      <c r="J443" s="634">
        <f t="shared" si="44"/>
        <v>2307.8571428571431</v>
      </c>
      <c r="K443" s="90">
        <f t="shared" si="49"/>
        <v>1300</v>
      </c>
      <c r="L443" s="58">
        <f t="shared" si="45"/>
        <v>67.761904761905157</v>
      </c>
      <c r="M443" s="189"/>
      <c r="N443" s="172">
        <f t="shared" si="52"/>
        <v>50</v>
      </c>
      <c r="O443" s="101"/>
      <c r="P443" s="101">
        <f t="shared" si="53"/>
        <v>0</v>
      </c>
      <c r="Q443" s="112"/>
    </row>
    <row r="444" spans="1:17" ht="15" customHeight="1">
      <c r="A444" s="117"/>
      <c r="B444" s="185"/>
      <c r="C444" s="174">
        <f>IF(初期登録!$B$10*12+初期登録!$D$10&lt;$A444,"",8)</f>
        <v>8</v>
      </c>
      <c r="D444" s="641">
        <v>42.857142857142854</v>
      </c>
      <c r="E444" s="88">
        <v>50</v>
      </c>
      <c r="F444" s="642">
        <v>42.857142857142854</v>
      </c>
      <c r="G444" s="89">
        <f t="shared" si="46"/>
        <v>300.71428571428601</v>
      </c>
      <c r="H444" s="90">
        <f t="shared" si="47"/>
        <v>1300</v>
      </c>
      <c r="I444" s="91">
        <f t="shared" si="48"/>
        <v>560.61904761904805</v>
      </c>
      <c r="J444" s="634">
        <f t="shared" si="44"/>
        <v>2300.7142857142862</v>
      </c>
      <c r="K444" s="90">
        <f t="shared" si="49"/>
        <v>1300</v>
      </c>
      <c r="L444" s="58">
        <f t="shared" si="45"/>
        <v>60.619047619048047</v>
      </c>
      <c r="M444" s="189"/>
      <c r="N444" s="172">
        <f t="shared" si="52"/>
        <v>50</v>
      </c>
      <c r="O444" s="101"/>
      <c r="P444" s="101">
        <f t="shared" si="53"/>
        <v>0</v>
      </c>
      <c r="Q444" s="112"/>
    </row>
    <row r="445" spans="1:17" ht="15" customHeight="1">
      <c r="A445" s="117"/>
      <c r="B445" s="185"/>
      <c r="C445" s="174">
        <f>IF(初期登録!$B$10*12+初期登録!$D$10&lt;$A445,"",9)</f>
        <v>9</v>
      </c>
      <c r="D445" s="641">
        <v>42.857142857142854</v>
      </c>
      <c r="E445" s="88">
        <v>25</v>
      </c>
      <c r="F445" s="642">
        <v>0</v>
      </c>
      <c r="G445" s="89">
        <f t="shared" si="46"/>
        <v>293.57142857142884</v>
      </c>
      <c r="H445" s="90">
        <f t="shared" si="47"/>
        <v>1275</v>
      </c>
      <c r="I445" s="91">
        <f t="shared" si="48"/>
        <v>510.61904761904805</v>
      </c>
      <c r="J445" s="634">
        <f t="shared" si="44"/>
        <v>2293.5714285714289</v>
      </c>
      <c r="K445" s="90">
        <f t="shared" si="49"/>
        <v>1275</v>
      </c>
      <c r="L445" s="58">
        <f t="shared" si="45"/>
        <v>10.619047619048047</v>
      </c>
      <c r="M445" s="189"/>
      <c r="N445" s="172">
        <f t="shared" si="52"/>
        <v>50</v>
      </c>
      <c r="O445" s="101"/>
      <c r="P445" s="101">
        <f t="shared" si="53"/>
        <v>0</v>
      </c>
      <c r="Q445" s="112"/>
    </row>
    <row r="446" spans="1:17" ht="15" customHeight="1">
      <c r="A446" s="117"/>
      <c r="B446" s="185"/>
      <c r="C446" s="174">
        <f>IF(初期登録!$B$10*12+初期登録!$D$10&lt;$A446,"",10)</f>
        <v>10</v>
      </c>
      <c r="D446" s="641">
        <v>14.285714285714286</v>
      </c>
      <c r="E446" s="88">
        <v>25</v>
      </c>
      <c r="F446" s="642">
        <v>42.857142857142854</v>
      </c>
      <c r="G446" s="89">
        <f t="shared" si="46"/>
        <v>257.85714285714312</v>
      </c>
      <c r="H446" s="90">
        <f t="shared" si="47"/>
        <v>1250</v>
      </c>
      <c r="I446" s="91">
        <f t="shared" si="48"/>
        <v>503.47619047619088</v>
      </c>
      <c r="J446" s="634">
        <f t="shared" si="44"/>
        <v>2257.8571428571431</v>
      </c>
      <c r="K446" s="90">
        <f t="shared" si="49"/>
        <v>1250</v>
      </c>
      <c r="L446" s="58">
        <f t="shared" si="45"/>
        <v>3.4761904761908795</v>
      </c>
      <c r="M446" s="189"/>
      <c r="N446" s="172">
        <f t="shared" si="52"/>
        <v>50</v>
      </c>
      <c r="O446" s="101"/>
      <c r="P446" s="101">
        <f t="shared" si="53"/>
        <v>0</v>
      </c>
      <c r="Q446" s="112"/>
    </row>
    <row r="447" spans="1:17" ht="15" customHeight="1">
      <c r="A447" s="117"/>
      <c r="B447" s="185"/>
      <c r="C447" s="174">
        <f>IF(初期登録!$B$10*12+初期登録!$D$10&lt;$A447,"",11)</f>
        <v>11</v>
      </c>
      <c r="D447" s="641">
        <v>14.285714285714286</v>
      </c>
      <c r="E447" s="88">
        <v>37.5</v>
      </c>
      <c r="F447" s="642">
        <v>28.571428571428573</v>
      </c>
      <c r="G447" s="89">
        <f t="shared" si="46"/>
        <v>222.14285714285739</v>
      </c>
      <c r="H447" s="90">
        <f t="shared" si="47"/>
        <v>1237.5</v>
      </c>
      <c r="I447" s="91">
        <f t="shared" si="48"/>
        <v>482.04761904761943</v>
      </c>
      <c r="J447" s="634">
        <f t="shared" si="44"/>
        <v>2222.1428571428573</v>
      </c>
      <c r="K447" s="90">
        <f t="shared" si="49"/>
        <v>1237.5</v>
      </c>
      <c r="L447" s="58">
        <f t="shared" si="45"/>
        <v>-17.952380952380565</v>
      </c>
      <c r="M447" s="189"/>
      <c r="N447" s="172">
        <f t="shared" si="52"/>
        <v>50</v>
      </c>
      <c r="O447" s="101"/>
      <c r="P447" s="101">
        <f t="shared" si="53"/>
        <v>0</v>
      </c>
      <c r="Q447" s="112"/>
    </row>
    <row r="448" spans="1:17" ht="15" customHeight="1">
      <c r="A448" s="117"/>
      <c r="B448" s="186"/>
      <c r="C448" s="175">
        <f>IF(初期登録!$B$10*12+初期登録!$D$10&lt;$A448,"",12)</f>
        <v>12</v>
      </c>
      <c r="D448" s="643">
        <v>28.571428571428573</v>
      </c>
      <c r="E448" s="92">
        <v>25</v>
      </c>
      <c r="F448" s="93">
        <v>71.428571428571431</v>
      </c>
      <c r="G448" s="94">
        <f t="shared" si="46"/>
        <v>200.71428571428598</v>
      </c>
      <c r="H448" s="95">
        <f t="shared" si="47"/>
        <v>1212.5</v>
      </c>
      <c r="I448" s="96">
        <f t="shared" si="48"/>
        <v>503.47619047619088</v>
      </c>
      <c r="J448" s="635">
        <f t="shared" si="44"/>
        <v>2200.7142857142858</v>
      </c>
      <c r="K448" s="95">
        <f t="shared" si="49"/>
        <v>1212.5</v>
      </c>
      <c r="L448" s="636">
        <f t="shared" si="45"/>
        <v>3.4761904761908795</v>
      </c>
      <c r="M448" s="190"/>
      <c r="N448" s="183">
        <f t="shared" si="52"/>
        <v>50</v>
      </c>
      <c r="O448" s="146"/>
      <c r="P448" s="146">
        <f t="shared" si="53"/>
        <v>0</v>
      </c>
      <c r="Q448" s="147"/>
    </row>
    <row r="449" spans="1:17" ht="15" customHeight="1">
      <c r="A449" s="180"/>
      <c r="B449" s="1118">
        <v>28</v>
      </c>
      <c r="C449" s="1119">
        <f>IF(初期登録!$B$10*12+初期登録!$D$10&lt;$A449,"",1)</f>
        <v>1</v>
      </c>
      <c r="D449" s="1111">
        <v>14.285714285714286</v>
      </c>
      <c r="E449" s="1112">
        <v>25</v>
      </c>
      <c r="F449" s="1113">
        <v>71.428571428571431</v>
      </c>
      <c r="G449" s="1114">
        <f t="shared" si="46"/>
        <v>165.00000000000026</v>
      </c>
      <c r="H449" s="1115">
        <f t="shared" si="47"/>
        <v>1187.5</v>
      </c>
      <c r="I449" s="1116">
        <f t="shared" si="48"/>
        <v>524.90476190476227</v>
      </c>
      <c r="J449" s="1117">
        <f t="shared" si="44"/>
        <v>2165.0000000000005</v>
      </c>
      <c r="K449" s="1115">
        <f t="shared" si="49"/>
        <v>1187.5</v>
      </c>
      <c r="L449" s="631">
        <f t="shared" si="45"/>
        <v>24.904761904762267</v>
      </c>
      <c r="M449" s="188">
        <v>2016</v>
      </c>
      <c r="N449" s="171">
        <f>IF(C424="",NA(),50)</f>
        <v>50</v>
      </c>
      <c r="O449" s="134"/>
      <c r="P449" s="134">
        <f>IF(C424="",NA(),0)</f>
        <v>0</v>
      </c>
      <c r="Q449" s="159"/>
    </row>
    <row r="450" spans="1:17" ht="15" customHeight="1">
      <c r="B450" s="185"/>
      <c r="C450" s="174">
        <f>IF(初期登録!$B$10*12+初期登録!$D$10&lt;$A450,"",2)</f>
        <v>2</v>
      </c>
      <c r="D450" s="641">
        <v>35.714285714285715</v>
      </c>
      <c r="E450" s="88">
        <v>50</v>
      </c>
      <c r="F450" s="642">
        <v>85.714285714285708</v>
      </c>
      <c r="G450" s="89">
        <f t="shared" si="46"/>
        <v>150.71428571428598</v>
      </c>
      <c r="H450" s="90">
        <f t="shared" si="47"/>
        <v>1187.5</v>
      </c>
      <c r="I450" s="91">
        <f t="shared" si="48"/>
        <v>560.61904761904793</v>
      </c>
      <c r="J450" s="634">
        <f t="shared" si="44"/>
        <v>2150.7142857142858</v>
      </c>
      <c r="K450" s="90">
        <f t="shared" si="49"/>
        <v>1187.5</v>
      </c>
      <c r="L450" s="58">
        <f t="shared" si="45"/>
        <v>60.619047619047933</v>
      </c>
      <c r="M450" s="189"/>
      <c r="N450" s="172">
        <f t="shared" ref="N450:N460" si="54">IF(C449="",NA(),50)</f>
        <v>50</v>
      </c>
      <c r="O450" s="101"/>
      <c r="P450" s="101">
        <f t="shared" ref="P450:P460" si="55">IF(C449="",NA(),0)</f>
        <v>0</v>
      </c>
      <c r="Q450" s="112"/>
    </row>
    <row r="451" spans="1:17" ht="15" customHeight="1">
      <c r="B451" s="185"/>
      <c r="C451" s="174">
        <f>IF(初期登録!$B$10*12+初期登録!$D$10&lt;$A451,"",3)</f>
        <v>3</v>
      </c>
      <c r="D451" s="641">
        <v>28.571428571428573</v>
      </c>
      <c r="E451" s="88">
        <v>50</v>
      </c>
      <c r="F451" s="642">
        <v>42.857142857142854</v>
      </c>
      <c r="G451" s="89">
        <f t="shared" si="46"/>
        <v>129.28571428571456</v>
      </c>
      <c r="H451" s="90">
        <f t="shared" si="47"/>
        <v>1187.5</v>
      </c>
      <c r="I451" s="91">
        <f t="shared" si="48"/>
        <v>553.47619047619082</v>
      </c>
      <c r="J451" s="634">
        <f t="shared" si="44"/>
        <v>2129.2857142857147</v>
      </c>
      <c r="K451" s="90">
        <f t="shared" si="49"/>
        <v>1187.5</v>
      </c>
      <c r="L451" s="58">
        <f t="shared" si="45"/>
        <v>53.476190476190823</v>
      </c>
      <c r="M451" s="189"/>
      <c r="N451" s="172">
        <f t="shared" si="54"/>
        <v>50</v>
      </c>
      <c r="O451" s="101"/>
      <c r="P451" s="101">
        <f t="shared" si="55"/>
        <v>0</v>
      </c>
      <c r="Q451" s="112"/>
    </row>
    <row r="452" spans="1:17">
      <c r="B452" s="185"/>
      <c r="C452" s="174">
        <f>IF(初期登録!$B$10*12+初期登録!$D$10&lt;$A452,"",4)</f>
        <v>4</v>
      </c>
      <c r="D452" s="641">
        <v>42.857142857142854</v>
      </c>
      <c r="E452" s="88">
        <v>62.5</v>
      </c>
      <c r="F452" s="642">
        <v>71.428571428571431</v>
      </c>
      <c r="G452" s="89">
        <f t="shared" si="46"/>
        <v>122.14285714285742</v>
      </c>
      <c r="H452" s="90">
        <f t="shared" si="47"/>
        <v>1200</v>
      </c>
      <c r="I452" s="91">
        <f t="shared" si="48"/>
        <v>574.90476190476227</v>
      </c>
      <c r="J452" s="634">
        <f t="shared" si="44"/>
        <v>2122.1428571428573</v>
      </c>
      <c r="K452" s="90">
        <f t="shared" si="49"/>
        <v>1200</v>
      </c>
      <c r="L452" s="58">
        <f t="shared" si="45"/>
        <v>74.904761904762267</v>
      </c>
      <c r="M452" s="189"/>
      <c r="N452" s="172">
        <f t="shared" si="54"/>
        <v>50</v>
      </c>
      <c r="O452" s="101"/>
      <c r="P452" s="101">
        <f t="shared" si="55"/>
        <v>0</v>
      </c>
      <c r="Q452" s="112"/>
    </row>
    <row r="453" spans="1:17">
      <c r="B453" s="185"/>
      <c r="C453" s="174">
        <f>IF(初期登録!$B$10*12+初期登録!$D$10&lt;$A453,"",5)</f>
        <v>5</v>
      </c>
      <c r="D453" s="641">
        <v>57.142857142857146</v>
      </c>
      <c r="E453" s="88">
        <v>31.25</v>
      </c>
      <c r="F453" s="642">
        <v>42.857142857142854</v>
      </c>
      <c r="G453" s="89">
        <f t="shared" si="46"/>
        <v>129.28571428571456</v>
      </c>
      <c r="H453" s="90">
        <f t="shared" si="47"/>
        <v>1181.25</v>
      </c>
      <c r="I453" s="91">
        <f t="shared" si="48"/>
        <v>567.76190476190516</v>
      </c>
      <c r="J453" s="634">
        <f t="shared" si="44"/>
        <v>2129.2857142857147</v>
      </c>
      <c r="K453" s="90">
        <f t="shared" si="49"/>
        <v>1181.25</v>
      </c>
      <c r="L453" s="58">
        <f t="shared" si="45"/>
        <v>67.761904761905157</v>
      </c>
      <c r="M453" s="189"/>
      <c r="N453" s="172">
        <f t="shared" si="54"/>
        <v>50</v>
      </c>
      <c r="O453" s="101"/>
      <c r="P453" s="101">
        <f t="shared" si="55"/>
        <v>0</v>
      </c>
      <c r="Q453" s="112"/>
    </row>
    <row r="454" spans="1:17">
      <c r="B454" s="185"/>
      <c r="C454" s="174">
        <f>IF(初期登録!$B$10*12+初期登録!$D$10&lt;$A454,"",6)</f>
        <v>6</v>
      </c>
      <c r="D454" s="641">
        <v>28.571428571428573</v>
      </c>
      <c r="E454" s="88">
        <v>25</v>
      </c>
      <c r="F454" s="642">
        <v>28.571428571428573</v>
      </c>
      <c r="G454" s="89">
        <f t="shared" si="46"/>
        <v>107.85714285714313</v>
      </c>
      <c r="H454" s="90">
        <f t="shared" si="47"/>
        <v>1156.25</v>
      </c>
      <c r="I454" s="91">
        <f t="shared" si="48"/>
        <v>546.33333333333371</v>
      </c>
      <c r="J454" s="634">
        <f t="shared" ref="J454:J529" si="56">IF($D454="",NA,$G454+2000)</f>
        <v>2107.8571428571431</v>
      </c>
      <c r="K454" s="90">
        <f t="shared" si="49"/>
        <v>1156.25</v>
      </c>
      <c r="L454" s="58">
        <f t="shared" ref="L454:L529" si="57">IF($F454="",NA,$I454-500)</f>
        <v>46.333333333333712</v>
      </c>
      <c r="M454" s="189"/>
      <c r="N454" s="172">
        <f t="shared" si="54"/>
        <v>50</v>
      </c>
      <c r="O454" s="101"/>
      <c r="P454" s="101">
        <f t="shared" si="55"/>
        <v>0</v>
      </c>
      <c r="Q454" s="112"/>
    </row>
    <row r="455" spans="1:17">
      <c r="B455" s="185"/>
      <c r="C455" s="174">
        <f>IF(初期登録!$B$10*12+初期登録!$D$10&lt;$A455,"",7)</f>
        <v>7</v>
      </c>
      <c r="D455" s="641">
        <v>28.571428571428573</v>
      </c>
      <c r="E455" s="88">
        <v>37.5</v>
      </c>
      <c r="F455" s="642">
        <v>28.571428571428573</v>
      </c>
      <c r="G455" s="89">
        <f t="shared" si="46"/>
        <v>86.428571428571701</v>
      </c>
      <c r="H455" s="90">
        <f t="shared" si="47"/>
        <v>1143.75</v>
      </c>
      <c r="I455" s="91">
        <f t="shared" si="48"/>
        <v>524.90476190476227</v>
      </c>
      <c r="J455" s="634">
        <f t="shared" si="56"/>
        <v>2086.4285714285716</v>
      </c>
      <c r="K455" s="90">
        <f t="shared" si="49"/>
        <v>1143.75</v>
      </c>
      <c r="L455" s="58">
        <f t="shared" si="57"/>
        <v>24.904761904762267</v>
      </c>
      <c r="M455" s="189"/>
      <c r="N455" s="172">
        <f t="shared" si="54"/>
        <v>50</v>
      </c>
      <c r="O455" s="101"/>
      <c r="P455" s="101">
        <f t="shared" si="55"/>
        <v>0</v>
      </c>
      <c r="Q455" s="112"/>
    </row>
    <row r="456" spans="1:17">
      <c r="B456" s="185"/>
      <c r="C456" s="174">
        <f>IF(初期登録!$B$10*12+初期登録!$D$10&lt;$A456,"",8)</f>
        <v>8</v>
      </c>
      <c r="D456" s="641">
        <v>57.142857142857146</v>
      </c>
      <c r="E456" s="88">
        <v>25</v>
      </c>
      <c r="F456" s="642">
        <v>28.571428571428573</v>
      </c>
      <c r="G456" s="89">
        <f t="shared" si="46"/>
        <v>93.571428571428839</v>
      </c>
      <c r="H456" s="90">
        <f t="shared" si="47"/>
        <v>1118.75</v>
      </c>
      <c r="I456" s="91">
        <f t="shared" si="48"/>
        <v>503.47619047619082</v>
      </c>
      <c r="J456" s="634">
        <f t="shared" si="56"/>
        <v>2093.5714285714289</v>
      </c>
      <c r="K456" s="90">
        <f t="shared" si="49"/>
        <v>1118.75</v>
      </c>
      <c r="L456" s="58">
        <f t="shared" si="57"/>
        <v>3.4761904761908227</v>
      </c>
      <c r="M456" s="189"/>
      <c r="N456" s="172">
        <f t="shared" si="54"/>
        <v>50</v>
      </c>
      <c r="O456" s="101"/>
      <c r="P456" s="101">
        <f t="shared" si="55"/>
        <v>0</v>
      </c>
      <c r="Q456" s="112"/>
    </row>
    <row r="457" spans="1:17">
      <c r="B457" s="185"/>
      <c r="C457" s="174">
        <f>IF(初期登録!$B$10*12+初期登録!$D$10&lt;$A457,"",9)</f>
        <v>9</v>
      </c>
      <c r="D457" s="641">
        <v>42.857142857142854</v>
      </c>
      <c r="E457" s="88">
        <v>87.5</v>
      </c>
      <c r="F457" s="642">
        <v>28.571428571428573</v>
      </c>
      <c r="G457" s="89">
        <f t="shared" si="46"/>
        <v>86.428571428571701</v>
      </c>
      <c r="H457" s="90">
        <f t="shared" si="47"/>
        <v>1156.25</v>
      </c>
      <c r="I457" s="91">
        <f t="shared" si="48"/>
        <v>482.04761904761938</v>
      </c>
      <c r="J457" s="634">
        <f t="shared" si="56"/>
        <v>2086.4285714285716</v>
      </c>
      <c r="K457" s="90">
        <f t="shared" si="49"/>
        <v>1156.25</v>
      </c>
      <c r="L457" s="58">
        <f t="shared" si="57"/>
        <v>-17.952380952380622</v>
      </c>
      <c r="M457" s="189"/>
      <c r="N457" s="172">
        <f t="shared" si="54"/>
        <v>50</v>
      </c>
      <c r="O457" s="101"/>
      <c r="P457" s="101">
        <f t="shared" si="55"/>
        <v>0</v>
      </c>
      <c r="Q457" s="112"/>
    </row>
    <row r="458" spans="1:17">
      <c r="B458" s="185"/>
      <c r="C458" s="174">
        <f>IF(初期登録!$B$10*12+初期登録!$D$10&lt;$A458,"",10)</f>
        <v>10</v>
      </c>
      <c r="D458" s="641">
        <v>28.571428571428573</v>
      </c>
      <c r="E458" s="88">
        <v>87.5</v>
      </c>
      <c r="F458" s="642">
        <v>42.857142857142854</v>
      </c>
      <c r="G458" s="89">
        <f t="shared" si="46"/>
        <v>65.00000000000027</v>
      </c>
      <c r="H458" s="90">
        <f t="shared" si="47"/>
        <v>1193.75</v>
      </c>
      <c r="I458" s="91">
        <f t="shared" si="48"/>
        <v>474.90476190476221</v>
      </c>
      <c r="J458" s="634">
        <f t="shared" si="56"/>
        <v>2065.0000000000005</v>
      </c>
      <c r="K458" s="90">
        <f t="shared" si="49"/>
        <v>1193.75</v>
      </c>
      <c r="L458" s="58">
        <f t="shared" si="57"/>
        <v>-25.095238095237789</v>
      </c>
      <c r="M458" s="189"/>
      <c r="N458" s="172">
        <f t="shared" si="54"/>
        <v>50</v>
      </c>
      <c r="O458" s="101"/>
      <c r="P458" s="101">
        <f t="shared" si="55"/>
        <v>0</v>
      </c>
      <c r="Q458" s="112"/>
    </row>
    <row r="459" spans="1:17">
      <c r="B459" s="185"/>
      <c r="C459" s="174">
        <f>IF(初期登録!$B$10*12+初期登録!$D$10&lt;$A459,"",11)</f>
        <v>11</v>
      </c>
      <c r="D459" s="641">
        <v>71.428571428571431</v>
      </c>
      <c r="E459" s="88">
        <v>87.5</v>
      </c>
      <c r="F459" s="642">
        <v>85.714285714285708</v>
      </c>
      <c r="G459" s="89">
        <f t="shared" si="46"/>
        <v>86.428571428571701</v>
      </c>
      <c r="H459" s="90">
        <f t="shared" si="47"/>
        <v>1231.25</v>
      </c>
      <c r="I459" s="91">
        <f t="shared" si="48"/>
        <v>510.61904761904793</v>
      </c>
      <c r="J459" s="634">
        <f t="shared" si="56"/>
        <v>2086.4285714285716</v>
      </c>
      <c r="K459" s="90">
        <f t="shared" si="49"/>
        <v>1231.25</v>
      </c>
      <c r="L459" s="58">
        <f t="shared" si="57"/>
        <v>10.619047619047933</v>
      </c>
      <c r="M459" s="189"/>
      <c r="N459" s="172">
        <f t="shared" si="54"/>
        <v>50</v>
      </c>
      <c r="O459" s="101"/>
      <c r="P459" s="101">
        <f t="shared" si="55"/>
        <v>0</v>
      </c>
      <c r="Q459" s="112"/>
    </row>
    <row r="460" spans="1:17">
      <c r="B460" s="186"/>
      <c r="C460" s="175">
        <f>IF(初期登録!$B$10*12+初期登録!$D$10&lt;$A460,"",12)</f>
        <v>12</v>
      </c>
      <c r="D460" s="643">
        <v>71.428571428571431</v>
      </c>
      <c r="E460" s="92">
        <v>100</v>
      </c>
      <c r="F460" s="93">
        <v>42.857142857142854</v>
      </c>
      <c r="G460" s="94">
        <f t="shared" si="46"/>
        <v>107.85714285714313</v>
      </c>
      <c r="H460" s="95">
        <f t="shared" si="47"/>
        <v>1281.25</v>
      </c>
      <c r="I460" s="96">
        <f t="shared" si="48"/>
        <v>503.47619047619077</v>
      </c>
      <c r="J460" s="635">
        <f t="shared" si="56"/>
        <v>2107.8571428571431</v>
      </c>
      <c r="K460" s="95">
        <f t="shared" si="49"/>
        <v>1281.25</v>
      </c>
      <c r="L460" s="636">
        <f t="shared" si="57"/>
        <v>3.4761904761907658</v>
      </c>
      <c r="M460" s="190"/>
      <c r="N460" s="183">
        <f t="shared" si="54"/>
        <v>50</v>
      </c>
      <c r="O460" s="146"/>
      <c r="P460" s="146">
        <f t="shared" si="55"/>
        <v>0</v>
      </c>
      <c r="Q460" s="147"/>
    </row>
    <row r="461" spans="1:17" ht="15" customHeight="1">
      <c r="A461" s="180"/>
      <c r="B461" s="1118">
        <v>29</v>
      </c>
      <c r="C461" s="1119">
        <f>IF(初期登録!$B$10*12+初期登録!$D$10&lt;$A461,"",1)</f>
        <v>1</v>
      </c>
      <c r="D461" s="1111">
        <v>71.428571428571431</v>
      </c>
      <c r="E461" s="1112">
        <v>100</v>
      </c>
      <c r="F461" s="1113">
        <v>71.428571428571431</v>
      </c>
      <c r="G461" s="1114">
        <f t="shared" si="46"/>
        <v>129.28571428571456</v>
      </c>
      <c r="H461" s="1115">
        <f t="shared" si="47"/>
        <v>1331.25</v>
      </c>
      <c r="I461" s="1116">
        <f t="shared" si="48"/>
        <v>524.90476190476215</v>
      </c>
      <c r="J461" s="1117">
        <f t="shared" si="56"/>
        <v>2129.2857142857147</v>
      </c>
      <c r="K461" s="1115">
        <f t="shared" si="49"/>
        <v>1331.25</v>
      </c>
      <c r="L461" s="631">
        <f t="shared" si="57"/>
        <v>24.904761904762154</v>
      </c>
      <c r="M461" s="188">
        <v>2017</v>
      </c>
      <c r="N461" s="183">
        <f t="shared" ref="N461:N532" si="58">IF(C460="",NA(),50)</f>
        <v>50</v>
      </c>
      <c r="O461" s="146"/>
      <c r="P461" s="146">
        <f t="shared" ref="P461:P532" si="59">IF(C460="",NA(),0)</f>
        <v>0</v>
      </c>
      <c r="Q461" s="159"/>
    </row>
    <row r="462" spans="1:17" ht="15" customHeight="1">
      <c r="B462" s="185"/>
      <c r="C462" s="174">
        <f>IF(初期登録!$B$10*12+初期登録!$D$10&lt;$A462,"",2)</f>
        <v>2</v>
      </c>
      <c r="D462" s="641">
        <v>57.142857142857146</v>
      </c>
      <c r="E462" s="88">
        <v>75</v>
      </c>
      <c r="F462" s="642">
        <v>71.428571428571431</v>
      </c>
      <c r="G462" s="89">
        <f t="shared" si="46"/>
        <v>136.4285714285717</v>
      </c>
      <c r="H462" s="90">
        <f t="shared" si="47"/>
        <v>1356.25</v>
      </c>
      <c r="I462" s="91">
        <f t="shared" si="48"/>
        <v>546.3333333333336</v>
      </c>
      <c r="J462" s="634">
        <f t="shared" si="56"/>
        <v>2136.4285714285716</v>
      </c>
      <c r="K462" s="90">
        <f t="shared" si="49"/>
        <v>1356.25</v>
      </c>
      <c r="L462" s="58">
        <f t="shared" si="57"/>
        <v>46.333333333333599</v>
      </c>
      <c r="M462" s="189"/>
      <c r="N462" s="183">
        <f t="shared" si="58"/>
        <v>50</v>
      </c>
      <c r="O462" s="146"/>
      <c r="P462" s="146">
        <f t="shared" si="59"/>
        <v>0</v>
      </c>
      <c r="Q462" s="112"/>
    </row>
    <row r="463" spans="1:17" ht="15" customHeight="1">
      <c r="B463" s="185"/>
      <c r="C463" s="174">
        <f>IF(初期登録!$B$10*12+初期登録!$D$10&lt;$A463,"",3)</f>
        <v>3</v>
      </c>
      <c r="D463" s="641">
        <v>42.857142857142854</v>
      </c>
      <c r="E463" s="88">
        <v>87.5</v>
      </c>
      <c r="F463" s="642">
        <v>42.857142857142854</v>
      </c>
      <c r="G463" s="89">
        <f t="shared" si="46"/>
        <v>129.28571428571456</v>
      </c>
      <c r="H463" s="90">
        <f t="shared" si="47"/>
        <v>1393.75</v>
      </c>
      <c r="I463" s="91">
        <f t="shared" si="48"/>
        <v>539.19047619047649</v>
      </c>
      <c r="J463" s="634">
        <f t="shared" si="56"/>
        <v>2129.2857142857147</v>
      </c>
      <c r="K463" s="90">
        <f t="shared" si="49"/>
        <v>1393.75</v>
      </c>
      <c r="L463" s="58">
        <f t="shared" si="57"/>
        <v>39.190476190476488</v>
      </c>
      <c r="M463" s="189"/>
      <c r="N463" s="183">
        <f t="shared" si="58"/>
        <v>50</v>
      </c>
      <c r="O463" s="146"/>
      <c r="P463" s="146">
        <f t="shared" si="59"/>
        <v>0</v>
      </c>
      <c r="Q463" s="112"/>
    </row>
    <row r="464" spans="1:17">
      <c r="B464" s="185"/>
      <c r="C464" s="174">
        <f>IF(初期登録!$B$10*12+初期登録!$D$10&lt;$A464,"",4)</f>
        <v>4</v>
      </c>
      <c r="D464" s="641">
        <v>64.285714285714292</v>
      </c>
      <c r="E464" s="88">
        <v>87.5</v>
      </c>
      <c r="F464" s="642">
        <v>57.142857142857146</v>
      </c>
      <c r="G464" s="89">
        <f t="shared" si="46"/>
        <v>143.57142857142884</v>
      </c>
      <c r="H464" s="90">
        <f t="shared" si="47"/>
        <v>1431.25</v>
      </c>
      <c r="I464" s="91">
        <f t="shared" si="48"/>
        <v>546.3333333333336</v>
      </c>
      <c r="J464" s="634">
        <f t="shared" si="56"/>
        <v>2143.5714285714289</v>
      </c>
      <c r="K464" s="90">
        <f t="shared" si="49"/>
        <v>1431.25</v>
      </c>
      <c r="L464" s="58">
        <f t="shared" si="57"/>
        <v>46.333333333333599</v>
      </c>
      <c r="M464" s="189"/>
      <c r="N464" s="183">
        <f t="shared" si="58"/>
        <v>50</v>
      </c>
      <c r="O464" s="146"/>
      <c r="P464" s="146">
        <f t="shared" si="59"/>
        <v>0</v>
      </c>
      <c r="Q464" s="112"/>
    </row>
    <row r="465" spans="1:17">
      <c r="B465" s="185"/>
      <c r="C465" s="174">
        <f>IF(初期登録!$B$10*12+初期登録!$D$10&lt;$A465,"",5)</f>
        <v>5</v>
      </c>
      <c r="D465" s="641">
        <v>28.571428571428573</v>
      </c>
      <c r="E465" s="88">
        <v>75</v>
      </c>
      <c r="F465" s="642">
        <v>50</v>
      </c>
      <c r="G465" s="89">
        <f t="shared" si="46"/>
        <v>122.14285714285741</v>
      </c>
      <c r="H465" s="90">
        <f t="shared" si="47"/>
        <v>1456.25</v>
      </c>
      <c r="I465" s="91">
        <f t="shared" si="48"/>
        <v>546.3333333333336</v>
      </c>
      <c r="J465" s="634">
        <f t="shared" si="56"/>
        <v>2122.1428571428573</v>
      </c>
      <c r="K465" s="90">
        <f t="shared" si="49"/>
        <v>1456.25</v>
      </c>
      <c r="L465" s="58">
        <f t="shared" si="57"/>
        <v>46.333333333333599</v>
      </c>
      <c r="M465" s="189"/>
      <c r="N465" s="183">
        <f t="shared" si="58"/>
        <v>50</v>
      </c>
      <c r="O465" s="146"/>
      <c r="P465" s="146">
        <f t="shared" si="59"/>
        <v>0</v>
      </c>
      <c r="Q465" s="112"/>
    </row>
    <row r="466" spans="1:17">
      <c r="B466" s="185"/>
      <c r="C466" s="174">
        <f>IF(初期登録!$B$10*12+初期登録!$D$10&lt;$A466,"",6)</f>
        <v>6</v>
      </c>
      <c r="D466" s="641">
        <v>50</v>
      </c>
      <c r="E466" s="88">
        <v>87.5</v>
      </c>
      <c r="F466" s="642">
        <v>57.142857142857146</v>
      </c>
      <c r="G466" s="89">
        <f t="shared" si="46"/>
        <v>122.14285714285741</v>
      </c>
      <c r="H466" s="90">
        <f t="shared" si="47"/>
        <v>1493.75</v>
      </c>
      <c r="I466" s="91">
        <f t="shared" si="48"/>
        <v>553.47619047619071</v>
      </c>
      <c r="J466" s="634">
        <f t="shared" si="56"/>
        <v>2122.1428571428573</v>
      </c>
      <c r="K466" s="90">
        <f t="shared" si="49"/>
        <v>1493.75</v>
      </c>
      <c r="L466" s="58">
        <f t="shared" si="57"/>
        <v>53.476190476190709</v>
      </c>
      <c r="M466" s="189"/>
      <c r="N466" s="183">
        <f t="shared" si="58"/>
        <v>50</v>
      </c>
      <c r="O466" s="146"/>
      <c r="P466" s="146">
        <f t="shared" si="59"/>
        <v>0</v>
      </c>
      <c r="Q466" s="112"/>
    </row>
    <row r="467" spans="1:17">
      <c r="B467" s="185"/>
      <c r="C467" s="174">
        <f>IF(初期登録!$B$10*12+初期登録!$D$10&lt;$A467,"",7)</f>
        <v>7</v>
      </c>
      <c r="D467" s="641">
        <v>57.142857142857146</v>
      </c>
      <c r="E467" s="88">
        <v>87.5</v>
      </c>
      <c r="F467" s="642">
        <v>85.714285714285708</v>
      </c>
      <c r="G467" s="89">
        <f t="shared" si="46"/>
        <v>129.28571428571456</v>
      </c>
      <c r="H467" s="90">
        <f t="shared" si="47"/>
        <v>1531.25</v>
      </c>
      <c r="I467" s="91">
        <f t="shared" si="48"/>
        <v>589.19047619047637</v>
      </c>
      <c r="J467" s="634">
        <f t="shared" si="56"/>
        <v>2129.2857142857147</v>
      </c>
      <c r="K467" s="90">
        <f t="shared" si="49"/>
        <v>1531.25</v>
      </c>
      <c r="L467" s="58">
        <f t="shared" si="57"/>
        <v>89.190476190476375</v>
      </c>
      <c r="M467" s="189"/>
      <c r="N467" s="183">
        <f t="shared" si="58"/>
        <v>50</v>
      </c>
      <c r="O467" s="146"/>
      <c r="P467" s="146">
        <f t="shared" si="59"/>
        <v>0</v>
      </c>
      <c r="Q467" s="112"/>
    </row>
    <row r="468" spans="1:17">
      <c r="B468" s="185"/>
      <c r="C468" s="174">
        <f>IF(初期登録!$B$10*12+初期登録!$D$10&lt;$A468,"",8)</f>
        <v>8</v>
      </c>
      <c r="D468" s="641">
        <v>42.857142857142854</v>
      </c>
      <c r="E468" s="88">
        <v>62.5</v>
      </c>
      <c r="F468" s="642">
        <v>57.142857142857146</v>
      </c>
      <c r="G468" s="89">
        <f t="shared" si="46"/>
        <v>122.14285714285742</v>
      </c>
      <c r="H468" s="90">
        <f t="shared" si="47"/>
        <v>1543.75</v>
      </c>
      <c r="I468" s="91">
        <f t="shared" si="48"/>
        <v>596.33333333333348</v>
      </c>
      <c r="J468" s="634">
        <f t="shared" si="56"/>
        <v>2122.1428571428573</v>
      </c>
      <c r="K468" s="90">
        <f t="shared" si="49"/>
        <v>1543.75</v>
      </c>
      <c r="L468" s="58">
        <f t="shared" si="57"/>
        <v>96.333333333333485</v>
      </c>
      <c r="M468" s="189"/>
      <c r="N468" s="183">
        <f t="shared" si="58"/>
        <v>50</v>
      </c>
      <c r="O468" s="146"/>
      <c r="P468" s="146">
        <f t="shared" si="59"/>
        <v>0</v>
      </c>
      <c r="Q468" s="112"/>
    </row>
    <row r="469" spans="1:17">
      <c r="B469" s="185"/>
      <c r="C469" s="174">
        <f>IF(初期登録!$B$10*12+初期登録!$D$10&lt;$A469,"",9)</f>
        <v>9</v>
      </c>
      <c r="D469" s="641">
        <v>28.571428571428573</v>
      </c>
      <c r="E469" s="88">
        <v>31.25</v>
      </c>
      <c r="F469" s="642">
        <v>57.142857142857146</v>
      </c>
      <c r="G469" s="89">
        <f t="shared" si="46"/>
        <v>100.71428571428599</v>
      </c>
      <c r="H469" s="90">
        <f t="shared" si="47"/>
        <v>1525</v>
      </c>
      <c r="I469" s="91">
        <f t="shared" si="48"/>
        <v>603.4761904761906</v>
      </c>
      <c r="J469" s="634">
        <f t="shared" si="56"/>
        <v>2100.7142857142858</v>
      </c>
      <c r="K469" s="90">
        <f t="shared" si="49"/>
        <v>1525</v>
      </c>
      <c r="L469" s="58">
        <f t="shared" si="57"/>
        <v>103.4761904761906</v>
      </c>
      <c r="M469" s="189"/>
      <c r="N469" s="183">
        <f t="shared" si="58"/>
        <v>50</v>
      </c>
      <c r="O469" s="146"/>
      <c r="P469" s="146">
        <f t="shared" si="59"/>
        <v>0</v>
      </c>
      <c r="Q469" s="112"/>
    </row>
    <row r="470" spans="1:17">
      <c r="B470" s="185"/>
      <c r="C470" s="174">
        <f>IF(初期登録!$B$10*12+初期登録!$D$10&lt;$A470,"",10)</f>
        <v>10</v>
      </c>
      <c r="D470" s="641">
        <v>14.285714285714286</v>
      </c>
      <c r="E470" s="88">
        <v>43.75</v>
      </c>
      <c r="F470" s="642">
        <v>42.857142857142854</v>
      </c>
      <c r="G470" s="89">
        <f t="shared" si="46"/>
        <v>65.000000000000284</v>
      </c>
      <c r="H470" s="90">
        <f t="shared" si="47"/>
        <v>1518.75</v>
      </c>
      <c r="I470" s="91">
        <f t="shared" si="48"/>
        <v>596.33333333333348</v>
      </c>
      <c r="J470" s="634">
        <f t="shared" si="56"/>
        <v>2065.0000000000005</v>
      </c>
      <c r="K470" s="90">
        <f t="shared" si="49"/>
        <v>1518.75</v>
      </c>
      <c r="L470" s="58">
        <f t="shared" si="57"/>
        <v>96.333333333333485</v>
      </c>
      <c r="M470" s="189"/>
      <c r="N470" s="183">
        <f t="shared" si="58"/>
        <v>50</v>
      </c>
      <c r="O470" s="146"/>
      <c r="P470" s="146">
        <f t="shared" si="59"/>
        <v>0</v>
      </c>
      <c r="Q470" s="112"/>
    </row>
    <row r="471" spans="1:17">
      <c r="B471" s="185"/>
      <c r="C471" s="174">
        <f>IF(初期登録!$B$10*12+初期登録!$D$10&lt;$A471,"",11)</f>
        <v>11</v>
      </c>
      <c r="D471" s="641">
        <v>28.571428571428573</v>
      </c>
      <c r="E471" s="88">
        <v>75</v>
      </c>
      <c r="F471" s="642">
        <v>57.142857142857146</v>
      </c>
      <c r="G471" s="89">
        <f t="shared" si="46"/>
        <v>43.571428571428854</v>
      </c>
      <c r="H471" s="90">
        <f t="shared" si="47"/>
        <v>1543.75</v>
      </c>
      <c r="I471" s="91">
        <f t="shared" si="48"/>
        <v>603.4761904761906</v>
      </c>
      <c r="J471" s="634">
        <f t="shared" si="56"/>
        <v>2043.5714285714289</v>
      </c>
      <c r="K471" s="90">
        <f t="shared" si="49"/>
        <v>1543.75</v>
      </c>
      <c r="L471" s="58">
        <f t="shared" si="57"/>
        <v>103.4761904761906</v>
      </c>
      <c r="M471" s="189"/>
      <c r="N471" s="183">
        <f t="shared" si="58"/>
        <v>50</v>
      </c>
      <c r="O471" s="146"/>
      <c r="P471" s="146">
        <f t="shared" si="59"/>
        <v>0</v>
      </c>
      <c r="Q471" s="112"/>
    </row>
    <row r="472" spans="1:17">
      <c r="B472" s="186"/>
      <c r="C472" s="175">
        <f>IF(初期登録!$B$10*12+初期登録!$D$10&lt;$A472,"",12)</f>
        <v>12</v>
      </c>
      <c r="D472" s="643">
        <v>28.571428571428573</v>
      </c>
      <c r="E472" s="92">
        <v>75</v>
      </c>
      <c r="F472" s="93">
        <v>50</v>
      </c>
      <c r="G472" s="94">
        <f t="shared" si="46"/>
        <v>22.142857142857427</v>
      </c>
      <c r="H472" s="95">
        <f t="shared" si="47"/>
        <v>1568.75</v>
      </c>
      <c r="I472" s="96">
        <f t="shared" si="48"/>
        <v>603.4761904761906</v>
      </c>
      <c r="J472" s="635">
        <f t="shared" si="56"/>
        <v>2022.1428571428573</v>
      </c>
      <c r="K472" s="95">
        <f t="shared" si="49"/>
        <v>1568.75</v>
      </c>
      <c r="L472" s="636">
        <f t="shared" si="57"/>
        <v>103.4761904761906</v>
      </c>
      <c r="M472" s="190"/>
      <c r="N472" s="183">
        <f t="shared" si="58"/>
        <v>50</v>
      </c>
      <c r="O472" s="146"/>
      <c r="P472" s="146">
        <f t="shared" si="59"/>
        <v>0</v>
      </c>
      <c r="Q472" s="147"/>
    </row>
    <row r="473" spans="1:17" ht="15" customHeight="1">
      <c r="A473" s="180"/>
      <c r="B473" s="1118">
        <v>30</v>
      </c>
      <c r="C473" s="1119">
        <f>IF(初期登録!$B$10*12+初期登録!$D$10&lt;$A473,"",1)</f>
        <v>1</v>
      </c>
      <c r="D473" s="1111">
        <v>71.428571428571431</v>
      </c>
      <c r="E473" s="1112">
        <v>75</v>
      </c>
      <c r="F473" s="1113">
        <v>50</v>
      </c>
      <c r="G473" s="1114">
        <f t="shared" ref="G473:G484" si="60">D473-50+G472</f>
        <v>43.571428571428854</v>
      </c>
      <c r="H473" s="1115">
        <f t="shared" ref="H473:H484" si="61">E473-50+H472</f>
        <v>1593.75</v>
      </c>
      <c r="I473" s="1116">
        <f t="shared" ref="I473:I484" si="62">F473-50+I472</f>
        <v>603.4761904761906</v>
      </c>
      <c r="J473" s="1117">
        <f t="shared" si="56"/>
        <v>2043.5714285714289</v>
      </c>
      <c r="K473" s="1115">
        <f t="shared" ref="K473:K484" si="63">IF(E473="",NA,H473)</f>
        <v>1593.75</v>
      </c>
      <c r="L473" s="631">
        <f t="shared" si="57"/>
        <v>103.4761904761906</v>
      </c>
      <c r="M473" s="188">
        <v>2018</v>
      </c>
      <c r="N473" s="183">
        <f t="shared" si="58"/>
        <v>50</v>
      </c>
      <c r="O473" s="146"/>
      <c r="P473" s="146">
        <f t="shared" si="59"/>
        <v>0</v>
      </c>
      <c r="Q473" s="159"/>
    </row>
    <row r="474" spans="1:17" ht="15" customHeight="1">
      <c r="B474" s="185"/>
      <c r="C474" s="174">
        <f>IF(初期登録!$B$10*12+初期登録!$D$10&lt;$A474,"",2)</f>
        <v>2</v>
      </c>
      <c r="D474" s="641">
        <v>71.428571428571431</v>
      </c>
      <c r="E474" s="88">
        <v>62.5</v>
      </c>
      <c r="F474" s="642">
        <v>57.142857142857146</v>
      </c>
      <c r="G474" s="89">
        <f t="shared" si="60"/>
        <v>65.000000000000284</v>
      </c>
      <c r="H474" s="90">
        <f t="shared" si="61"/>
        <v>1606.25</v>
      </c>
      <c r="I474" s="91">
        <f t="shared" si="62"/>
        <v>610.61904761904771</v>
      </c>
      <c r="J474" s="634">
        <f t="shared" si="56"/>
        <v>2065.0000000000005</v>
      </c>
      <c r="K474" s="90">
        <f t="shared" si="63"/>
        <v>1606.25</v>
      </c>
      <c r="L474" s="58">
        <f t="shared" si="57"/>
        <v>110.61904761904771</v>
      </c>
      <c r="M474" s="189"/>
      <c r="N474" s="183">
        <f t="shared" si="58"/>
        <v>50</v>
      </c>
      <c r="O474" s="146"/>
      <c r="P474" s="146">
        <f t="shared" si="59"/>
        <v>0</v>
      </c>
      <c r="Q474" s="112"/>
    </row>
    <row r="475" spans="1:17" ht="15" customHeight="1">
      <c r="B475" s="185"/>
      <c r="C475" s="174">
        <f>IF(初期登録!$B$10*12+初期登録!$D$10&lt;$A475,"",3)</f>
        <v>3</v>
      </c>
      <c r="D475" s="641">
        <v>85.714285714285708</v>
      </c>
      <c r="E475" s="88">
        <v>75</v>
      </c>
      <c r="F475" s="642">
        <v>57.142857142857146</v>
      </c>
      <c r="G475" s="89">
        <f t="shared" si="60"/>
        <v>100.71428571428599</v>
      </c>
      <c r="H475" s="90">
        <f t="shared" si="61"/>
        <v>1631.25</v>
      </c>
      <c r="I475" s="91">
        <f t="shared" si="62"/>
        <v>617.76190476190482</v>
      </c>
      <c r="J475" s="634">
        <f t="shared" si="56"/>
        <v>2100.7142857142858</v>
      </c>
      <c r="K475" s="90">
        <f t="shared" si="63"/>
        <v>1631.25</v>
      </c>
      <c r="L475" s="58">
        <f t="shared" si="57"/>
        <v>117.76190476190482</v>
      </c>
      <c r="M475" s="189"/>
      <c r="N475" s="183">
        <f t="shared" si="58"/>
        <v>50</v>
      </c>
      <c r="O475" s="146"/>
      <c r="P475" s="146">
        <f t="shared" si="59"/>
        <v>0</v>
      </c>
      <c r="Q475" s="112"/>
    </row>
    <row r="476" spans="1:17">
      <c r="B476" s="185"/>
      <c r="C476" s="174">
        <f>IF(初期登録!$B$10*12+初期登録!$D$10&lt;$A476,"",4)</f>
        <v>4</v>
      </c>
      <c r="D476" s="641">
        <v>78.571428571428569</v>
      </c>
      <c r="E476" s="88">
        <v>75</v>
      </c>
      <c r="F476" s="642">
        <v>42.857142857142854</v>
      </c>
      <c r="G476" s="89">
        <f t="shared" si="60"/>
        <v>129.28571428571456</v>
      </c>
      <c r="H476" s="90">
        <f t="shared" si="61"/>
        <v>1656.25</v>
      </c>
      <c r="I476" s="91">
        <f t="shared" si="62"/>
        <v>610.61904761904771</v>
      </c>
      <c r="J476" s="634">
        <f t="shared" si="56"/>
        <v>2129.2857142857147</v>
      </c>
      <c r="K476" s="90">
        <f t="shared" si="63"/>
        <v>1656.25</v>
      </c>
      <c r="L476" s="58">
        <f t="shared" si="57"/>
        <v>110.61904761904771</v>
      </c>
      <c r="M476" s="189"/>
      <c r="N476" s="183">
        <f t="shared" si="58"/>
        <v>50</v>
      </c>
      <c r="O476" s="146"/>
      <c r="P476" s="146">
        <f t="shared" si="59"/>
        <v>0</v>
      </c>
      <c r="Q476" s="112"/>
    </row>
    <row r="477" spans="1:17">
      <c r="B477" s="185"/>
      <c r="C477" s="174">
        <f>IF(初期登録!$B$10*12+初期登録!$D$10&lt;$A477,"",5)</f>
        <v>5</v>
      </c>
      <c r="D477" s="641">
        <v>71.428571428571431</v>
      </c>
      <c r="E477" s="88">
        <v>62.5</v>
      </c>
      <c r="F477" s="642">
        <v>42.857142857142854</v>
      </c>
      <c r="G477" s="89">
        <f t="shared" si="60"/>
        <v>150.71428571428601</v>
      </c>
      <c r="H477" s="90">
        <f t="shared" si="61"/>
        <v>1668.75</v>
      </c>
      <c r="I477" s="91">
        <f t="shared" si="62"/>
        <v>603.4761904761906</v>
      </c>
      <c r="J477" s="634">
        <f t="shared" si="56"/>
        <v>2150.7142857142862</v>
      </c>
      <c r="K477" s="90">
        <f t="shared" si="63"/>
        <v>1668.75</v>
      </c>
      <c r="L477" s="58">
        <f t="shared" si="57"/>
        <v>103.4761904761906</v>
      </c>
      <c r="M477" s="189"/>
      <c r="N477" s="183">
        <f t="shared" si="58"/>
        <v>50</v>
      </c>
      <c r="O477" s="146"/>
      <c r="P477" s="146">
        <f t="shared" si="59"/>
        <v>0</v>
      </c>
      <c r="Q477" s="112"/>
    </row>
    <row r="478" spans="1:17">
      <c r="B478" s="185"/>
      <c r="C478" s="174">
        <f>IF(初期登録!$B$10*12+初期登録!$D$10&lt;$A478,"",6)</f>
        <v>6</v>
      </c>
      <c r="D478" s="641">
        <v>64.285714285714292</v>
      </c>
      <c r="E478" s="88">
        <v>75</v>
      </c>
      <c r="F478" s="642">
        <v>28.571428571428573</v>
      </c>
      <c r="G478" s="89">
        <f t="shared" si="60"/>
        <v>165.00000000000028</v>
      </c>
      <c r="H478" s="90">
        <f t="shared" si="61"/>
        <v>1693.75</v>
      </c>
      <c r="I478" s="91">
        <f t="shared" si="62"/>
        <v>582.04761904761915</v>
      </c>
      <c r="J478" s="634">
        <f t="shared" si="56"/>
        <v>2165.0000000000005</v>
      </c>
      <c r="K478" s="90">
        <f t="shared" si="63"/>
        <v>1693.75</v>
      </c>
      <c r="L478" s="58">
        <f t="shared" si="57"/>
        <v>82.04761904761915</v>
      </c>
      <c r="M478" s="189"/>
      <c r="N478" s="183">
        <f t="shared" si="58"/>
        <v>50</v>
      </c>
      <c r="O478" s="146"/>
      <c r="P478" s="146">
        <f t="shared" si="59"/>
        <v>0</v>
      </c>
      <c r="Q478" s="112"/>
    </row>
    <row r="479" spans="1:17">
      <c r="B479" s="185"/>
      <c r="C479" s="174">
        <f>IF(初期登録!$B$10*12+初期登録!$D$10&lt;$A479,"",7)</f>
        <v>7</v>
      </c>
      <c r="D479" s="641">
        <v>78.571428571428569</v>
      </c>
      <c r="E479" s="88">
        <v>87.5</v>
      </c>
      <c r="F479" s="642">
        <v>71.428571428571431</v>
      </c>
      <c r="G479" s="89">
        <f t="shared" si="60"/>
        <v>193.57142857142884</v>
      </c>
      <c r="H479" s="90">
        <f t="shared" si="61"/>
        <v>1731.25</v>
      </c>
      <c r="I479" s="91">
        <f t="shared" si="62"/>
        <v>603.4761904761906</v>
      </c>
      <c r="J479" s="634">
        <f t="shared" si="56"/>
        <v>2193.5714285714289</v>
      </c>
      <c r="K479" s="90">
        <f t="shared" si="63"/>
        <v>1731.25</v>
      </c>
      <c r="L479" s="58">
        <f t="shared" si="57"/>
        <v>103.4761904761906</v>
      </c>
      <c r="M479" s="189"/>
      <c r="N479" s="183">
        <f t="shared" si="58"/>
        <v>50</v>
      </c>
      <c r="O479" s="146"/>
      <c r="P479" s="146">
        <f t="shared" si="59"/>
        <v>0</v>
      </c>
      <c r="Q479" s="112"/>
    </row>
    <row r="480" spans="1:17">
      <c r="B480" s="185"/>
      <c r="C480" s="174">
        <f>IF(初期登録!$B$10*12+初期登録!$D$10&lt;$A480,"",8)</f>
        <v>8</v>
      </c>
      <c r="D480" s="641">
        <v>57.142857142857146</v>
      </c>
      <c r="E480" s="88">
        <v>62.5</v>
      </c>
      <c r="F480" s="642">
        <v>57.142857142857146</v>
      </c>
      <c r="G480" s="89">
        <f t="shared" si="60"/>
        <v>200.71428571428598</v>
      </c>
      <c r="H480" s="90">
        <f t="shared" si="61"/>
        <v>1743.75</v>
      </c>
      <c r="I480" s="91">
        <f t="shared" si="62"/>
        <v>610.61904761904771</v>
      </c>
      <c r="J480" s="634">
        <f t="shared" si="56"/>
        <v>2200.7142857142858</v>
      </c>
      <c r="K480" s="90">
        <f t="shared" si="63"/>
        <v>1743.75</v>
      </c>
      <c r="L480" s="58">
        <f t="shared" si="57"/>
        <v>110.61904761904771</v>
      </c>
      <c r="M480" s="189"/>
      <c r="N480" s="183">
        <v>50</v>
      </c>
      <c r="O480" s="146">
        <v>99</v>
      </c>
      <c r="P480" s="146">
        <v>0</v>
      </c>
      <c r="Q480" s="112">
        <v>2980</v>
      </c>
    </row>
    <row r="481" spans="1:17">
      <c r="B481" s="185"/>
      <c r="C481" s="174">
        <f>IF(初期登録!$B$10*12+初期登録!$D$10&lt;$A481,"",9)</f>
        <v>9</v>
      </c>
      <c r="D481" s="641">
        <v>50</v>
      </c>
      <c r="E481" s="88">
        <v>50</v>
      </c>
      <c r="F481" s="642">
        <v>71.428571428571431</v>
      </c>
      <c r="G481" s="89">
        <f t="shared" si="60"/>
        <v>200.71428571428598</v>
      </c>
      <c r="H481" s="90">
        <f t="shared" si="61"/>
        <v>1743.75</v>
      </c>
      <c r="I481" s="91">
        <f t="shared" si="62"/>
        <v>632.04761904761915</v>
      </c>
      <c r="J481" s="634">
        <f t="shared" si="56"/>
        <v>2200.7142857142858</v>
      </c>
      <c r="K481" s="90">
        <f t="shared" si="63"/>
        <v>1743.75</v>
      </c>
      <c r="L481" s="58">
        <f t="shared" si="57"/>
        <v>132.04761904761915</v>
      </c>
      <c r="M481" s="189"/>
      <c r="N481" s="183">
        <f t="shared" si="58"/>
        <v>50</v>
      </c>
      <c r="O481" s="146">
        <v>99</v>
      </c>
      <c r="P481" s="146">
        <f t="shared" si="59"/>
        <v>0</v>
      </c>
      <c r="Q481" s="112">
        <v>2980</v>
      </c>
    </row>
    <row r="482" spans="1:17">
      <c r="B482" s="185"/>
      <c r="C482" s="174">
        <f>IF(初期登録!$B$10*12+初期登録!$D$10&lt;$A482,"",10)</f>
        <v>10</v>
      </c>
      <c r="D482" s="641">
        <v>57.142857142857146</v>
      </c>
      <c r="E482" s="88">
        <v>62.5</v>
      </c>
      <c r="F482" s="642">
        <v>28.571428571428573</v>
      </c>
      <c r="G482" s="89">
        <f t="shared" si="60"/>
        <v>207.85714285714312</v>
      </c>
      <c r="H482" s="90">
        <f t="shared" si="61"/>
        <v>1756.25</v>
      </c>
      <c r="I482" s="91">
        <f t="shared" si="62"/>
        <v>610.61904761904771</v>
      </c>
      <c r="J482" s="634">
        <f t="shared" si="56"/>
        <v>2207.8571428571431</v>
      </c>
      <c r="K482" s="90">
        <f t="shared" si="63"/>
        <v>1756.25</v>
      </c>
      <c r="L482" s="58">
        <f t="shared" si="57"/>
        <v>110.61904761904771</v>
      </c>
      <c r="M482" s="189"/>
      <c r="N482" s="183">
        <f t="shared" si="58"/>
        <v>50</v>
      </c>
      <c r="O482" s="146">
        <v>99</v>
      </c>
      <c r="P482" s="146">
        <f t="shared" si="59"/>
        <v>0</v>
      </c>
      <c r="Q482" s="112">
        <v>2980</v>
      </c>
    </row>
    <row r="483" spans="1:17">
      <c r="B483" s="185"/>
      <c r="C483" s="174">
        <f>IF(初期登録!$B$10*12+初期登録!$D$10&lt;$A483,"",11)</f>
        <v>11</v>
      </c>
      <c r="D483" s="641">
        <v>57.142857142857146</v>
      </c>
      <c r="E483" s="88">
        <v>6.25</v>
      </c>
      <c r="F483" s="642">
        <v>14.285714285714286</v>
      </c>
      <c r="G483" s="89">
        <f t="shared" si="60"/>
        <v>215.00000000000026</v>
      </c>
      <c r="H483" s="90">
        <f t="shared" si="61"/>
        <v>1712.5</v>
      </c>
      <c r="I483" s="91">
        <f t="shared" si="62"/>
        <v>574.90476190476204</v>
      </c>
      <c r="J483" s="634">
        <f t="shared" si="56"/>
        <v>2215.0000000000005</v>
      </c>
      <c r="K483" s="90">
        <f t="shared" si="63"/>
        <v>1712.5</v>
      </c>
      <c r="L483" s="58">
        <f t="shared" si="57"/>
        <v>74.90476190476204</v>
      </c>
      <c r="M483" s="189"/>
      <c r="N483" s="183">
        <f t="shared" si="58"/>
        <v>50</v>
      </c>
      <c r="O483" s="146">
        <v>99</v>
      </c>
      <c r="P483" s="146">
        <f t="shared" si="59"/>
        <v>0</v>
      </c>
      <c r="Q483" s="112">
        <v>2980</v>
      </c>
    </row>
    <row r="484" spans="1:17">
      <c r="B484" s="186"/>
      <c r="C484" s="175">
        <f>IF(初期登録!$B$10*12+初期登録!$D$10&lt;$A484,"",12)</f>
        <v>12</v>
      </c>
      <c r="D484" s="643">
        <v>42.857142857142854</v>
      </c>
      <c r="E484" s="92">
        <v>6.25</v>
      </c>
      <c r="F484" s="93">
        <v>14.285714285714286</v>
      </c>
      <c r="G484" s="94">
        <f t="shared" si="60"/>
        <v>207.85714285714312</v>
      </c>
      <c r="H484" s="95">
        <f t="shared" si="61"/>
        <v>1668.75</v>
      </c>
      <c r="I484" s="96">
        <f t="shared" si="62"/>
        <v>539.19047619047637</v>
      </c>
      <c r="J484" s="635">
        <f t="shared" si="56"/>
        <v>2207.8571428571431</v>
      </c>
      <c r="K484" s="95">
        <f t="shared" si="63"/>
        <v>1668.75</v>
      </c>
      <c r="L484" s="636">
        <f t="shared" si="57"/>
        <v>39.190476190476375</v>
      </c>
      <c r="M484" s="190"/>
      <c r="N484" s="183">
        <f t="shared" si="58"/>
        <v>50</v>
      </c>
      <c r="O484" s="146">
        <v>99</v>
      </c>
      <c r="P484" s="146">
        <f t="shared" si="59"/>
        <v>0</v>
      </c>
      <c r="Q484" s="147">
        <v>2980</v>
      </c>
    </row>
    <row r="485" spans="1:17" ht="15" customHeight="1">
      <c r="A485" s="180"/>
      <c r="B485" s="1118" t="s">
        <v>716</v>
      </c>
      <c r="C485" s="1119">
        <f>IF(初期登録!$B$10*12+初期登録!$D$10&lt;$A473,"",1)</f>
        <v>1</v>
      </c>
      <c r="D485" s="1111">
        <v>85.714285714285708</v>
      </c>
      <c r="E485" s="1112">
        <v>12.5</v>
      </c>
      <c r="F485" s="1113">
        <v>14.285714285714286</v>
      </c>
      <c r="G485" s="1114">
        <f t="shared" ref="G485:G496" si="64">D485-50+G484</f>
        <v>243.57142857142884</v>
      </c>
      <c r="H485" s="1115">
        <f t="shared" ref="H485:H496" si="65">E485-50+H484</f>
        <v>1631.25</v>
      </c>
      <c r="I485" s="1116">
        <f t="shared" ref="I485:I496" si="66">F485-50+I484</f>
        <v>503.47619047619065</v>
      </c>
      <c r="J485" s="1117">
        <f t="shared" si="56"/>
        <v>2243.5714285714289</v>
      </c>
      <c r="K485" s="1115">
        <f t="shared" ref="K485:K496" si="67">IF(E485="",NA,H485)</f>
        <v>1631.25</v>
      </c>
      <c r="L485" s="631">
        <f t="shared" si="57"/>
        <v>3.4761904761906521</v>
      </c>
      <c r="M485" s="188">
        <v>2019</v>
      </c>
      <c r="N485" s="183">
        <f t="shared" si="58"/>
        <v>50</v>
      </c>
      <c r="O485" s="146">
        <v>99</v>
      </c>
      <c r="P485" s="146">
        <f t="shared" si="59"/>
        <v>0</v>
      </c>
      <c r="Q485" s="159">
        <v>2980</v>
      </c>
    </row>
    <row r="486" spans="1:17" ht="15" customHeight="1">
      <c r="B486" s="185"/>
      <c r="C486" s="174">
        <f>IF(初期登録!$B$10*12+初期登録!$D$10&lt;$A474,"",2)</f>
        <v>2</v>
      </c>
      <c r="D486" s="641">
        <v>57.142857142857146</v>
      </c>
      <c r="E486" s="88">
        <v>25</v>
      </c>
      <c r="F486" s="642">
        <v>42.857142857142854</v>
      </c>
      <c r="G486" s="89">
        <f t="shared" si="64"/>
        <v>250.71428571428598</v>
      </c>
      <c r="H486" s="90">
        <f t="shared" si="65"/>
        <v>1606.25</v>
      </c>
      <c r="I486" s="91">
        <f t="shared" si="66"/>
        <v>496.33333333333348</v>
      </c>
      <c r="J486" s="634">
        <f t="shared" si="56"/>
        <v>2250.7142857142858</v>
      </c>
      <c r="K486" s="90">
        <f t="shared" si="67"/>
        <v>1606.25</v>
      </c>
      <c r="L486" s="58">
        <f t="shared" si="57"/>
        <v>-3.6666666666665151</v>
      </c>
      <c r="M486" s="189"/>
      <c r="N486" s="183">
        <f t="shared" si="58"/>
        <v>50</v>
      </c>
      <c r="O486" s="146">
        <v>99</v>
      </c>
      <c r="P486" s="146">
        <f t="shared" si="59"/>
        <v>0</v>
      </c>
      <c r="Q486" s="112">
        <v>2980</v>
      </c>
    </row>
    <row r="487" spans="1:17" ht="15" customHeight="1">
      <c r="B487" s="185"/>
      <c r="C487" s="174">
        <f>IF(初期登録!$B$10*12+初期登録!$D$10&lt;$A475,"",3)</f>
        <v>3</v>
      </c>
      <c r="D487" s="641">
        <v>14.285714285714286</v>
      </c>
      <c r="E487" s="88">
        <v>37.5</v>
      </c>
      <c r="F487" s="642">
        <v>42.857142857142854</v>
      </c>
      <c r="G487" s="89">
        <f t="shared" si="64"/>
        <v>215.00000000000026</v>
      </c>
      <c r="H487" s="90">
        <f t="shared" si="65"/>
        <v>1593.75</v>
      </c>
      <c r="I487" s="91">
        <f t="shared" si="66"/>
        <v>489.19047619047632</v>
      </c>
      <c r="J487" s="634">
        <f t="shared" si="56"/>
        <v>2215.0000000000005</v>
      </c>
      <c r="K487" s="90">
        <f t="shared" si="67"/>
        <v>1593.75</v>
      </c>
      <c r="L487" s="58">
        <f t="shared" si="57"/>
        <v>-10.809523809523682</v>
      </c>
      <c r="M487" s="189"/>
      <c r="N487" s="183">
        <f t="shared" si="58"/>
        <v>50</v>
      </c>
      <c r="O487" s="146">
        <v>99</v>
      </c>
      <c r="P487" s="146">
        <f t="shared" si="59"/>
        <v>0</v>
      </c>
      <c r="Q487" s="112">
        <v>2980</v>
      </c>
    </row>
    <row r="488" spans="1:17">
      <c r="B488" s="185"/>
      <c r="C488" s="174">
        <f>IF(初期登録!$B$10*12+初期登録!$D$10&lt;$A476,"",4)</f>
        <v>4</v>
      </c>
      <c r="D488" s="641">
        <v>28.571428571428573</v>
      </c>
      <c r="E488" s="88">
        <v>50</v>
      </c>
      <c r="F488" s="642">
        <v>42.857142857142854</v>
      </c>
      <c r="G488" s="89">
        <f t="shared" si="64"/>
        <v>193.57142857142884</v>
      </c>
      <c r="H488" s="90">
        <f t="shared" si="65"/>
        <v>1593.75</v>
      </c>
      <c r="I488" s="91">
        <f t="shared" si="66"/>
        <v>482.04761904761915</v>
      </c>
      <c r="J488" s="634">
        <f t="shared" si="56"/>
        <v>2193.5714285714289</v>
      </c>
      <c r="K488" s="90">
        <f t="shared" si="67"/>
        <v>1593.75</v>
      </c>
      <c r="L488" s="58">
        <f t="shared" si="57"/>
        <v>-17.95238095238085</v>
      </c>
      <c r="M488" s="189"/>
      <c r="N488" s="183">
        <f t="shared" si="58"/>
        <v>50</v>
      </c>
      <c r="O488" s="146">
        <v>99</v>
      </c>
      <c r="P488" s="146">
        <f t="shared" si="59"/>
        <v>0</v>
      </c>
      <c r="Q488" s="112">
        <v>2980</v>
      </c>
    </row>
    <row r="489" spans="1:17">
      <c r="B489" s="185"/>
      <c r="C489" s="174">
        <f>IF(初期登録!$B$10*12+初期登録!$D$10&lt;$A477,"",5)</f>
        <v>5</v>
      </c>
      <c r="D489" s="641">
        <v>42.857142857142854</v>
      </c>
      <c r="E489" s="88">
        <v>37.5</v>
      </c>
      <c r="F489" s="642">
        <v>64.285714285714292</v>
      </c>
      <c r="G489" s="89">
        <f t="shared" si="64"/>
        <v>186.4285714285717</v>
      </c>
      <c r="H489" s="90">
        <f t="shared" si="65"/>
        <v>1581.25</v>
      </c>
      <c r="I489" s="91">
        <f t="shared" si="66"/>
        <v>496.33333333333343</v>
      </c>
      <c r="J489" s="634">
        <f t="shared" si="56"/>
        <v>2186.4285714285716</v>
      </c>
      <c r="K489" s="90">
        <f t="shared" si="67"/>
        <v>1581.25</v>
      </c>
      <c r="L489" s="58">
        <f t="shared" si="57"/>
        <v>-3.6666666666665719</v>
      </c>
      <c r="M489" s="189"/>
      <c r="N489" s="183">
        <f t="shared" si="58"/>
        <v>50</v>
      </c>
      <c r="O489" s="146">
        <v>99</v>
      </c>
      <c r="P489" s="146">
        <f t="shared" si="59"/>
        <v>0</v>
      </c>
      <c r="Q489" s="112">
        <v>2980</v>
      </c>
    </row>
    <row r="490" spans="1:17">
      <c r="B490" s="185"/>
      <c r="C490" s="174">
        <f>IF(初期登録!$B$10*12+初期登録!$D$10&lt;$A478,"",6)</f>
        <v>6</v>
      </c>
      <c r="D490" s="641">
        <v>50</v>
      </c>
      <c r="E490" s="88">
        <v>62.5</v>
      </c>
      <c r="F490" s="642">
        <v>85.714285714285708</v>
      </c>
      <c r="G490" s="89">
        <f t="shared" si="64"/>
        <v>186.4285714285717</v>
      </c>
      <c r="H490" s="90">
        <f t="shared" si="65"/>
        <v>1593.75</v>
      </c>
      <c r="I490" s="91">
        <f t="shared" si="66"/>
        <v>532.04761904761915</v>
      </c>
      <c r="J490" s="634">
        <f t="shared" si="56"/>
        <v>2186.4285714285716</v>
      </c>
      <c r="K490" s="90">
        <f t="shared" si="67"/>
        <v>1593.75</v>
      </c>
      <c r="L490" s="58">
        <f t="shared" si="57"/>
        <v>32.04761904761915</v>
      </c>
      <c r="M490" s="189"/>
      <c r="N490" s="183">
        <f t="shared" si="58"/>
        <v>50</v>
      </c>
      <c r="O490" s="146">
        <v>99</v>
      </c>
      <c r="P490" s="146">
        <f t="shared" si="59"/>
        <v>0</v>
      </c>
      <c r="Q490" s="112">
        <v>2980</v>
      </c>
    </row>
    <row r="491" spans="1:17">
      <c r="B491" s="185"/>
      <c r="C491" s="174">
        <f>IF(初期登録!$B$10*12+初期登録!$D$10&lt;$A479,"",7)</f>
        <v>7</v>
      </c>
      <c r="D491" s="641">
        <v>28.571428571428573</v>
      </c>
      <c r="E491" s="88">
        <v>12.5</v>
      </c>
      <c r="F491" s="642">
        <v>57.142857142857146</v>
      </c>
      <c r="G491" s="89">
        <f t="shared" si="64"/>
        <v>165.00000000000028</v>
      </c>
      <c r="H491" s="90">
        <f t="shared" si="65"/>
        <v>1556.25</v>
      </c>
      <c r="I491" s="91">
        <f t="shared" si="66"/>
        <v>539.19047619047626</v>
      </c>
      <c r="J491" s="634">
        <f t="shared" si="56"/>
        <v>2165.0000000000005</v>
      </c>
      <c r="K491" s="90">
        <f t="shared" si="67"/>
        <v>1556.25</v>
      </c>
      <c r="L491" s="58">
        <f t="shared" si="57"/>
        <v>39.190476190476261</v>
      </c>
      <c r="M491" s="189"/>
      <c r="N491" s="183">
        <f t="shared" si="58"/>
        <v>50</v>
      </c>
      <c r="O491" s="146">
        <v>99</v>
      </c>
      <c r="P491" s="146">
        <f t="shared" si="59"/>
        <v>0</v>
      </c>
      <c r="Q491" s="112">
        <v>2980</v>
      </c>
    </row>
    <row r="492" spans="1:17">
      <c r="B492" s="185"/>
      <c r="C492" s="174">
        <f>IF(初期登録!$B$10*12+初期登録!$D$10&lt;$A480,"",8)</f>
        <v>8</v>
      </c>
      <c r="D492" s="641">
        <v>28.571428571428573</v>
      </c>
      <c r="E492" s="88">
        <v>25</v>
      </c>
      <c r="F492" s="642">
        <v>71.428571428571431</v>
      </c>
      <c r="G492" s="89">
        <f t="shared" si="64"/>
        <v>143.57142857142887</v>
      </c>
      <c r="H492" s="90">
        <f t="shared" si="65"/>
        <v>1531.25</v>
      </c>
      <c r="I492" s="91">
        <f t="shared" si="66"/>
        <v>560.61904761904771</v>
      </c>
      <c r="J492" s="634">
        <f t="shared" si="56"/>
        <v>2143.5714285714289</v>
      </c>
      <c r="K492" s="90">
        <f t="shared" si="67"/>
        <v>1531.25</v>
      </c>
      <c r="L492" s="58">
        <f t="shared" si="57"/>
        <v>60.619047619047706</v>
      </c>
      <c r="M492" s="189"/>
      <c r="N492" s="183">
        <f t="shared" si="58"/>
        <v>50</v>
      </c>
      <c r="O492" s="146">
        <v>99</v>
      </c>
      <c r="P492" s="146">
        <f t="shared" si="59"/>
        <v>0</v>
      </c>
      <c r="Q492" s="112">
        <v>2980</v>
      </c>
    </row>
    <row r="493" spans="1:17">
      <c r="B493" s="185"/>
      <c r="C493" s="174">
        <f>IF(初期登録!$B$10*12+初期登録!$D$10&lt;$A481,"",9)</f>
        <v>9</v>
      </c>
      <c r="D493" s="641">
        <v>28.571428571428573</v>
      </c>
      <c r="E493" s="88">
        <v>62.5</v>
      </c>
      <c r="F493" s="642">
        <v>85.714285714285708</v>
      </c>
      <c r="G493" s="89">
        <f t="shared" si="64"/>
        <v>122.14285714285744</v>
      </c>
      <c r="H493" s="90">
        <f t="shared" si="65"/>
        <v>1543.75</v>
      </c>
      <c r="I493" s="91">
        <f t="shared" si="66"/>
        <v>596.33333333333337</v>
      </c>
      <c r="J493" s="634">
        <f t="shared" si="56"/>
        <v>2122.1428571428573</v>
      </c>
      <c r="K493" s="90">
        <f t="shared" si="67"/>
        <v>1543.75</v>
      </c>
      <c r="L493" s="58">
        <f t="shared" si="57"/>
        <v>96.333333333333371</v>
      </c>
      <c r="M493" s="189"/>
      <c r="N493" s="183">
        <f t="shared" si="58"/>
        <v>50</v>
      </c>
      <c r="O493" s="146">
        <v>99</v>
      </c>
      <c r="P493" s="146">
        <f t="shared" si="59"/>
        <v>0</v>
      </c>
      <c r="Q493" s="112">
        <v>2980</v>
      </c>
    </row>
    <row r="494" spans="1:17">
      <c r="B494" s="185"/>
      <c r="C494" s="174">
        <f>IF(初期登録!$B$10*12+初期登録!$D$10&lt;$A482,"",10)</f>
        <v>10</v>
      </c>
      <c r="D494" s="641">
        <v>21.428571428571427</v>
      </c>
      <c r="E494" s="88">
        <v>25</v>
      </c>
      <c r="F494" s="642">
        <v>35.714285714285715</v>
      </c>
      <c r="G494" s="89">
        <f t="shared" si="64"/>
        <v>93.571428571428868</v>
      </c>
      <c r="H494" s="90">
        <f t="shared" si="65"/>
        <v>1518.75</v>
      </c>
      <c r="I494" s="91">
        <f t="shared" si="66"/>
        <v>582.04761904761904</v>
      </c>
      <c r="J494" s="634">
        <f t="shared" si="56"/>
        <v>2093.5714285714289</v>
      </c>
      <c r="K494" s="90">
        <f t="shared" si="67"/>
        <v>1518.75</v>
      </c>
      <c r="L494" s="58">
        <f t="shared" si="57"/>
        <v>82.047619047619037</v>
      </c>
      <c r="M494" s="189"/>
      <c r="N494" s="183">
        <f t="shared" si="58"/>
        <v>50</v>
      </c>
      <c r="O494" s="146">
        <v>99</v>
      </c>
      <c r="P494" s="146">
        <f t="shared" si="59"/>
        <v>0</v>
      </c>
      <c r="Q494" s="112">
        <v>2980</v>
      </c>
    </row>
    <row r="495" spans="1:17">
      <c r="B495" s="185"/>
      <c r="C495" s="174">
        <f>IF(初期登録!$B$10*12+初期登録!$D$10&lt;$A483,"",11)</f>
        <v>11</v>
      </c>
      <c r="D495" s="641">
        <v>28.571428571428573</v>
      </c>
      <c r="E495" s="88">
        <v>12.5</v>
      </c>
      <c r="F495" s="642">
        <v>42.857142857142854</v>
      </c>
      <c r="G495" s="89">
        <f t="shared" si="64"/>
        <v>72.142857142857437</v>
      </c>
      <c r="H495" s="90">
        <f t="shared" si="65"/>
        <v>1481.25</v>
      </c>
      <c r="I495" s="91">
        <f t="shared" si="66"/>
        <v>574.90476190476193</v>
      </c>
      <c r="J495" s="634">
        <f t="shared" si="56"/>
        <v>2072.1428571428573</v>
      </c>
      <c r="K495" s="90">
        <f t="shared" si="67"/>
        <v>1481.25</v>
      </c>
      <c r="L495" s="58">
        <f t="shared" si="57"/>
        <v>74.904761904761926</v>
      </c>
      <c r="M495" s="189"/>
      <c r="N495" s="183">
        <f t="shared" si="58"/>
        <v>50</v>
      </c>
      <c r="O495" s="146">
        <v>99</v>
      </c>
      <c r="P495" s="146">
        <f t="shared" si="59"/>
        <v>0</v>
      </c>
      <c r="Q495" s="112">
        <v>2980</v>
      </c>
    </row>
    <row r="496" spans="1:17">
      <c r="B496" s="186"/>
      <c r="C496" s="175">
        <f>IF(初期登録!$B$10*12+初期登録!$D$10&lt;$A484,"",12)</f>
        <v>12</v>
      </c>
      <c r="D496" s="643">
        <v>14.285714285714286</v>
      </c>
      <c r="E496" s="92">
        <v>12.5</v>
      </c>
      <c r="F496" s="93">
        <v>71.428571428571431</v>
      </c>
      <c r="G496" s="94">
        <f t="shared" si="64"/>
        <v>36.428571428571722</v>
      </c>
      <c r="H496" s="95">
        <f t="shared" si="65"/>
        <v>1443.75</v>
      </c>
      <c r="I496" s="96">
        <f t="shared" si="66"/>
        <v>596.33333333333337</v>
      </c>
      <c r="J496" s="635">
        <f t="shared" si="56"/>
        <v>2036.4285714285718</v>
      </c>
      <c r="K496" s="95">
        <f t="shared" si="67"/>
        <v>1443.75</v>
      </c>
      <c r="L496" s="636">
        <f t="shared" si="57"/>
        <v>96.333333333333371</v>
      </c>
      <c r="M496" s="190"/>
      <c r="N496" s="183">
        <f t="shared" si="58"/>
        <v>50</v>
      </c>
      <c r="O496" s="146">
        <v>99</v>
      </c>
      <c r="P496" s="146">
        <f t="shared" si="59"/>
        <v>0</v>
      </c>
      <c r="Q496" s="147">
        <v>2980</v>
      </c>
    </row>
    <row r="497" spans="2:17">
      <c r="B497" s="1118">
        <v>2</v>
      </c>
      <c r="C497" s="1119">
        <f>IF(初期登録!$B$10*12+初期登録!$D$10&lt;$A473,"",1)</f>
        <v>1</v>
      </c>
      <c r="D497" s="1111">
        <v>28.571428571428573</v>
      </c>
      <c r="E497" s="1112">
        <v>12.5</v>
      </c>
      <c r="F497" s="1113">
        <v>28.571428571428573</v>
      </c>
      <c r="G497" s="1114">
        <f t="shared" ref="G497:G521" si="68">D497-50+G496</f>
        <v>15.000000000000295</v>
      </c>
      <c r="H497" s="1115">
        <f t="shared" ref="H497:H521" si="69">E497-50+H496</f>
        <v>1406.25</v>
      </c>
      <c r="I497" s="1116">
        <f t="shared" ref="I497:I521" si="70">F497-50+I496</f>
        <v>574.90476190476193</v>
      </c>
      <c r="J497" s="1117">
        <f t="shared" si="56"/>
        <v>2015.0000000000002</v>
      </c>
      <c r="K497" s="1115">
        <f t="shared" ref="K497:K521" si="71">IF(E497="",NA,H497)</f>
        <v>1406.25</v>
      </c>
      <c r="L497" s="631">
        <f t="shared" si="57"/>
        <v>74.904761904761926</v>
      </c>
      <c r="M497" s="188">
        <v>2020</v>
      </c>
      <c r="N497" s="183">
        <f>IF(C484="",NA(),50)</f>
        <v>50</v>
      </c>
      <c r="O497" s="146">
        <v>99</v>
      </c>
      <c r="P497" s="146">
        <f>IF(C484="",NA(),0)</f>
        <v>0</v>
      </c>
      <c r="Q497" s="159">
        <v>2980</v>
      </c>
    </row>
    <row r="498" spans="2:17">
      <c r="B498" s="185"/>
      <c r="C498" s="174">
        <f>IF(初期登録!$B$10*12+初期登録!$D$10&lt;$A474,"",2)</f>
        <v>2</v>
      </c>
      <c r="D498" s="641">
        <v>14.285714285714286</v>
      </c>
      <c r="E498" s="88">
        <v>37.5</v>
      </c>
      <c r="F498" s="642">
        <v>28.571428571428573</v>
      </c>
      <c r="G498" s="89">
        <f t="shared" si="68"/>
        <v>-20.71428571428542</v>
      </c>
      <c r="H498" s="90">
        <f t="shared" si="69"/>
        <v>1393.75</v>
      </c>
      <c r="I498" s="91">
        <f t="shared" si="70"/>
        <v>553.47619047619048</v>
      </c>
      <c r="J498" s="634">
        <f t="shared" si="56"/>
        <v>1979.2857142857147</v>
      </c>
      <c r="K498" s="90">
        <f t="shared" si="71"/>
        <v>1393.75</v>
      </c>
      <c r="L498" s="58">
        <f t="shared" si="57"/>
        <v>53.476190476190482</v>
      </c>
      <c r="M498" s="189"/>
      <c r="N498" s="183">
        <f t="shared" ref="N498:N508" si="72">IF(C497="",NA(),50)</f>
        <v>50</v>
      </c>
      <c r="O498" s="146">
        <v>99</v>
      </c>
      <c r="P498" s="146">
        <f t="shared" ref="P498:P508" si="73">IF(C497="",NA(),0)</f>
        <v>0</v>
      </c>
      <c r="Q498" s="112">
        <v>2980</v>
      </c>
    </row>
    <row r="499" spans="2:17">
      <c r="B499" s="185"/>
      <c r="C499" s="174">
        <f>IF(初期登録!$B$10*12+初期登録!$D$10&lt;$A475,"",3)</f>
        <v>3</v>
      </c>
      <c r="D499" s="641">
        <v>28.571428571428573</v>
      </c>
      <c r="E499" s="88">
        <v>37.5</v>
      </c>
      <c r="F499" s="642">
        <v>57.142857142857146</v>
      </c>
      <c r="G499" s="89">
        <f t="shared" si="68"/>
        <v>-42.142857142856847</v>
      </c>
      <c r="H499" s="90">
        <f t="shared" si="69"/>
        <v>1381.25</v>
      </c>
      <c r="I499" s="91">
        <f t="shared" si="70"/>
        <v>560.61904761904759</v>
      </c>
      <c r="J499" s="634">
        <f t="shared" si="56"/>
        <v>1957.8571428571431</v>
      </c>
      <c r="K499" s="90">
        <f t="shared" si="71"/>
        <v>1381.25</v>
      </c>
      <c r="L499" s="58">
        <f t="shared" si="57"/>
        <v>60.619047619047592</v>
      </c>
      <c r="M499" s="189"/>
      <c r="N499" s="183">
        <f t="shared" si="72"/>
        <v>50</v>
      </c>
      <c r="O499" s="146">
        <v>99</v>
      </c>
      <c r="P499" s="146">
        <f t="shared" si="73"/>
        <v>0</v>
      </c>
      <c r="Q499" s="112">
        <v>2980</v>
      </c>
    </row>
    <row r="500" spans="2:17">
      <c r="B500" s="185"/>
      <c r="C500" s="174">
        <f>IF(初期登録!$B$10*12+初期登録!$D$10&lt;$A476,"",4)</f>
        <v>4</v>
      </c>
      <c r="D500" s="641">
        <v>14.285714285714286</v>
      </c>
      <c r="E500" s="88">
        <v>50</v>
      </c>
      <c r="F500" s="642">
        <v>28.571428571428573</v>
      </c>
      <c r="G500" s="89">
        <f t="shared" si="68"/>
        <v>-77.857142857142563</v>
      </c>
      <c r="H500" s="90">
        <f t="shared" si="69"/>
        <v>1381.25</v>
      </c>
      <c r="I500" s="91">
        <f t="shared" si="70"/>
        <v>539.19047619047615</v>
      </c>
      <c r="J500" s="634">
        <f t="shared" si="56"/>
        <v>1922.1428571428573</v>
      </c>
      <c r="K500" s="90">
        <f t="shared" si="71"/>
        <v>1381.25</v>
      </c>
      <c r="L500" s="58">
        <f t="shared" si="57"/>
        <v>39.190476190476147</v>
      </c>
      <c r="M500" s="189"/>
      <c r="N500" s="183">
        <f t="shared" si="72"/>
        <v>50</v>
      </c>
      <c r="O500" s="146">
        <v>99</v>
      </c>
      <c r="P500" s="146">
        <f t="shared" si="73"/>
        <v>0</v>
      </c>
      <c r="Q500" s="112">
        <v>2980</v>
      </c>
    </row>
    <row r="501" spans="2:17">
      <c r="B501" s="185"/>
      <c r="C501" s="174">
        <f>IF(初期登録!$B$10*12+初期登録!$D$10&lt;$A477,"",5)</f>
        <v>5</v>
      </c>
      <c r="D501" s="641">
        <v>14.285714285714286</v>
      </c>
      <c r="E501" s="88">
        <v>0</v>
      </c>
      <c r="F501" s="642">
        <v>28.571428571428573</v>
      </c>
      <c r="G501" s="89">
        <f t="shared" si="68"/>
        <v>-113.57142857142827</v>
      </c>
      <c r="H501" s="90">
        <f t="shared" si="69"/>
        <v>1331.25</v>
      </c>
      <c r="I501" s="91">
        <f t="shared" si="70"/>
        <v>517.7619047619047</v>
      </c>
      <c r="J501" s="634">
        <f t="shared" si="56"/>
        <v>1886.4285714285718</v>
      </c>
      <c r="K501" s="90">
        <f t="shared" si="71"/>
        <v>1331.25</v>
      </c>
      <c r="L501" s="58">
        <f t="shared" si="57"/>
        <v>17.761904761904702</v>
      </c>
      <c r="M501" s="189"/>
      <c r="N501" s="183">
        <f t="shared" si="72"/>
        <v>50</v>
      </c>
      <c r="O501" s="146">
        <v>99</v>
      </c>
      <c r="P501" s="146">
        <f t="shared" si="73"/>
        <v>0</v>
      </c>
      <c r="Q501" s="112">
        <v>2980</v>
      </c>
    </row>
    <row r="502" spans="2:17">
      <c r="B502" s="185"/>
      <c r="C502" s="174">
        <f>IF(初期登録!$B$10*12+初期登録!$D$10&lt;$A478,"",6)</f>
        <v>6</v>
      </c>
      <c r="D502" s="641">
        <v>14.285714285714286</v>
      </c>
      <c r="E502" s="88">
        <v>0</v>
      </c>
      <c r="F502" s="642">
        <v>42.857142857142854</v>
      </c>
      <c r="G502" s="89">
        <f t="shared" si="68"/>
        <v>-149.28571428571399</v>
      </c>
      <c r="H502" s="90">
        <f t="shared" si="69"/>
        <v>1281.25</v>
      </c>
      <c r="I502" s="91">
        <f t="shared" si="70"/>
        <v>510.61904761904754</v>
      </c>
      <c r="J502" s="634">
        <f t="shared" si="56"/>
        <v>1850.714285714286</v>
      </c>
      <c r="K502" s="90">
        <f t="shared" si="71"/>
        <v>1281.25</v>
      </c>
      <c r="L502" s="58">
        <f t="shared" si="57"/>
        <v>10.619047619047535</v>
      </c>
      <c r="M502" s="189"/>
      <c r="N502" s="183">
        <f t="shared" si="72"/>
        <v>50</v>
      </c>
      <c r="O502" s="146"/>
      <c r="P502" s="146">
        <f t="shared" si="73"/>
        <v>0</v>
      </c>
      <c r="Q502" s="112"/>
    </row>
    <row r="503" spans="2:17">
      <c r="B503" s="185"/>
      <c r="C503" s="174">
        <f>IF(初期登録!$B$10*12+初期登録!$D$10&lt;$A479,"",7)</f>
        <v>7</v>
      </c>
      <c r="D503" s="641">
        <v>14.285714285714286</v>
      </c>
      <c r="E503" s="88">
        <v>12.5</v>
      </c>
      <c r="F503" s="642">
        <v>42.857142857142854</v>
      </c>
      <c r="G503" s="89">
        <f t="shared" si="68"/>
        <v>-184.99999999999972</v>
      </c>
      <c r="H503" s="90">
        <f t="shared" si="69"/>
        <v>1243.75</v>
      </c>
      <c r="I503" s="91">
        <f t="shared" si="70"/>
        <v>503.47619047619037</v>
      </c>
      <c r="J503" s="634">
        <f t="shared" si="56"/>
        <v>1815.0000000000002</v>
      </c>
      <c r="K503" s="90">
        <f t="shared" si="71"/>
        <v>1243.75</v>
      </c>
      <c r="L503" s="58">
        <f t="shared" si="57"/>
        <v>3.4761904761903679</v>
      </c>
      <c r="M503" s="189"/>
      <c r="N503" s="183">
        <f t="shared" si="72"/>
        <v>50</v>
      </c>
      <c r="O503" s="146"/>
      <c r="P503" s="146">
        <f t="shared" si="73"/>
        <v>0</v>
      </c>
      <c r="Q503" s="112"/>
    </row>
    <row r="504" spans="2:17">
      <c r="B504" s="185"/>
      <c r="C504" s="174">
        <f>IF(初期登録!$B$10*12+初期登録!$D$10&lt;$A480,"",8)</f>
        <v>8</v>
      </c>
      <c r="D504" s="641">
        <v>42.857142857142854</v>
      </c>
      <c r="E504" s="88">
        <v>0</v>
      </c>
      <c r="F504" s="642">
        <v>42.857142857142854</v>
      </c>
      <c r="G504" s="89">
        <f t="shared" si="68"/>
        <v>-192.14285714285685</v>
      </c>
      <c r="H504" s="90">
        <f t="shared" si="69"/>
        <v>1193.75</v>
      </c>
      <c r="I504" s="91">
        <f t="shared" si="70"/>
        <v>496.3333333333332</v>
      </c>
      <c r="J504" s="634">
        <f t="shared" si="56"/>
        <v>1807.8571428571431</v>
      </c>
      <c r="K504" s="90">
        <f t="shared" si="71"/>
        <v>1193.75</v>
      </c>
      <c r="L504" s="58">
        <f t="shared" si="57"/>
        <v>-3.6666666666667993</v>
      </c>
      <c r="M504" s="189"/>
      <c r="N504" s="183">
        <f t="shared" si="72"/>
        <v>50</v>
      </c>
      <c r="O504" s="146"/>
      <c r="P504" s="146">
        <f t="shared" si="73"/>
        <v>0</v>
      </c>
      <c r="Q504" s="112"/>
    </row>
    <row r="505" spans="2:17">
      <c r="B505" s="185"/>
      <c r="C505" s="174">
        <f>IF(初期登録!$B$10*12+初期登録!$D$10&lt;$A481,"",9)</f>
        <v>9</v>
      </c>
      <c r="D505" s="641">
        <v>71.428571428571431</v>
      </c>
      <c r="E505" s="88">
        <v>0</v>
      </c>
      <c r="F505" s="642">
        <v>42.857142857142854</v>
      </c>
      <c r="G505" s="89">
        <f t="shared" si="68"/>
        <v>-170.71428571428544</v>
      </c>
      <c r="H505" s="90">
        <f t="shared" si="69"/>
        <v>1143.75</v>
      </c>
      <c r="I505" s="91">
        <f t="shared" si="70"/>
        <v>489.19047619047603</v>
      </c>
      <c r="J505" s="634">
        <f t="shared" si="56"/>
        <v>1829.2857142857147</v>
      </c>
      <c r="K505" s="90">
        <f t="shared" si="71"/>
        <v>1143.75</v>
      </c>
      <c r="L505" s="58">
        <f t="shared" si="57"/>
        <v>-10.809523809523967</v>
      </c>
      <c r="M505" s="189"/>
      <c r="N505" s="183">
        <f t="shared" si="72"/>
        <v>50</v>
      </c>
      <c r="O505" s="146"/>
      <c r="P505" s="146">
        <f t="shared" si="73"/>
        <v>0</v>
      </c>
      <c r="Q505" s="112"/>
    </row>
    <row r="506" spans="2:17">
      <c r="B506" s="185"/>
      <c r="C506" s="174">
        <f>IF(初期登録!$B$10*12+初期登録!$D$10&lt;$A482,"",10)</f>
        <v>10</v>
      </c>
      <c r="D506" s="641">
        <v>71.428571428571431</v>
      </c>
      <c r="E506" s="88">
        <v>75</v>
      </c>
      <c r="F506" s="642">
        <v>57.142857142857146</v>
      </c>
      <c r="G506" s="89">
        <f t="shared" si="68"/>
        <v>-149.28571428571399</v>
      </c>
      <c r="H506" s="90">
        <f t="shared" si="69"/>
        <v>1168.75</v>
      </c>
      <c r="I506" s="91">
        <f t="shared" si="70"/>
        <v>496.3333333333332</v>
      </c>
      <c r="J506" s="634">
        <f t="shared" si="56"/>
        <v>1850.714285714286</v>
      </c>
      <c r="K506" s="90">
        <f t="shared" si="71"/>
        <v>1168.75</v>
      </c>
      <c r="L506" s="58">
        <f t="shared" si="57"/>
        <v>-3.6666666666667993</v>
      </c>
      <c r="M506" s="189"/>
      <c r="N506" s="183">
        <f t="shared" si="72"/>
        <v>50</v>
      </c>
      <c r="O506" s="146"/>
      <c r="P506" s="146">
        <f t="shared" si="73"/>
        <v>0</v>
      </c>
      <c r="Q506" s="112"/>
    </row>
    <row r="507" spans="2:17">
      <c r="B507" s="185"/>
      <c r="C507" s="174">
        <f>IF(初期登録!$B$10*12+初期登録!$D$10&lt;$A483,"",11)</f>
        <v>11</v>
      </c>
      <c r="D507" s="641">
        <v>85.714285714285708</v>
      </c>
      <c r="E507" s="88">
        <v>100</v>
      </c>
      <c r="F507" s="642">
        <v>57.142857142857146</v>
      </c>
      <c r="G507" s="89">
        <f t="shared" si="68"/>
        <v>-113.57142857142829</v>
      </c>
      <c r="H507" s="90">
        <f t="shared" si="69"/>
        <v>1218.75</v>
      </c>
      <c r="I507" s="91">
        <f t="shared" si="70"/>
        <v>503.47619047619037</v>
      </c>
      <c r="J507" s="634">
        <f t="shared" si="56"/>
        <v>1886.4285714285718</v>
      </c>
      <c r="K507" s="90">
        <f t="shared" si="71"/>
        <v>1218.75</v>
      </c>
      <c r="L507" s="58">
        <f t="shared" si="57"/>
        <v>3.4761904761903679</v>
      </c>
      <c r="M507" s="189"/>
      <c r="N507" s="183">
        <f t="shared" si="72"/>
        <v>50</v>
      </c>
      <c r="O507" s="146"/>
      <c r="P507" s="146">
        <f t="shared" si="73"/>
        <v>0</v>
      </c>
      <c r="Q507" s="112"/>
    </row>
    <row r="508" spans="2:17" ht="12.75" customHeight="1">
      <c r="B508" s="186"/>
      <c r="C508" s="175">
        <f>IF(初期登録!$B$10*12+初期登録!$D$10&lt;$A484,"",12)</f>
        <v>12</v>
      </c>
      <c r="D508" s="643">
        <v>71.428571428571431</v>
      </c>
      <c r="E508" s="92">
        <v>87.5</v>
      </c>
      <c r="F508" s="93">
        <v>14.285714285714286</v>
      </c>
      <c r="G508" s="94">
        <f t="shared" si="68"/>
        <v>-92.142857142856855</v>
      </c>
      <c r="H508" s="95">
        <f t="shared" si="69"/>
        <v>1256.25</v>
      </c>
      <c r="I508" s="96">
        <f t="shared" si="70"/>
        <v>467.76190476190465</v>
      </c>
      <c r="J508" s="635">
        <f t="shared" si="56"/>
        <v>1907.8571428571431</v>
      </c>
      <c r="K508" s="95">
        <f t="shared" si="71"/>
        <v>1256.25</v>
      </c>
      <c r="L508" s="636">
        <f t="shared" si="57"/>
        <v>-32.238095238095354</v>
      </c>
      <c r="M508" s="190"/>
      <c r="N508" s="183">
        <f t="shared" si="72"/>
        <v>50</v>
      </c>
      <c r="O508" s="146"/>
      <c r="P508" s="146">
        <f t="shared" si="73"/>
        <v>0</v>
      </c>
      <c r="Q508" s="147"/>
    </row>
    <row r="509" spans="2:17">
      <c r="B509" s="1118">
        <v>3</v>
      </c>
      <c r="C509" s="1119">
        <f>IF(初期登録!$B$10*12+初期登録!$D$10&lt;$A473,"",1)</f>
        <v>1</v>
      </c>
      <c r="D509" s="1111">
        <v>57.142857142857146</v>
      </c>
      <c r="E509" s="1112">
        <v>87.5</v>
      </c>
      <c r="F509" s="1113">
        <v>42.857142857142854</v>
      </c>
      <c r="G509" s="1114">
        <f t="shared" si="68"/>
        <v>-84.999999999999716</v>
      </c>
      <c r="H509" s="1115">
        <f t="shared" si="69"/>
        <v>1293.75</v>
      </c>
      <c r="I509" s="1116">
        <f t="shared" si="70"/>
        <v>460.61904761904748</v>
      </c>
      <c r="J509" s="1117">
        <f t="shared" si="56"/>
        <v>1915.0000000000002</v>
      </c>
      <c r="K509" s="1115">
        <f t="shared" si="71"/>
        <v>1293.75</v>
      </c>
      <c r="L509" s="631">
        <f t="shared" si="57"/>
        <v>-39.380952380952522</v>
      </c>
      <c r="M509" s="188">
        <v>2021</v>
      </c>
      <c r="N509" s="183">
        <f>IF(C484="",NA(),50)</f>
        <v>50</v>
      </c>
      <c r="O509" s="146"/>
      <c r="P509" s="146">
        <f>IF(C484="",NA(),0)</f>
        <v>0</v>
      </c>
      <c r="Q509" s="159"/>
    </row>
    <row r="510" spans="2:17">
      <c r="B510" s="185"/>
      <c r="C510" s="174">
        <f>IF(初期登録!$B$10*12+初期登録!$D$10&lt;$A474,"",2)</f>
        <v>2</v>
      </c>
      <c r="D510" s="641">
        <v>28.571428571428573</v>
      </c>
      <c r="E510" s="88">
        <v>87.5</v>
      </c>
      <c r="F510" s="642">
        <v>42.857142857142854</v>
      </c>
      <c r="G510" s="89">
        <f t="shared" si="68"/>
        <v>-106.42857142857115</v>
      </c>
      <c r="H510" s="90">
        <f t="shared" si="69"/>
        <v>1331.25</v>
      </c>
      <c r="I510" s="91">
        <f t="shared" si="70"/>
        <v>453.47619047619031</v>
      </c>
      <c r="J510" s="634">
        <f t="shared" si="56"/>
        <v>1893.5714285714289</v>
      </c>
      <c r="K510" s="90">
        <f t="shared" si="71"/>
        <v>1331.25</v>
      </c>
      <c r="L510" s="58">
        <f t="shared" si="57"/>
        <v>-46.523809523809689</v>
      </c>
      <c r="M510" s="189"/>
      <c r="N510" s="183">
        <f t="shared" ref="N510:N520" si="74">IF(C509="",NA(),50)</f>
        <v>50</v>
      </c>
      <c r="O510" s="146"/>
      <c r="P510" s="146">
        <f t="shared" ref="P510:P520" si="75">IF(C509="",NA(),0)</f>
        <v>0</v>
      </c>
      <c r="Q510" s="112"/>
    </row>
    <row r="511" spans="2:17">
      <c r="B511" s="185"/>
      <c r="C511" s="174">
        <f>IF(初期登録!$B$10*12+初期登録!$D$10&lt;$A475,"",3)</f>
        <v>3</v>
      </c>
      <c r="D511" s="641">
        <v>42.857142857142854</v>
      </c>
      <c r="E511" s="88">
        <v>75</v>
      </c>
      <c r="F511" s="642">
        <v>57.142857142857146</v>
      </c>
      <c r="G511" s="89">
        <f t="shared" si="68"/>
        <v>-113.5714285714283</v>
      </c>
      <c r="H511" s="90">
        <f t="shared" si="69"/>
        <v>1356.25</v>
      </c>
      <c r="I511" s="91">
        <f t="shared" si="70"/>
        <v>460.61904761904748</v>
      </c>
      <c r="J511" s="634">
        <f t="shared" si="56"/>
        <v>1886.4285714285718</v>
      </c>
      <c r="K511" s="90">
        <f t="shared" si="71"/>
        <v>1356.25</v>
      </c>
      <c r="L511" s="58">
        <f t="shared" si="57"/>
        <v>-39.380952380952522</v>
      </c>
      <c r="M511" s="189"/>
      <c r="N511" s="183">
        <f t="shared" si="74"/>
        <v>50</v>
      </c>
      <c r="O511" s="146"/>
      <c r="P511" s="146">
        <f t="shared" si="75"/>
        <v>0</v>
      </c>
      <c r="Q511" s="112"/>
    </row>
    <row r="512" spans="2:17">
      <c r="B512" s="185"/>
      <c r="C512" s="174">
        <f>IF(初期登録!$B$10*12+初期登録!$D$10&lt;$A476,"",4)</f>
        <v>4</v>
      </c>
      <c r="D512" s="641">
        <v>71.428571428571431</v>
      </c>
      <c r="E512" s="88">
        <v>87.5</v>
      </c>
      <c r="F512" s="642">
        <v>85.714285714285708</v>
      </c>
      <c r="G512" s="89">
        <f t="shared" si="68"/>
        <v>-92.142857142856869</v>
      </c>
      <c r="H512" s="90">
        <f t="shared" si="69"/>
        <v>1393.75</v>
      </c>
      <c r="I512" s="91">
        <f t="shared" si="70"/>
        <v>496.3333333333332</v>
      </c>
      <c r="J512" s="634">
        <f t="shared" si="56"/>
        <v>1907.8571428571431</v>
      </c>
      <c r="K512" s="90">
        <f t="shared" si="71"/>
        <v>1393.75</v>
      </c>
      <c r="L512" s="58">
        <f t="shared" si="57"/>
        <v>-3.6666666666667993</v>
      </c>
      <c r="M512" s="189"/>
      <c r="N512" s="183">
        <f t="shared" si="74"/>
        <v>50</v>
      </c>
      <c r="O512" s="146"/>
      <c r="P512" s="146">
        <f t="shared" si="75"/>
        <v>0</v>
      </c>
      <c r="Q512" s="112"/>
    </row>
    <row r="513" spans="2:17">
      <c r="B513" s="185"/>
      <c r="C513" s="174">
        <f>IF(初期登録!$B$10*12+初期登録!$D$10&lt;$A477,"",5)</f>
        <v>5</v>
      </c>
      <c r="D513" s="641">
        <v>57.142857142857146</v>
      </c>
      <c r="E513" s="88">
        <v>100</v>
      </c>
      <c r="F513" s="642">
        <v>85.714285714285708</v>
      </c>
      <c r="G513" s="89">
        <f t="shared" si="68"/>
        <v>-84.999999999999716</v>
      </c>
      <c r="H513" s="90">
        <f t="shared" si="69"/>
        <v>1443.75</v>
      </c>
      <c r="I513" s="91">
        <f t="shared" si="70"/>
        <v>532.04761904761892</v>
      </c>
      <c r="J513" s="634">
        <f t="shared" si="56"/>
        <v>1915.0000000000002</v>
      </c>
      <c r="K513" s="90">
        <f t="shared" si="71"/>
        <v>1443.75</v>
      </c>
      <c r="L513" s="58">
        <f t="shared" si="57"/>
        <v>32.047619047618923</v>
      </c>
      <c r="M513" s="189"/>
      <c r="N513" s="183">
        <f t="shared" si="74"/>
        <v>50</v>
      </c>
      <c r="O513" s="146"/>
      <c r="P513" s="146">
        <f t="shared" si="75"/>
        <v>0</v>
      </c>
      <c r="Q513" s="112"/>
    </row>
    <row r="514" spans="2:17">
      <c r="B514" s="185"/>
      <c r="C514" s="174">
        <f>IF(初期登録!$B$10*12+初期登録!$D$10&lt;$A478,"",6)</f>
        <v>6</v>
      </c>
      <c r="D514" s="641">
        <v>42.857142857142854</v>
      </c>
      <c r="E514" s="88">
        <v>87.5</v>
      </c>
      <c r="F514" s="642">
        <v>71.428571428571431</v>
      </c>
      <c r="G514" s="89">
        <f t="shared" si="68"/>
        <v>-92.142857142856855</v>
      </c>
      <c r="H514" s="90">
        <f t="shared" si="69"/>
        <v>1481.25</v>
      </c>
      <c r="I514" s="91">
        <f t="shared" si="70"/>
        <v>553.47619047619037</v>
      </c>
      <c r="J514" s="634">
        <f t="shared" si="56"/>
        <v>1907.8571428571431</v>
      </c>
      <c r="K514" s="90">
        <f t="shared" si="71"/>
        <v>1481.25</v>
      </c>
      <c r="L514" s="58">
        <f t="shared" si="57"/>
        <v>53.476190476190368</v>
      </c>
      <c r="M514" s="189"/>
      <c r="N514" s="183">
        <f t="shared" si="74"/>
        <v>50</v>
      </c>
      <c r="O514" s="146"/>
      <c r="P514" s="146">
        <f t="shared" si="75"/>
        <v>0</v>
      </c>
      <c r="Q514" s="112"/>
    </row>
    <row r="515" spans="2:17">
      <c r="B515" s="185"/>
      <c r="C515" s="174">
        <f>IF(初期登録!$B$10*12+初期登録!$D$10&lt;$A479,"",7)</f>
        <v>7</v>
      </c>
      <c r="D515" s="641">
        <v>64.285714285714292</v>
      </c>
      <c r="E515" s="88">
        <v>87.5</v>
      </c>
      <c r="F515" s="642">
        <v>71.428571428571431</v>
      </c>
      <c r="G515" s="89">
        <f t="shared" si="68"/>
        <v>-77.857142857142563</v>
      </c>
      <c r="H515" s="90">
        <f t="shared" si="69"/>
        <v>1518.75</v>
      </c>
      <c r="I515" s="91">
        <f t="shared" si="70"/>
        <v>574.90476190476181</v>
      </c>
      <c r="J515" s="634">
        <f t="shared" si="56"/>
        <v>1922.1428571428573</v>
      </c>
      <c r="K515" s="90">
        <f t="shared" si="71"/>
        <v>1518.75</v>
      </c>
      <c r="L515" s="58">
        <f t="shared" si="57"/>
        <v>74.904761904761813</v>
      </c>
      <c r="M515" s="189"/>
      <c r="N515" s="183">
        <f t="shared" si="74"/>
        <v>50</v>
      </c>
      <c r="O515" s="146"/>
      <c r="P515" s="146">
        <f t="shared" si="75"/>
        <v>0</v>
      </c>
      <c r="Q515" s="112"/>
    </row>
    <row r="516" spans="2:17">
      <c r="B516" s="185"/>
      <c r="C516" s="174">
        <f>IF(初期登録!$B$10*12+初期登録!$D$10&lt;$A480,"",8)</f>
        <v>8</v>
      </c>
      <c r="D516" s="641">
        <v>71.428571428571431</v>
      </c>
      <c r="E516" s="88">
        <v>100</v>
      </c>
      <c r="F516" s="642">
        <v>28.571428571428573</v>
      </c>
      <c r="G516" s="89">
        <f t="shared" si="68"/>
        <v>-56.428571428571132</v>
      </c>
      <c r="H516" s="90">
        <f t="shared" si="69"/>
        <v>1568.75</v>
      </c>
      <c r="I516" s="91">
        <f t="shared" si="70"/>
        <v>553.47619047619037</v>
      </c>
      <c r="J516" s="634">
        <f t="shared" si="56"/>
        <v>1943.5714285714289</v>
      </c>
      <c r="K516" s="90">
        <f t="shared" si="71"/>
        <v>1568.75</v>
      </c>
      <c r="L516" s="58">
        <f t="shared" si="57"/>
        <v>53.476190476190368</v>
      </c>
      <c r="M516" s="189"/>
      <c r="N516" s="183">
        <f t="shared" si="74"/>
        <v>50</v>
      </c>
      <c r="O516" s="146"/>
      <c r="P516" s="146">
        <f t="shared" si="75"/>
        <v>0</v>
      </c>
      <c r="Q516" s="112"/>
    </row>
    <row r="517" spans="2:17">
      <c r="B517" s="185"/>
      <c r="C517" s="174">
        <f>IF(初期登録!$B$10*12+初期登録!$D$10&lt;$A481,"",9)</f>
        <v>9</v>
      </c>
      <c r="D517" s="641">
        <v>42.857142857142854</v>
      </c>
      <c r="E517" s="88">
        <v>75</v>
      </c>
      <c r="F517" s="642">
        <v>28.571428571428573</v>
      </c>
      <c r="G517" s="89">
        <f t="shared" si="68"/>
        <v>-63.571428571428278</v>
      </c>
      <c r="H517" s="90">
        <f t="shared" si="69"/>
        <v>1593.75</v>
      </c>
      <c r="I517" s="91">
        <f t="shared" si="70"/>
        <v>532.04761904761892</v>
      </c>
      <c r="J517" s="634">
        <f t="shared" si="56"/>
        <v>1936.4285714285718</v>
      </c>
      <c r="K517" s="90">
        <f t="shared" si="71"/>
        <v>1593.75</v>
      </c>
      <c r="L517" s="58">
        <f t="shared" si="57"/>
        <v>32.047619047618923</v>
      </c>
      <c r="M517" s="189"/>
      <c r="N517" s="183">
        <f t="shared" si="74"/>
        <v>50</v>
      </c>
      <c r="O517" s="146"/>
      <c r="P517" s="146">
        <f t="shared" si="75"/>
        <v>0</v>
      </c>
      <c r="Q517" s="112"/>
    </row>
    <row r="518" spans="2:17">
      <c r="B518" s="185"/>
      <c r="C518" s="174">
        <f>IF(初期登録!$B$10*12+初期登録!$D$10&lt;$A482,"",10)</f>
        <v>10</v>
      </c>
      <c r="D518" s="641">
        <v>35.714285714285715</v>
      </c>
      <c r="E518" s="88">
        <v>75</v>
      </c>
      <c r="F518" s="642">
        <v>57.142857142857146</v>
      </c>
      <c r="G518" s="89">
        <f t="shared" si="68"/>
        <v>-77.857142857142563</v>
      </c>
      <c r="H518" s="90">
        <f t="shared" si="69"/>
        <v>1618.75</v>
      </c>
      <c r="I518" s="91">
        <f t="shared" si="70"/>
        <v>539.19047619047603</v>
      </c>
      <c r="J518" s="634">
        <f t="shared" si="56"/>
        <v>1922.1428571428573</v>
      </c>
      <c r="K518" s="90">
        <f t="shared" si="71"/>
        <v>1618.75</v>
      </c>
      <c r="L518" s="58">
        <f t="shared" si="57"/>
        <v>39.190476190476033</v>
      </c>
      <c r="M518" s="189"/>
      <c r="N518" s="183">
        <f t="shared" si="74"/>
        <v>50</v>
      </c>
      <c r="O518" s="146"/>
      <c r="P518" s="146">
        <f t="shared" si="75"/>
        <v>0</v>
      </c>
      <c r="Q518" s="112"/>
    </row>
    <row r="519" spans="2:17">
      <c r="B519" s="185"/>
      <c r="C519" s="174">
        <f>IF(初期登録!$B$10*12+初期登録!$D$10&lt;$A483,"",11)</f>
        <v>11</v>
      </c>
      <c r="D519" s="641">
        <v>42.857142857142854</v>
      </c>
      <c r="E519" s="88">
        <v>75</v>
      </c>
      <c r="F519" s="642">
        <v>57.142857142857146</v>
      </c>
      <c r="G519" s="89">
        <f t="shared" si="68"/>
        <v>-84.999999999999716</v>
      </c>
      <c r="H519" s="90">
        <f t="shared" si="69"/>
        <v>1643.75</v>
      </c>
      <c r="I519" s="91">
        <f t="shared" si="70"/>
        <v>546.33333333333314</v>
      </c>
      <c r="J519" s="634">
        <f t="shared" si="56"/>
        <v>1915.0000000000002</v>
      </c>
      <c r="K519" s="90">
        <f t="shared" si="71"/>
        <v>1643.75</v>
      </c>
      <c r="L519" s="58">
        <f t="shared" si="57"/>
        <v>46.333333333333144</v>
      </c>
      <c r="M519" s="189"/>
      <c r="N519" s="183">
        <f t="shared" si="74"/>
        <v>50</v>
      </c>
      <c r="O519" s="146"/>
      <c r="P519" s="146">
        <f t="shared" si="75"/>
        <v>0</v>
      </c>
      <c r="Q519" s="112"/>
    </row>
    <row r="520" spans="2:17">
      <c r="B520" s="186"/>
      <c r="C520" s="175">
        <f>IF(初期登録!$B$10*12+初期登録!$D$10&lt;$A484,"",12)</f>
        <v>12</v>
      </c>
      <c r="D520" s="1034">
        <v>42.857142857142854</v>
      </c>
      <c r="E520" s="1035">
        <v>75</v>
      </c>
      <c r="F520" s="1036">
        <v>57.142857142857146</v>
      </c>
      <c r="G520" s="154">
        <f t="shared" si="68"/>
        <v>-92.142857142856855</v>
      </c>
      <c r="H520" s="155">
        <f t="shared" si="69"/>
        <v>1668.75</v>
      </c>
      <c r="I520" s="157">
        <f t="shared" si="70"/>
        <v>553.47619047619025</v>
      </c>
      <c r="J520" s="1037">
        <f t="shared" si="56"/>
        <v>1907.8571428571431</v>
      </c>
      <c r="K520" s="155">
        <f t="shared" si="71"/>
        <v>1668.75</v>
      </c>
      <c r="L520" s="638">
        <f t="shared" si="57"/>
        <v>53.476190476190254</v>
      </c>
      <c r="M520" s="190"/>
      <c r="N520" s="183">
        <f t="shared" si="74"/>
        <v>50</v>
      </c>
      <c r="O520" s="146"/>
      <c r="P520" s="146">
        <f t="shared" si="75"/>
        <v>0</v>
      </c>
      <c r="Q520" s="147"/>
    </row>
    <row r="521" spans="2:17">
      <c r="B521" s="184">
        <v>4</v>
      </c>
      <c r="C521" s="178">
        <f>IF(初期登録!$B$10*12+初期登録!$D$10&lt;$A485,"",1)</f>
        <v>1</v>
      </c>
      <c r="D521" s="1038">
        <v>35.714285714285715</v>
      </c>
      <c r="E521" s="1039">
        <v>62.5</v>
      </c>
      <c r="F521" s="1040">
        <v>57.142857142857146</v>
      </c>
      <c r="G521" s="1041">
        <f t="shared" si="68"/>
        <v>-106.42857142857113</v>
      </c>
      <c r="H521" s="1042">
        <f t="shared" si="69"/>
        <v>1681.25</v>
      </c>
      <c r="I521" s="1043">
        <f t="shared" si="70"/>
        <v>560.61904761904736</v>
      </c>
      <c r="J521" s="632">
        <f t="shared" si="56"/>
        <v>1893.5714285714289</v>
      </c>
      <c r="K521" s="1042">
        <f t="shared" si="71"/>
        <v>1681.25</v>
      </c>
      <c r="L521" s="633">
        <f t="shared" si="57"/>
        <v>60.619047619047365</v>
      </c>
      <c r="M521" s="188">
        <v>2022</v>
      </c>
      <c r="N521" s="133">
        <f>IF(C496="",NA(),50)</f>
        <v>50</v>
      </c>
      <c r="O521" s="134"/>
      <c r="P521" s="134">
        <f>IF(C496="",NA(),0)</f>
        <v>0</v>
      </c>
      <c r="Q521" s="159"/>
    </row>
    <row r="522" spans="2:17">
      <c r="B522" s="185"/>
      <c r="C522" s="174">
        <f>IF(初期登録!$B$10*12+初期登録!$D$10&lt;$A486,"",2)</f>
        <v>2</v>
      </c>
      <c r="D522" s="641">
        <v>42.857142857142854</v>
      </c>
      <c r="E522" s="88">
        <v>62.5</v>
      </c>
      <c r="F522" s="642">
        <v>57.142857142857146</v>
      </c>
      <c r="G522" s="89">
        <f t="shared" ref="G522:I523" si="76">D522-50+G521</f>
        <v>-113.57142857142827</v>
      </c>
      <c r="H522" s="90">
        <f t="shared" si="76"/>
        <v>1693.75</v>
      </c>
      <c r="I522" s="91">
        <f t="shared" si="76"/>
        <v>567.76190476190447</v>
      </c>
      <c r="J522" s="634">
        <f t="shared" si="56"/>
        <v>1886.4285714285718</v>
      </c>
      <c r="K522" s="90">
        <f>IF(E522="",NA,H522)</f>
        <v>1693.75</v>
      </c>
      <c r="L522" s="58">
        <f t="shared" si="57"/>
        <v>67.761904761904475</v>
      </c>
      <c r="M522" s="189"/>
      <c r="N522" s="183">
        <f t="shared" si="58"/>
        <v>50</v>
      </c>
      <c r="O522" s="146"/>
      <c r="P522" s="146">
        <f t="shared" si="59"/>
        <v>0</v>
      </c>
      <c r="Q522" s="112"/>
    </row>
    <row r="523" spans="2:17">
      <c r="B523" s="185"/>
      <c r="C523" s="174">
        <f>IF(初期登録!$B$10*12+初期登録!$D$10&lt;$A487,"",3)</f>
        <v>3</v>
      </c>
      <c r="D523" s="641">
        <v>28.571428571428573</v>
      </c>
      <c r="E523" s="88">
        <v>87.5</v>
      </c>
      <c r="F523" s="642">
        <v>57.142857142857146</v>
      </c>
      <c r="G523" s="89">
        <f t="shared" si="76"/>
        <v>-134.99999999999969</v>
      </c>
      <c r="H523" s="90">
        <f t="shared" si="76"/>
        <v>1731.25</v>
      </c>
      <c r="I523" s="91">
        <f t="shared" si="76"/>
        <v>574.90476190476159</v>
      </c>
      <c r="J523" s="634">
        <f t="shared" si="56"/>
        <v>1865.0000000000002</v>
      </c>
      <c r="K523" s="90">
        <f>IF(E523="",NA,H523)</f>
        <v>1731.25</v>
      </c>
      <c r="L523" s="58">
        <f t="shared" si="57"/>
        <v>74.904761904761585</v>
      </c>
      <c r="M523" s="189"/>
      <c r="N523" s="183">
        <f t="shared" si="58"/>
        <v>50</v>
      </c>
      <c r="O523" s="146"/>
      <c r="P523" s="146">
        <f t="shared" si="59"/>
        <v>0</v>
      </c>
      <c r="Q523" s="112"/>
    </row>
    <row r="524" spans="2:17">
      <c r="B524" s="185"/>
      <c r="C524" s="174">
        <f>IF(初期登録!$B$10*12+初期登録!$D$10&lt;$A488,"",4)</f>
        <v>4</v>
      </c>
      <c r="D524" s="641">
        <v>42.857142857142854</v>
      </c>
      <c r="E524" s="88">
        <v>87.5</v>
      </c>
      <c r="F524" s="642">
        <v>71.428571428571431</v>
      </c>
      <c r="G524" s="89">
        <f t="shared" ref="G524:I525" si="77">D524-50+G523</f>
        <v>-142.14285714285683</v>
      </c>
      <c r="H524" s="90">
        <f t="shared" si="77"/>
        <v>1768.75</v>
      </c>
      <c r="I524" s="91">
        <f t="shared" si="77"/>
        <v>596.33333333333303</v>
      </c>
      <c r="J524" s="634">
        <f t="shared" si="56"/>
        <v>1857.8571428571431</v>
      </c>
      <c r="K524" s="90">
        <f>IF(E524="",NA,H524)</f>
        <v>1768.75</v>
      </c>
      <c r="L524" s="58">
        <f t="shared" si="57"/>
        <v>96.33333333333303</v>
      </c>
      <c r="M524" s="189"/>
      <c r="N524" s="183">
        <f t="shared" si="58"/>
        <v>50</v>
      </c>
      <c r="O524" s="146"/>
      <c r="P524" s="146">
        <f t="shared" si="59"/>
        <v>0</v>
      </c>
      <c r="Q524" s="112"/>
    </row>
    <row r="525" spans="2:17">
      <c r="B525" s="185"/>
      <c r="C525" s="174">
        <f>IF(初期登録!$B$10*12+初期登録!$D$10&lt;$A489,"",5)</f>
        <v>5</v>
      </c>
      <c r="D525" s="641">
        <v>42.857142857142854</v>
      </c>
      <c r="E525" s="88">
        <v>87.5</v>
      </c>
      <c r="F525" s="642">
        <v>85.714285714285708</v>
      </c>
      <c r="G525" s="89">
        <f t="shared" si="77"/>
        <v>-149.28571428571396</v>
      </c>
      <c r="H525" s="90">
        <f t="shared" si="77"/>
        <v>1806.25</v>
      </c>
      <c r="I525" s="91">
        <f t="shared" si="77"/>
        <v>632.0476190476187</v>
      </c>
      <c r="J525" s="634">
        <f t="shared" si="56"/>
        <v>1850.714285714286</v>
      </c>
      <c r="K525" s="90">
        <f>IF(E525="",NA,H525)</f>
        <v>1806.25</v>
      </c>
      <c r="L525" s="58">
        <f t="shared" si="57"/>
        <v>132.0476190476187</v>
      </c>
      <c r="M525" s="189"/>
      <c r="N525" s="183">
        <f t="shared" si="58"/>
        <v>50</v>
      </c>
      <c r="O525" s="146"/>
      <c r="P525" s="146">
        <f t="shared" si="59"/>
        <v>0</v>
      </c>
      <c r="Q525" s="112"/>
    </row>
    <row r="526" spans="2:17">
      <c r="B526" s="185"/>
      <c r="C526" s="174">
        <f>IF(初期登録!$B$10*12+初期登録!$D$10&lt;$A490,"",6)</f>
        <v>6</v>
      </c>
      <c r="D526" s="641">
        <v>64.285714285714292</v>
      </c>
      <c r="E526" s="88">
        <v>62.5</v>
      </c>
      <c r="F526" s="642">
        <v>57.142857142857146</v>
      </c>
      <c r="G526" s="89">
        <f t="shared" ref="G526:I527" si="78">D526-50+G525</f>
        <v>-134.99999999999966</v>
      </c>
      <c r="H526" s="90">
        <f t="shared" si="78"/>
        <v>1818.75</v>
      </c>
      <c r="I526" s="91">
        <f t="shared" si="78"/>
        <v>639.19047619047581</v>
      </c>
      <c r="J526" s="634">
        <f t="shared" si="56"/>
        <v>1865.0000000000005</v>
      </c>
      <c r="K526" s="90">
        <f>IF(E526="",NA,H526)</f>
        <v>1818.75</v>
      </c>
      <c r="L526" s="58">
        <f t="shared" si="57"/>
        <v>139.19047619047581</v>
      </c>
      <c r="M526" s="189"/>
      <c r="N526" s="183">
        <f t="shared" si="58"/>
        <v>50</v>
      </c>
      <c r="O526" s="146"/>
      <c r="P526" s="146">
        <f t="shared" si="59"/>
        <v>0</v>
      </c>
      <c r="Q526" s="112"/>
    </row>
    <row r="527" spans="2:17">
      <c r="B527" s="185"/>
      <c r="C527" s="174">
        <f>IF(初期登録!$B$10*12+初期登録!$D$10&lt;$A491,"",7)</f>
        <v>7</v>
      </c>
      <c r="D527" s="641">
        <v>85.714285714285708</v>
      </c>
      <c r="E527" s="88">
        <v>62.5</v>
      </c>
      <c r="F527" s="642">
        <v>85.714285714285708</v>
      </c>
      <c r="G527" s="89">
        <f t="shared" si="78"/>
        <v>-99.285714285713951</v>
      </c>
      <c r="H527" s="90">
        <f t="shared" si="78"/>
        <v>1831.25</v>
      </c>
      <c r="I527" s="91">
        <f t="shared" si="78"/>
        <v>674.90476190476147</v>
      </c>
      <c r="J527" s="634">
        <f t="shared" si="56"/>
        <v>1900.714285714286</v>
      </c>
      <c r="K527" s="90">
        <f>IF(E527="",NA,H527)</f>
        <v>1831.25</v>
      </c>
      <c r="L527" s="58">
        <f t="shared" si="57"/>
        <v>174.90476190476147</v>
      </c>
      <c r="M527" s="189"/>
      <c r="N527" s="183">
        <f t="shared" si="58"/>
        <v>50</v>
      </c>
      <c r="O527" s="146"/>
      <c r="P527" s="146">
        <f t="shared" si="59"/>
        <v>0</v>
      </c>
      <c r="Q527" s="112"/>
    </row>
    <row r="528" spans="2:17">
      <c r="B528" s="185"/>
      <c r="C528" s="174">
        <f>IF(初期登録!$B$10*12+初期登録!$D$10&lt;$A492,"",8)</f>
        <v>8</v>
      </c>
      <c r="D528" s="641">
        <v>57.142857142857146</v>
      </c>
      <c r="E528" s="88">
        <v>62.5</v>
      </c>
      <c r="F528" s="642">
        <v>85.714285714285708</v>
      </c>
      <c r="G528" s="89">
        <f t="shared" ref="G528:I530" si="79">D528-50+G527</f>
        <v>-92.142857142856798</v>
      </c>
      <c r="H528" s="90">
        <f t="shared" si="79"/>
        <v>1843.75</v>
      </c>
      <c r="I528" s="91">
        <f t="shared" si="79"/>
        <v>710.61904761904714</v>
      </c>
      <c r="J528" s="634">
        <f t="shared" si="56"/>
        <v>1907.8571428571431</v>
      </c>
      <c r="K528" s="90">
        <f>IF(E528="",NA,H528)</f>
        <v>1843.75</v>
      </c>
      <c r="L528" s="58">
        <f t="shared" si="57"/>
        <v>210.61904761904714</v>
      </c>
      <c r="M528" s="189"/>
      <c r="N528" s="183">
        <f t="shared" si="58"/>
        <v>50</v>
      </c>
      <c r="O528" s="146"/>
      <c r="P528" s="146">
        <f t="shared" si="59"/>
        <v>0</v>
      </c>
      <c r="Q528" s="112"/>
    </row>
    <row r="529" spans="2:17">
      <c r="B529" s="185"/>
      <c r="C529" s="174">
        <f>IF(初期登録!$B$10*12+初期登録!$D$10&lt;$A493,"",9)</f>
        <v>9</v>
      </c>
      <c r="D529" s="641">
        <v>42.857142857142854</v>
      </c>
      <c r="E529" s="88">
        <v>62.5</v>
      </c>
      <c r="F529" s="642">
        <v>85.714285714285708</v>
      </c>
      <c r="G529" s="89">
        <f t="shared" si="79"/>
        <v>-99.285714285713937</v>
      </c>
      <c r="H529" s="90">
        <f t="shared" si="79"/>
        <v>1856.25</v>
      </c>
      <c r="I529" s="91">
        <f t="shared" si="79"/>
        <v>746.3333333333328</v>
      </c>
      <c r="J529" s="634">
        <f t="shared" si="56"/>
        <v>1900.714285714286</v>
      </c>
      <c r="K529" s="90">
        <f>IF(E529="",NA,H529)</f>
        <v>1856.25</v>
      </c>
      <c r="L529" s="58">
        <f t="shared" si="57"/>
        <v>246.3333333333328</v>
      </c>
      <c r="M529" s="189"/>
      <c r="N529" s="183">
        <f t="shared" si="58"/>
        <v>50</v>
      </c>
      <c r="O529" s="146"/>
      <c r="P529" s="146">
        <f t="shared" si="59"/>
        <v>0</v>
      </c>
      <c r="Q529" s="112"/>
    </row>
    <row r="530" spans="2:17">
      <c r="B530" s="185"/>
      <c r="C530" s="174">
        <f>IF(初期登録!$B$10*12+初期登録!$D$10&lt;$A494,"",10)</f>
        <v>10</v>
      </c>
      <c r="D530" s="641">
        <v>71.428571428571431</v>
      </c>
      <c r="E530" s="88">
        <v>25</v>
      </c>
      <c r="F530" s="642">
        <v>50</v>
      </c>
      <c r="G530" s="89">
        <f t="shared" si="79"/>
        <v>-77.857142857142506</v>
      </c>
      <c r="H530" s="90">
        <f t="shared" si="79"/>
        <v>1831.25</v>
      </c>
      <c r="I530" s="91">
        <f t="shared" si="79"/>
        <v>746.3333333333328</v>
      </c>
      <c r="J530" s="634">
        <f>IF($D530="",NA,$G530+2000)</f>
        <v>1922.1428571428576</v>
      </c>
      <c r="K530" s="90">
        <f>IF(E530="",NA,H530)</f>
        <v>1831.25</v>
      </c>
      <c r="L530" s="58">
        <f>IF($F530="",NA,$I530-500)</f>
        <v>246.3333333333328</v>
      </c>
      <c r="M530" s="189"/>
      <c r="N530" s="183">
        <f t="shared" si="58"/>
        <v>50</v>
      </c>
      <c r="O530" s="146"/>
      <c r="P530" s="146">
        <f t="shared" si="59"/>
        <v>0</v>
      </c>
      <c r="Q530" s="112"/>
    </row>
    <row r="531" spans="2:17">
      <c r="B531" s="185"/>
      <c r="C531" s="174">
        <f>IF(初期登録!$B$10*12+初期登録!$D$10&lt;$A495,"",11)</f>
        <v>11</v>
      </c>
      <c r="D531" s="641">
        <v>50</v>
      </c>
      <c r="E531" s="88">
        <v>50</v>
      </c>
      <c r="F531" s="642">
        <v>71.428571428571431</v>
      </c>
      <c r="G531" s="89">
        <f t="shared" ref="G531:I533" si="80">D531-50+G530</f>
        <v>-77.857142857142506</v>
      </c>
      <c r="H531" s="90">
        <f t="shared" si="80"/>
        <v>1831.25</v>
      </c>
      <c r="I531" s="91">
        <f t="shared" si="80"/>
        <v>767.76190476190425</v>
      </c>
      <c r="J531" s="634">
        <f>IF($D531="",NA,$G531+2000)</f>
        <v>1922.1428571428576</v>
      </c>
      <c r="K531" s="90">
        <f>IF(E531="",NA,H531)</f>
        <v>1831.25</v>
      </c>
      <c r="L531" s="58">
        <f>IF($F531="",NA,$I531-500)</f>
        <v>267.76190476190425</v>
      </c>
      <c r="M531" s="189"/>
      <c r="N531" s="183">
        <f t="shared" si="58"/>
        <v>50</v>
      </c>
      <c r="O531" s="146"/>
      <c r="P531" s="146">
        <f t="shared" si="59"/>
        <v>0</v>
      </c>
      <c r="Q531" s="112"/>
    </row>
    <row r="532" spans="2:17">
      <c r="B532" s="186"/>
      <c r="C532" s="175">
        <f>IF(初期登録!$B$10*12+初期登録!$D$10&lt;$A496,"",12)</f>
        <v>12</v>
      </c>
      <c r="D532" s="1034">
        <v>50</v>
      </c>
      <c r="E532" s="1035">
        <v>25</v>
      </c>
      <c r="F532" s="1036">
        <v>42.857142857142854</v>
      </c>
      <c r="G532" s="154">
        <f t="shared" si="80"/>
        <v>-77.857142857142506</v>
      </c>
      <c r="H532" s="155">
        <f t="shared" si="80"/>
        <v>1806.25</v>
      </c>
      <c r="I532" s="157">
        <f t="shared" si="80"/>
        <v>760.61904761904714</v>
      </c>
      <c r="J532" s="1037">
        <f>IF($D532="",NA,$G532+2000)</f>
        <v>1922.1428571428576</v>
      </c>
      <c r="K532" s="155">
        <f>IF(E532="",NA,H532)</f>
        <v>1806.25</v>
      </c>
      <c r="L532" s="638">
        <f>IF($F532="",NA,$I532-500)</f>
        <v>260.61904761904714</v>
      </c>
      <c r="M532" s="190"/>
      <c r="N532" s="183">
        <f t="shared" si="58"/>
        <v>50</v>
      </c>
      <c r="O532" s="146"/>
      <c r="P532" s="146">
        <f t="shared" si="59"/>
        <v>0</v>
      </c>
      <c r="Q532" s="147"/>
    </row>
    <row r="533" spans="2:17">
      <c r="B533" s="184">
        <v>5</v>
      </c>
      <c r="C533" s="178">
        <f>IF(初期登録!$B$10*12+初期登録!$D$10&lt;$A497,"",1)</f>
        <v>1</v>
      </c>
      <c r="D533" s="1038">
        <v>42.857142857142854</v>
      </c>
      <c r="E533" s="1039">
        <v>25</v>
      </c>
      <c r="F533" s="1040">
        <v>85.714285714285708</v>
      </c>
      <c r="G533" s="1041">
        <f t="shared" si="80"/>
        <v>-84.999999999999659</v>
      </c>
      <c r="H533" s="1042">
        <f t="shared" si="80"/>
        <v>1781.25</v>
      </c>
      <c r="I533" s="1043">
        <f t="shared" si="80"/>
        <v>796.3333333333328</v>
      </c>
      <c r="J533" s="632">
        <f>IF($D533="",NA,$G533+2000)</f>
        <v>1915.0000000000005</v>
      </c>
      <c r="K533" s="1042">
        <f>IF(E533="",NA,H533)</f>
        <v>1781.25</v>
      </c>
      <c r="L533" s="633">
        <f>IF($F533="",NA,$I533-500)</f>
        <v>296.3333333333328</v>
      </c>
      <c r="M533" s="188">
        <v>2023</v>
      </c>
      <c r="N533" s="133">
        <f>IF(C508="",NA(),50)</f>
        <v>50</v>
      </c>
      <c r="O533" s="134"/>
      <c r="P533" s="134">
        <f>IF(C508="",NA(),0)</f>
        <v>0</v>
      </c>
      <c r="Q533" s="159"/>
    </row>
    <row r="534" spans="2:17">
      <c r="B534" s="185"/>
      <c r="C534" s="174">
        <f>IF(初期登録!$B$10*12+初期登録!$D$10&lt;$A498,"",2)</f>
        <v>2</v>
      </c>
      <c r="D534" s="641">
        <v>57.142857142857146</v>
      </c>
      <c r="E534" s="88">
        <v>25</v>
      </c>
      <c r="F534" s="642">
        <v>57.142857142857146</v>
      </c>
      <c r="G534" s="89">
        <f t="shared" ref="G534:I535" si="81">D534-50+G533</f>
        <v>-77.85714285714252</v>
      </c>
      <c r="H534" s="90">
        <f t="shared" si="81"/>
        <v>1756.25</v>
      </c>
      <c r="I534" s="91">
        <f t="shared" si="81"/>
        <v>803.47619047618991</v>
      </c>
      <c r="J534" s="634">
        <f>IF($D534="",NA,$G534+2000)</f>
        <v>1922.1428571428576</v>
      </c>
      <c r="K534" s="90">
        <f>IF(E534="",NA,H534)</f>
        <v>1756.25</v>
      </c>
      <c r="L534" s="58">
        <f>IF($F534="",NA,$I534-500)</f>
        <v>303.47619047618991</v>
      </c>
      <c r="M534" s="189"/>
      <c r="N534" s="183">
        <f t="shared" ref="N534:N544" si="82">IF(C533="",NA(),50)</f>
        <v>50</v>
      </c>
      <c r="O534" s="146"/>
      <c r="P534" s="146">
        <f t="shared" ref="P534:P544" si="83">IF(C533="",NA(),0)</f>
        <v>0</v>
      </c>
      <c r="Q534" s="112"/>
    </row>
    <row r="535" spans="2:17">
      <c r="B535" s="185"/>
      <c r="C535" s="174">
        <f>IF(初期登録!$B$10*12+初期登録!$D$10&lt;$A499,"",3)</f>
        <v>3</v>
      </c>
      <c r="D535" s="641">
        <v>28.571428571428573</v>
      </c>
      <c r="E535" s="88">
        <v>50</v>
      </c>
      <c r="F535" s="642">
        <v>57.142857142857146</v>
      </c>
      <c r="G535" s="89">
        <f t="shared" si="81"/>
        <v>-99.285714285713951</v>
      </c>
      <c r="H535" s="90">
        <f t="shared" si="81"/>
        <v>1756.25</v>
      </c>
      <c r="I535" s="91">
        <f t="shared" si="81"/>
        <v>810.61904761904702</v>
      </c>
      <c r="J535" s="634">
        <f>IF($D535="",NA,$G535+2000)</f>
        <v>1900.714285714286</v>
      </c>
      <c r="K535" s="90">
        <f>IF(E535="",NA,H535)</f>
        <v>1756.25</v>
      </c>
      <c r="L535" s="58">
        <f>IF($F535="",NA,$I535-500)</f>
        <v>310.61904761904702</v>
      </c>
      <c r="M535" s="189"/>
      <c r="N535" s="183">
        <f t="shared" si="82"/>
        <v>50</v>
      </c>
      <c r="O535" s="146"/>
      <c r="P535" s="146">
        <f t="shared" si="83"/>
        <v>0</v>
      </c>
      <c r="Q535" s="112"/>
    </row>
    <row r="536" spans="2:17">
      <c r="B536" s="185"/>
      <c r="C536" s="174">
        <f>IF(初期登録!$B$10*12+初期登録!$D$10&lt;$A500,"",4)</f>
        <v>4</v>
      </c>
      <c r="D536" s="641">
        <v>57.142857142857146</v>
      </c>
      <c r="E536" s="88">
        <v>37.5</v>
      </c>
      <c r="F536" s="642">
        <v>57.142857142857146</v>
      </c>
      <c r="G536" s="89">
        <f t="shared" ref="G536:I537" si="84">D536-50+G535</f>
        <v>-92.142857142856798</v>
      </c>
      <c r="H536" s="90">
        <f t="shared" si="84"/>
        <v>1743.75</v>
      </c>
      <c r="I536" s="91">
        <f t="shared" si="84"/>
        <v>817.76190476190413</v>
      </c>
      <c r="J536" s="634">
        <f>IF($D536="",NA,$G536+2000)</f>
        <v>1907.8571428571431</v>
      </c>
      <c r="K536" s="90">
        <f>IF(E536="",NA,H536)</f>
        <v>1743.75</v>
      </c>
      <c r="L536" s="58">
        <f>IF($F536="",NA,$I536-500)</f>
        <v>317.76190476190413</v>
      </c>
      <c r="M536" s="189"/>
      <c r="N536" s="183">
        <f t="shared" si="82"/>
        <v>50</v>
      </c>
      <c r="O536" s="146"/>
      <c r="P536" s="146">
        <f t="shared" si="83"/>
        <v>0</v>
      </c>
      <c r="Q536" s="112"/>
    </row>
    <row r="537" spans="2:17">
      <c r="B537" s="185"/>
      <c r="C537" s="174">
        <f>IF(初期登録!$B$10*12+初期登録!$D$10&lt;$A501,"",5)</f>
        <v>5</v>
      </c>
      <c r="D537" s="641">
        <v>28.571428571428573</v>
      </c>
      <c r="E537" s="88">
        <v>50</v>
      </c>
      <c r="F537" s="642">
        <v>14.285714285714286</v>
      </c>
      <c r="G537" s="89">
        <f t="shared" si="84"/>
        <v>-113.57142857142823</v>
      </c>
      <c r="H537" s="90">
        <f t="shared" si="84"/>
        <v>1743.75</v>
      </c>
      <c r="I537" s="91">
        <f t="shared" si="84"/>
        <v>782.04761904761847</v>
      </c>
      <c r="J537" s="634">
        <f>IF($D537="",NA,$G537+2000)</f>
        <v>1886.4285714285718</v>
      </c>
      <c r="K537" s="90">
        <f>IF(E537="",NA,H537)</f>
        <v>1743.75</v>
      </c>
      <c r="L537" s="58">
        <f>IF($F537="",NA,$I537-500)</f>
        <v>282.04761904761847</v>
      </c>
      <c r="M537" s="189"/>
      <c r="N537" s="183">
        <f t="shared" si="82"/>
        <v>50</v>
      </c>
      <c r="O537" s="146"/>
      <c r="P537" s="146">
        <f t="shared" si="83"/>
        <v>0</v>
      </c>
      <c r="Q537" s="112"/>
    </row>
    <row r="538" spans="2:17">
      <c r="B538" s="185"/>
      <c r="C538" s="174">
        <f>IF(初期登録!$B$10*12+初期登録!$D$10&lt;$A502,"",6)</f>
        <v>6</v>
      </c>
      <c r="D538" s="641">
        <v>42.857142857142854</v>
      </c>
      <c r="E538" s="88">
        <v>25</v>
      </c>
      <c r="F538" s="642">
        <v>14.285714285714286</v>
      </c>
      <c r="G538" s="89">
        <f t="shared" ref="G538:I539" si="85">D538-50+G537</f>
        <v>-120.71428571428538</v>
      </c>
      <c r="H538" s="90">
        <f t="shared" si="85"/>
        <v>1718.75</v>
      </c>
      <c r="I538" s="91">
        <f t="shared" si="85"/>
        <v>746.3333333333328</v>
      </c>
      <c r="J538" s="634">
        <f>IF($D538="",NA,$G538+2000)</f>
        <v>1879.2857142857147</v>
      </c>
      <c r="K538" s="90">
        <f>IF(E538="",NA,H538)</f>
        <v>1718.75</v>
      </c>
      <c r="L538" s="58">
        <f>IF($F538="",NA,$I538-500)</f>
        <v>246.3333333333328</v>
      </c>
      <c r="M538" s="189"/>
      <c r="N538" s="183">
        <f t="shared" si="82"/>
        <v>50</v>
      </c>
      <c r="O538" s="146"/>
      <c r="P538" s="146">
        <f t="shared" si="83"/>
        <v>0</v>
      </c>
      <c r="Q538" s="112"/>
    </row>
    <row r="539" spans="2:17">
      <c r="B539" s="185"/>
      <c r="C539" s="174">
        <f>IF(初期登録!$B$10*12+初期登録!$D$10&lt;$A503,"",7)</f>
        <v>7</v>
      </c>
      <c r="D539" s="641">
        <v>28.571428571428573</v>
      </c>
      <c r="E539" s="88">
        <v>25</v>
      </c>
      <c r="F539" s="642">
        <v>35.714285714285715</v>
      </c>
      <c r="G539" s="89">
        <f t="shared" si="85"/>
        <v>-142.1428571428568</v>
      </c>
      <c r="H539" s="90">
        <f t="shared" si="85"/>
        <v>1693.75</v>
      </c>
      <c r="I539" s="91">
        <f t="shared" si="85"/>
        <v>732.04761904761847</v>
      </c>
      <c r="J539" s="634">
        <f>IF($D539="",NA,$G539+2000)</f>
        <v>1857.8571428571431</v>
      </c>
      <c r="K539" s="90">
        <f>IF(E539="",NA,H539)</f>
        <v>1693.75</v>
      </c>
      <c r="L539" s="58">
        <f>IF($F539="",NA,$I539-500)</f>
        <v>232.04761904761847</v>
      </c>
      <c r="M539" s="189"/>
      <c r="N539" s="183">
        <f t="shared" si="82"/>
        <v>50</v>
      </c>
      <c r="O539" s="146"/>
      <c r="P539" s="146">
        <f t="shared" si="83"/>
        <v>0</v>
      </c>
      <c r="Q539" s="112"/>
    </row>
    <row r="540" spans="2:17">
      <c r="B540" s="185"/>
      <c r="C540" s="174">
        <f>IF(初期登録!$B$10*12+初期登録!$D$10&lt;$A504,"",8)</f>
        <v>8</v>
      </c>
      <c r="D540" s="641">
        <v>57.142857142857146</v>
      </c>
      <c r="E540" s="88">
        <v>25</v>
      </c>
      <c r="F540" s="642">
        <v>71.428571428571431</v>
      </c>
      <c r="G540" s="89">
        <f t="shared" ref="G540:I541" si="86">D540-50+G539</f>
        <v>-134.99999999999966</v>
      </c>
      <c r="H540" s="90">
        <f t="shared" si="86"/>
        <v>1668.75</v>
      </c>
      <c r="I540" s="91">
        <f t="shared" si="86"/>
        <v>753.47619047618991</v>
      </c>
      <c r="J540" s="634">
        <f>IF($D540="",NA,$G540+2000)</f>
        <v>1865.0000000000005</v>
      </c>
      <c r="K540" s="90">
        <f>IF(E540="",NA,H540)</f>
        <v>1668.75</v>
      </c>
      <c r="L540" s="58">
        <f>IF($F540="",NA,$I540-500)</f>
        <v>253.47619047618991</v>
      </c>
      <c r="M540" s="189"/>
      <c r="N540" s="183">
        <f t="shared" si="82"/>
        <v>50</v>
      </c>
      <c r="O540" s="146"/>
      <c r="P540" s="146">
        <f t="shared" si="83"/>
        <v>0</v>
      </c>
      <c r="Q540" s="112"/>
    </row>
    <row r="541" spans="2:17">
      <c r="B541" s="185"/>
      <c r="C541" s="174">
        <f>IF(初期登録!$B$10*12+初期登録!$D$10&lt;$A505,"",9)</f>
        <v>9</v>
      </c>
      <c r="D541" s="641">
        <v>57.142857142857146</v>
      </c>
      <c r="E541" s="88">
        <v>31.25</v>
      </c>
      <c r="F541" s="642">
        <v>78.571428571428569</v>
      </c>
      <c r="G541" s="89">
        <f t="shared" si="86"/>
        <v>-127.85714285714252</v>
      </c>
      <c r="H541" s="90">
        <f t="shared" si="86"/>
        <v>1650</v>
      </c>
      <c r="I541" s="91">
        <f t="shared" si="86"/>
        <v>782.04761904761847</v>
      </c>
      <c r="J541" s="634">
        <f>IF($D541="",NA,$G541+2000)</f>
        <v>1872.1428571428576</v>
      </c>
      <c r="K541" s="90">
        <f>IF(E541="",NA,H541)</f>
        <v>1650</v>
      </c>
      <c r="L541" s="58">
        <f>IF($F541="",NA,$I541-500)</f>
        <v>282.04761904761847</v>
      </c>
      <c r="M541" s="189"/>
      <c r="N541" s="183">
        <f t="shared" si="82"/>
        <v>50</v>
      </c>
      <c r="O541" s="146"/>
      <c r="P541" s="146">
        <f t="shared" si="83"/>
        <v>0</v>
      </c>
      <c r="Q541" s="112"/>
    </row>
    <row r="542" spans="2:17">
      <c r="B542" s="185"/>
      <c r="C542" s="174">
        <f>IF(初期登録!$B$10*12+初期登録!$D$10&lt;$A506,"",10)</f>
        <v>10</v>
      </c>
      <c r="D542" s="641">
        <v>21.428571428571427</v>
      </c>
      <c r="E542" s="88">
        <v>37.5</v>
      </c>
      <c r="F542" s="642">
        <v>92.857142857142861</v>
      </c>
      <c r="G542" s="89">
        <f t="shared" ref="G542:I543" si="87">D542-50+G541</f>
        <v>-156.4285714285711</v>
      </c>
      <c r="H542" s="90">
        <f t="shared" si="87"/>
        <v>1637.5</v>
      </c>
      <c r="I542" s="91">
        <f t="shared" si="87"/>
        <v>824.90476190476136</v>
      </c>
      <c r="J542" s="634">
        <f>IF($D542="",NA,$G542+2000)</f>
        <v>1843.5714285714289</v>
      </c>
      <c r="K542" s="90">
        <f>IF(E542="",NA,H542)</f>
        <v>1637.5</v>
      </c>
      <c r="L542" s="58">
        <f>IF($F542="",NA,$I542-500)</f>
        <v>324.90476190476136</v>
      </c>
      <c r="M542" s="189"/>
      <c r="N542" s="183">
        <f t="shared" si="82"/>
        <v>50</v>
      </c>
      <c r="O542" s="146"/>
      <c r="P542" s="146">
        <f t="shared" si="83"/>
        <v>0</v>
      </c>
      <c r="Q542" s="112"/>
    </row>
    <row r="543" spans="2:17">
      <c r="B543" s="185"/>
      <c r="C543" s="174">
        <f>IF(初期登録!$B$10*12+初期登録!$D$10&lt;$A507,"",11)</f>
        <v>11</v>
      </c>
      <c r="D543" s="641">
        <v>28.571428571428573</v>
      </c>
      <c r="E543" s="88">
        <v>18.75</v>
      </c>
      <c r="F543" s="642">
        <v>71.428571428571431</v>
      </c>
      <c r="G543" s="89">
        <f t="shared" si="87"/>
        <v>-177.85714285714252</v>
      </c>
      <c r="H543" s="90">
        <f t="shared" si="87"/>
        <v>1606.25</v>
      </c>
      <c r="I543" s="91">
        <f t="shared" si="87"/>
        <v>846.3333333333328</v>
      </c>
      <c r="J543" s="634">
        <f>IF($D543="",NA,$G543+2000)</f>
        <v>1822.1428571428576</v>
      </c>
      <c r="K543" s="90">
        <f>IF(E543="",NA,H543)</f>
        <v>1606.25</v>
      </c>
      <c r="L543" s="58">
        <f>IF($F543="",NA,$I543-500)</f>
        <v>346.3333333333328</v>
      </c>
      <c r="M543" s="189"/>
      <c r="N543" s="183">
        <f t="shared" si="82"/>
        <v>50</v>
      </c>
      <c r="O543" s="146"/>
      <c r="P543" s="146">
        <f t="shared" si="83"/>
        <v>0</v>
      </c>
      <c r="Q543" s="112"/>
    </row>
    <row r="544" spans="2:17">
      <c r="B544" s="186"/>
      <c r="C544" s="175">
        <f>IF(初期登録!$B$10*12+初期登録!$D$10&lt;$A508,"",12)</f>
        <v>12</v>
      </c>
      <c r="D544" s="643">
        <v>64.285714285714292</v>
      </c>
      <c r="E544" s="92">
        <v>37.5</v>
      </c>
      <c r="F544" s="93">
        <v>85.714285714285708</v>
      </c>
      <c r="G544" s="94">
        <f>D544-50+G543</f>
        <v>-163.57142857142821</v>
      </c>
      <c r="H544" s="95">
        <f>E544-50+H543</f>
        <v>1593.75</v>
      </c>
      <c r="I544" s="96">
        <f>F544-50+I543</f>
        <v>882.04761904761847</v>
      </c>
      <c r="J544" s="635">
        <f>IF($D544="",NA,$G544+2000)</f>
        <v>1836.4285714285718</v>
      </c>
      <c r="K544" s="95">
        <f>IF(E544="",NA,H544)</f>
        <v>1593.75</v>
      </c>
      <c r="L544" s="636">
        <f>IF($F544="",NA,$I544-500)</f>
        <v>382.04761904761847</v>
      </c>
      <c r="M544" s="190"/>
      <c r="N544" s="136">
        <f t="shared" si="82"/>
        <v>50</v>
      </c>
      <c r="O544" s="137"/>
      <c r="P544" s="137">
        <f t="shared" si="83"/>
        <v>0</v>
      </c>
      <c r="Q544" s="138"/>
    </row>
    <row r="545" spans="2:17">
      <c r="B545" s="184">
        <v>6</v>
      </c>
      <c r="C545" s="178">
        <f>IF(初期登録!$B$10*12+初期登録!$D$10&lt;$A509,"",1)</f>
        <v>1</v>
      </c>
      <c r="D545" s="1038">
        <v>28.571428571428573</v>
      </c>
      <c r="E545" s="1039">
        <v>12.5</v>
      </c>
      <c r="F545" s="1040">
        <v>28.571428571428573</v>
      </c>
      <c r="G545" s="1041">
        <f t="shared" ref="G545:G551" si="88">D545-50+G544</f>
        <v>-184.99999999999963</v>
      </c>
      <c r="H545" s="1042">
        <f t="shared" ref="H545:H551" si="89">E545-50+H544</f>
        <v>1556.25</v>
      </c>
      <c r="I545" s="1043">
        <f t="shared" ref="I545:I551" si="90">F545-50+I544</f>
        <v>860.61904761904702</v>
      </c>
      <c r="J545" s="632">
        <f>IF($D545="",NA,$G545+2000)</f>
        <v>1815.0000000000005</v>
      </c>
      <c r="K545" s="1042">
        <f>IF(E545="",NA,H545)</f>
        <v>1556.25</v>
      </c>
      <c r="L545" s="633">
        <f>IF($F545="",NA,$I545-500)</f>
        <v>360.61904761904702</v>
      </c>
      <c r="M545" s="188"/>
      <c r="N545" s="133">
        <f>IF(C520="",NA(),50)</f>
        <v>50</v>
      </c>
      <c r="O545" s="134"/>
      <c r="P545" s="134">
        <f>IF(C520="",NA(),0)</f>
        <v>0</v>
      </c>
      <c r="Q545" s="159"/>
    </row>
    <row r="546" spans="2:17">
      <c r="B546" s="185"/>
      <c r="C546" s="174">
        <f>IF(初期登録!$B$10*12+初期登録!$D$10&lt;$A510,"",2)</f>
        <v>2</v>
      </c>
      <c r="D546" s="641">
        <v>0</v>
      </c>
      <c r="E546" s="88">
        <v>62.5</v>
      </c>
      <c r="F546" s="642">
        <v>42.857142857142854</v>
      </c>
      <c r="G546" s="89">
        <f t="shared" si="88"/>
        <v>-234.99999999999963</v>
      </c>
      <c r="H546" s="90">
        <f t="shared" si="89"/>
        <v>1568.75</v>
      </c>
      <c r="I546" s="91">
        <f t="shared" si="90"/>
        <v>853.47619047618991</v>
      </c>
      <c r="J546" s="634">
        <f>IF($D546="",NA,$G546+2000)</f>
        <v>1765.0000000000005</v>
      </c>
      <c r="K546" s="90">
        <f>IF(E546="",NA,H546)</f>
        <v>1568.75</v>
      </c>
      <c r="L546" s="58">
        <f>IF($F546="",NA,$I546-500)</f>
        <v>353.47619047618991</v>
      </c>
      <c r="M546" s="189"/>
      <c r="N546" s="183">
        <f t="shared" ref="N546:N568" si="91">IF(C545="",NA(),50)</f>
        <v>50</v>
      </c>
      <c r="O546" s="146"/>
      <c r="P546" s="146">
        <f t="shared" ref="P546:P568" si="92">IF(C545="",NA(),0)</f>
        <v>0</v>
      </c>
      <c r="Q546" s="112"/>
    </row>
    <row r="547" spans="2:17">
      <c r="B547" s="185"/>
      <c r="C547" s="174">
        <f>IF(初期登録!$B$10*12+初期登録!$D$10&lt;$A511,"",3)</f>
        <v>3</v>
      </c>
      <c r="D547" s="641">
        <v>57.142857142857146</v>
      </c>
      <c r="E547" s="88">
        <v>62.5</v>
      </c>
      <c r="F547" s="642">
        <v>28.571428571428573</v>
      </c>
      <c r="G547" s="89">
        <f t="shared" si="88"/>
        <v>-227.85714285714249</v>
      </c>
      <c r="H547" s="90">
        <f t="shared" si="89"/>
        <v>1581.25</v>
      </c>
      <c r="I547" s="91">
        <f t="shared" si="90"/>
        <v>832.04761904761847</v>
      </c>
      <c r="J547" s="634">
        <f>IF($D547="",NA,$G547+2000)</f>
        <v>1772.1428571428576</v>
      </c>
      <c r="K547" s="90">
        <f>IF(E547="",NA,H547)</f>
        <v>1581.25</v>
      </c>
      <c r="L547" s="58">
        <f>IF($F547="",NA,$I547-500)</f>
        <v>332.04761904761847</v>
      </c>
      <c r="M547" s="189"/>
      <c r="N547" s="183">
        <f t="shared" si="91"/>
        <v>50</v>
      </c>
      <c r="O547" s="146"/>
      <c r="P547" s="146">
        <f t="shared" si="92"/>
        <v>0</v>
      </c>
      <c r="Q547" s="112"/>
    </row>
    <row r="548" spans="2:17">
      <c r="B548" s="185"/>
      <c r="C548" s="174">
        <f>IF(初期登録!$B$10*12+初期登録!$D$10&lt;$A512,"",4)</f>
        <v>4</v>
      </c>
      <c r="D548" s="641">
        <v>42.857142857142854</v>
      </c>
      <c r="E548" s="88">
        <v>62.5</v>
      </c>
      <c r="F548" s="642">
        <v>28.571428571428573</v>
      </c>
      <c r="G548" s="89">
        <f t="shared" si="88"/>
        <v>-234.99999999999963</v>
      </c>
      <c r="H548" s="90">
        <f t="shared" si="89"/>
        <v>1593.75</v>
      </c>
      <c r="I548" s="91">
        <f t="shared" si="90"/>
        <v>810.61904761904702</v>
      </c>
      <c r="J548" s="634">
        <f>IF($D548="",NA,$G548+2000)</f>
        <v>1765.0000000000005</v>
      </c>
      <c r="K548" s="90">
        <f>IF(E548="",NA,H548)</f>
        <v>1593.75</v>
      </c>
      <c r="L548" s="58">
        <f>IF($F548="",NA,$I548-500)</f>
        <v>310.61904761904702</v>
      </c>
      <c r="M548" s="189"/>
      <c r="N548" s="183">
        <f t="shared" si="91"/>
        <v>50</v>
      </c>
      <c r="O548" s="146"/>
      <c r="P548" s="146">
        <f t="shared" si="92"/>
        <v>0</v>
      </c>
      <c r="Q548" s="112"/>
    </row>
    <row r="549" spans="2:17">
      <c r="B549" s="185"/>
      <c r="C549" s="174">
        <f>IF(初期登録!$B$10*12+初期登録!$D$10&lt;$A513,"",5)</f>
        <v>5</v>
      </c>
      <c r="D549" s="641">
        <v>28.571428571428573</v>
      </c>
      <c r="E549" s="88">
        <v>62.5</v>
      </c>
      <c r="F549" s="642">
        <v>28.571428571428573</v>
      </c>
      <c r="G549" s="89">
        <f t="shared" si="88"/>
        <v>-256.42857142857105</v>
      </c>
      <c r="H549" s="90">
        <f t="shared" si="89"/>
        <v>1606.25</v>
      </c>
      <c r="I549" s="91">
        <f t="shared" si="90"/>
        <v>789.19047619047558</v>
      </c>
      <c r="J549" s="634">
        <f>IF($D549="",NA,$G549+2000)</f>
        <v>1743.5714285714289</v>
      </c>
      <c r="K549" s="90">
        <f>IF(E549="",NA,H549)</f>
        <v>1606.25</v>
      </c>
      <c r="L549" s="58">
        <f>IF($F549="",NA,$I549-500)</f>
        <v>289.19047619047558</v>
      </c>
      <c r="M549" s="189"/>
      <c r="N549" s="183">
        <f t="shared" si="91"/>
        <v>50</v>
      </c>
      <c r="O549" s="146"/>
      <c r="P549" s="146">
        <f t="shared" si="92"/>
        <v>0</v>
      </c>
      <c r="Q549" s="112"/>
    </row>
    <row r="550" spans="2:17">
      <c r="B550" s="185"/>
      <c r="C550" s="174">
        <f>IF(初期登録!$B$10*12+初期登録!$D$10&lt;$A514,"",6)</f>
        <v>6</v>
      </c>
      <c r="D550" s="641">
        <v>42.857142857142854</v>
      </c>
      <c r="E550" s="88">
        <v>75</v>
      </c>
      <c r="F550" s="642">
        <v>85.714285714285708</v>
      </c>
      <c r="G550" s="89">
        <f t="shared" si="88"/>
        <v>-263.57142857142821</v>
      </c>
      <c r="H550" s="90">
        <f t="shared" si="89"/>
        <v>1631.25</v>
      </c>
      <c r="I550" s="91">
        <f t="shared" si="90"/>
        <v>824.90476190476124</v>
      </c>
      <c r="J550" s="634">
        <f>IF($D550="",NA,$G550+2000)</f>
        <v>1736.4285714285718</v>
      </c>
      <c r="K550" s="90">
        <f>IF(E550="",NA,H550)</f>
        <v>1631.25</v>
      </c>
      <c r="L550" s="58">
        <f>IF($F550="",NA,$I550-500)</f>
        <v>324.90476190476124</v>
      </c>
      <c r="M550" s="189"/>
      <c r="N550" s="183">
        <f t="shared" si="91"/>
        <v>50</v>
      </c>
      <c r="O550" s="146"/>
      <c r="P550" s="146">
        <f t="shared" si="92"/>
        <v>0</v>
      </c>
      <c r="Q550" s="112"/>
    </row>
    <row r="551" spans="2:17">
      <c r="B551" s="185"/>
      <c r="C551" s="174">
        <f>IF(初期登録!$B$10*12+初期登録!$D$10&lt;$A515,"",7)</f>
        <v>7</v>
      </c>
      <c r="D551" s="641">
        <v>64.285714285714292</v>
      </c>
      <c r="E551" s="88">
        <v>50</v>
      </c>
      <c r="F551" s="642">
        <v>28.571428571428573</v>
      </c>
      <c r="G551" s="89">
        <f t="shared" si="88"/>
        <v>-249.28571428571394</v>
      </c>
      <c r="H551" s="90">
        <f t="shared" si="89"/>
        <v>1631.25</v>
      </c>
      <c r="I551" s="91">
        <f t="shared" si="90"/>
        <v>803.4761904761898</v>
      </c>
      <c r="J551" s="634">
        <f>IF($D551="",NA,$G551+2000)</f>
        <v>1750.714285714286</v>
      </c>
      <c r="K551" s="90">
        <f>IF(E551="",NA,H551)</f>
        <v>1631.25</v>
      </c>
      <c r="L551" s="58">
        <f>IF($F551="",NA,$I551-500)</f>
        <v>303.4761904761898</v>
      </c>
      <c r="M551" s="189"/>
      <c r="N551" s="183">
        <f t="shared" si="91"/>
        <v>50</v>
      </c>
      <c r="O551" s="146"/>
      <c r="P551" s="146">
        <f t="shared" si="92"/>
        <v>0</v>
      </c>
      <c r="Q551" s="112"/>
    </row>
    <row r="552" spans="2:17">
      <c r="B552" s="185"/>
      <c r="C552" s="174">
        <f>IF(初期登録!$B$10*12+初期登録!$D$10&lt;$A516,"",8)</f>
        <v>8</v>
      </c>
      <c r="D552" s="641">
        <v>42.857142857142854</v>
      </c>
      <c r="E552" s="88">
        <v>31.25</v>
      </c>
      <c r="F552" s="642">
        <v>57.142857142857146</v>
      </c>
      <c r="G552" s="89">
        <f t="shared" ref="G552:I554" si="93">D552-50+G551</f>
        <v>-256.4285714285711</v>
      </c>
      <c r="H552" s="90">
        <f t="shared" si="93"/>
        <v>1612.5</v>
      </c>
      <c r="I552" s="91">
        <f t="shared" si="93"/>
        <v>810.61904761904691</v>
      </c>
      <c r="J552" s="634">
        <f>IF($D552="",NA,$G552+2000)</f>
        <v>1743.5714285714289</v>
      </c>
      <c r="K552" s="90">
        <f>IF(E552="",NA,H552)</f>
        <v>1612.5</v>
      </c>
      <c r="L552" s="58">
        <f>IF($F552="",NA,$I552-500)</f>
        <v>310.61904761904691</v>
      </c>
      <c r="M552" s="189"/>
      <c r="N552" s="183">
        <f t="shared" si="91"/>
        <v>50</v>
      </c>
      <c r="O552" s="146"/>
      <c r="P552" s="146">
        <f t="shared" si="92"/>
        <v>0</v>
      </c>
      <c r="Q552" s="112"/>
    </row>
    <row r="553" spans="2:17">
      <c r="B553" s="185"/>
      <c r="C553" s="174">
        <f>IF(初期登録!$B$10*12+初期登録!$D$10&lt;$A517,"",9)</f>
        <v>9</v>
      </c>
      <c r="D553" s="641">
        <v>57.142857142857146</v>
      </c>
      <c r="E553" s="88">
        <v>50</v>
      </c>
      <c r="F553" s="642">
        <v>57.142857142857146</v>
      </c>
      <c r="G553" s="89">
        <f t="shared" si="93"/>
        <v>-249.28571428571396</v>
      </c>
      <c r="H553" s="90">
        <f t="shared" si="93"/>
        <v>1612.5</v>
      </c>
      <c r="I553" s="91">
        <f t="shared" si="93"/>
        <v>817.76190476190402</v>
      </c>
      <c r="J553" s="634">
        <f>IF($D553="",NA,$G553+2000)</f>
        <v>1750.714285714286</v>
      </c>
      <c r="K553" s="90">
        <f>IF(E553="",NA,H553)</f>
        <v>1612.5</v>
      </c>
      <c r="L553" s="58">
        <f>IF($F553="",NA,$I553-500)</f>
        <v>317.76190476190402</v>
      </c>
      <c r="M553" s="189"/>
      <c r="N553" s="183">
        <f t="shared" si="91"/>
        <v>50</v>
      </c>
      <c r="O553" s="146"/>
      <c r="P553" s="146">
        <f t="shared" si="92"/>
        <v>0</v>
      </c>
      <c r="Q553" s="112"/>
    </row>
    <row r="554" spans="2:17">
      <c r="B554" s="185"/>
      <c r="C554" s="174">
        <f>IF(初期登録!$B$10*12+初期登録!$D$10&lt;$A518,"",10)</f>
        <v>10</v>
      </c>
      <c r="D554" s="641">
        <v>71.428571428571431</v>
      </c>
      <c r="E554" s="88">
        <v>87.5</v>
      </c>
      <c r="F554" s="642">
        <v>57.142857142857146</v>
      </c>
      <c r="G554" s="89">
        <f t="shared" si="93"/>
        <v>-227.85714285714255</v>
      </c>
      <c r="H554" s="90">
        <f t="shared" si="93"/>
        <v>1650</v>
      </c>
      <c r="I554" s="91">
        <f t="shared" si="93"/>
        <v>824.90476190476113</v>
      </c>
      <c r="J554" s="634">
        <f>IF($D554="",NA,$G554+2000)</f>
        <v>1772.1428571428573</v>
      </c>
      <c r="K554" s="90">
        <f>IF(E554="",NA,H554)</f>
        <v>1650</v>
      </c>
      <c r="L554" s="58">
        <f>IF($F554="",NA,$I554-500)</f>
        <v>324.90476190476113</v>
      </c>
      <c r="M554" s="189"/>
      <c r="N554" s="183">
        <f t="shared" si="91"/>
        <v>50</v>
      </c>
      <c r="O554" s="146"/>
      <c r="P554" s="146">
        <f t="shared" si="92"/>
        <v>0</v>
      </c>
      <c r="Q554" s="112"/>
    </row>
    <row r="555" spans="2:17">
      <c r="B555" s="185"/>
      <c r="C555" s="174">
        <f>IF(初期登録!$B$10*12+初期登録!$D$10&lt;$A519,"",11)</f>
        <v>11</v>
      </c>
      <c r="D555" s="641">
        <v>42.857142857142854</v>
      </c>
      <c r="E555" s="88">
        <v>75</v>
      </c>
      <c r="F555" s="642">
        <v>71.428571428571431</v>
      </c>
      <c r="G555" s="89">
        <f t="shared" ref="G555:I556" si="94">D555-50+G554</f>
        <v>-234.99999999999969</v>
      </c>
      <c r="H555" s="90">
        <f t="shared" si="94"/>
        <v>1675</v>
      </c>
      <c r="I555" s="91">
        <f t="shared" si="94"/>
        <v>846.33333333333258</v>
      </c>
      <c r="J555" s="634">
        <f>IF($D555="",NA,$G555+2000)</f>
        <v>1765.0000000000002</v>
      </c>
      <c r="K555" s="90">
        <f>IF(E555="",NA,H555)</f>
        <v>1675</v>
      </c>
      <c r="L555" s="58">
        <f>IF($F555="",NA,$I555-500)</f>
        <v>346.33333333333258</v>
      </c>
      <c r="M555" s="189"/>
      <c r="N555" s="183">
        <f t="shared" si="91"/>
        <v>50</v>
      </c>
      <c r="O555" s="146"/>
      <c r="P555" s="146">
        <f t="shared" si="92"/>
        <v>0</v>
      </c>
      <c r="Q555" s="112"/>
    </row>
    <row r="556" spans="2:17">
      <c r="B556" s="186"/>
      <c r="C556" s="175">
        <f>IF(初期登録!$B$10*12+初期登録!$D$10&lt;$A520,"",12)</f>
        <v>12</v>
      </c>
      <c r="D556" s="643">
        <v>57.142857142857146</v>
      </c>
      <c r="E556" s="92">
        <v>87.5</v>
      </c>
      <c r="F556" s="93">
        <v>85.714285714285708</v>
      </c>
      <c r="G556" s="94">
        <f t="shared" si="94"/>
        <v>-227.85714285714255</v>
      </c>
      <c r="H556" s="95">
        <f t="shared" si="94"/>
        <v>1712.5</v>
      </c>
      <c r="I556" s="96">
        <f t="shared" si="94"/>
        <v>882.04761904761824</v>
      </c>
      <c r="J556" s="635">
        <f>IF($D556="",NA,$G556+2000)</f>
        <v>1772.1428571428573</v>
      </c>
      <c r="K556" s="95">
        <f>IF(E556="",NA,H556)</f>
        <v>1712.5</v>
      </c>
      <c r="L556" s="636">
        <f>IF($F556="",NA,$I556-500)</f>
        <v>382.04761904761824</v>
      </c>
      <c r="M556" s="190"/>
      <c r="N556" s="136">
        <f t="shared" si="91"/>
        <v>50</v>
      </c>
      <c r="O556" s="137"/>
      <c r="P556" s="137">
        <f t="shared" si="92"/>
        <v>0</v>
      </c>
      <c r="Q556" s="138"/>
    </row>
    <row r="557" spans="2:17">
      <c r="B557" s="184">
        <v>7</v>
      </c>
      <c r="C557" s="178">
        <f>IF(初期登録!$B$10*12+初期登録!$D$10&lt;$A521,"",1)</f>
        <v>1</v>
      </c>
      <c r="D557" s="1038">
        <v>57.142857142857146</v>
      </c>
      <c r="E557" s="1039">
        <v>87.5</v>
      </c>
      <c r="F557" s="1040">
        <v>42.857142857142854</v>
      </c>
      <c r="G557" s="1041">
        <f>D557-50+G556</f>
        <v>-220.71428571428541</v>
      </c>
      <c r="H557" s="1042">
        <f>E557-50+H556</f>
        <v>1750</v>
      </c>
      <c r="I557" s="1043">
        <f>F557-50+I556</f>
        <v>874.90476190476113</v>
      </c>
      <c r="J557" s="632">
        <f>IF($D557="",NA,$G557+2000)</f>
        <v>1779.2857142857147</v>
      </c>
      <c r="K557" s="1042">
        <f>IF(E557="",NA,H557)</f>
        <v>1750</v>
      </c>
      <c r="L557" s="633">
        <f>IF($F557="",NA,$I557-500)</f>
        <v>374.90476190476113</v>
      </c>
      <c r="M557" s="188"/>
      <c r="N557" s="133">
        <f t="shared" si="91"/>
        <v>50</v>
      </c>
      <c r="O557" s="134"/>
      <c r="P557" s="134">
        <f t="shared" si="92"/>
        <v>0</v>
      </c>
      <c r="Q557" s="159"/>
    </row>
    <row r="558" spans="2:17">
      <c r="B558" s="185"/>
      <c r="C558" s="174">
        <f>IF(初期登録!$B$10*12+初期登録!$D$10&lt;$A522,"",2)</f>
        <v>2</v>
      </c>
      <c r="D558" s="641">
        <v>71.428571428571431</v>
      </c>
      <c r="E558" s="88">
        <v>62.5</v>
      </c>
      <c r="F558" s="642">
        <v>85.714285714285708</v>
      </c>
      <c r="G558" s="89">
        <f t="shared" ref="G558:G568" si="95">D558-50+G557</f>
        <v>-199.28571428571399</v>
      </c>
      <c r="H558" s="90">
        <f t="shared" ref="H558:H568" si="96">E558-50+H557</f>
        <v>1762.5</v>
      </c>
      <c r="I558" s="91">
        <f t="shared" ref="I558:I568" si="97">F558-50+I557</f>
        <v>910.6190476190468</v>
      </c>
      <c r="J558" s="634">
        <f>IF($D558="",NA,$G558+2000)</f>
        <v>1800.714285714286</v>
      </c>
      <c r="K558" s="90">
        <f>IF(E558="",NA,H558)</f>
        <v>1762.5</v>
      </c>
      <c r="L558" s="58">
        <f>IF($F558="",NA,$I558-500)</f>
        <v>410.6190476190468</v>
      </c>
      <c r="M558" s="189"/>
      <c r="N558" s="183">
        <f t="shared" si="91"/>
        <v>50</v>
      </c>
      <c r="O558" s="146"/>
      <c r="P558" s="146">
        <f t="shared" si="92"/>
        <v>0</v>
      </c>
      <c r="Q558" s="112"/>
    </row>
    <row r="559" spans="2:17">
      <c r="B559" s="1246"/>
      <c r="C559" s="174">
        <f>IF(初期登録!$B$10*12+初期登録!$D$10&lt;$A523,"",3)</f>
        <v>3</v>
      </c>
      <c r="D559" s="641">
        <v>50</v>
      </c>
      <c r="E559" s="88">
        <v>68.75</v>
      </c>
      <c r="F559" s="642">
        <v>42.857142857142854</v>
      </c>
      <c r="G559" s="154">
        <f t="shared" si="95"/>
        <v>-199.28571428571399</v>
      </c>
      <c r="H559" s="155">
        <f t="shared" si="96"/>
        <v>1781.25</v>
      </c>
      <c r="I559" s="157">
        <f t="shared" si="97"/>
        <v>903.47619047618969</v>
      </c>
      <c r="J559" s="634">
        <f>IF($D559="",NA,$G559+2000)</f>
        <v>1800.714285714286</v>
      </c>
      <c r="K559" s="90">
        <f>IF(E559="",NA,H559)</f>
        <v>1781.25</v>
      </c>
      <c r="L559" s="58">
        <f>IF($F559="",NA,$I559-500)</f>
        <v>403.47619047618969</v>
      </c>
      <c r="M559" s="189"/>
      <c r="N559" s="183">
        <f t="shared" si="91"/>
        <v>50</v>
      </c>
      <c r="O559" s="146"/>
      <c r="P559" s="146">
        <f t="shared" si="92"/>
        <v>0</v>
      </c>
      <c r="Q559" s="147"/>
    </row>
    <row r="560" spans="2:17">
      <c r="B560" s="1246"/>
      <c r="C560" s="174">
        <f>IF(初期登録!$B$10*12+初期登録!$D$10&lt;$A524,"",4)</f>
        <v>4</v>
      </c>
      <c r="D560" s="641">
        <v>100</v>
      </c>
      <c r="E560" s="88">
        <v>18.75</v>
      </c>
      <c r="F560" s="642">
        <v>28.571428571428573</v>
      </c>
      <c r="G560" s="154">
        <f t="shared" si="95"/>
        <v>-149.28571428571399</v>
      </c>
      <c r="H560" s="155">
        <f t="shared" si="96"/>
        <v>1750</v>
      </c>
      <c r="I560" s="157">
        <f t="shared" si="97"/>
        <v>882.04761904761824</v>
      </c>
      <c r="J560" s="634">
        <f>IF($D560="",NA,$G560+2000)</f>
        <v>1850.714285714286</v>
      </c>
      <c r="K560" s="90">
        <f>IF(E560="",NA,H560)</f>
        <v>1750</v>
      </c>
      <c r="L560" s="58">
        <f>IF($F560="",NA,$I560-500)</f>
        <v>382.04761904761824</v>
      </c>
      <c r="M560" s="189"/>
      <c r="N560" s="183">
        <f t="shared" si="91"/>
        <v>50</v>
      </c>
      <c r="O560" s="146"/>
      <c r="P560" s="146">
        <f t="shared" si="92"/>
        <v>0</v>
      </c>
      <c r="Q560" s="147"/>
    </row>
    <row r="561" spans="2:17">
      <c r="B561" s="1246"/>
      <c r="C561" s="174">
        <f>IF(初期登録!$B$10*12+初期登録!$D$10&lt;$A525,"",5)</f>
        <v>5</v>
      </c>
      <c r="D561" s="641">
        <v>71.428571428571431</v>
      </c>
      <c r="E561" s="88">
        <v>37.5</v>
      </c>
      <c r="F561" s="642">
        <v>21.428571428571427</v>
      </c>
      <c r="G561" s="154">
        <f t="shared" si="95"/>
        <v>-127.85714285714256</v>
      </c>
      <c r="H561" s="155">
        <f t="shared" si="96"/>
        <v>1737.5</v>
      </c>
      <c r="I561" s="157">
        <f t="shared" si="97"/>
        <v>853.47619047618969</v>
      </c>
      <c r="J561" s="634">
        <f>IF($D561="",NA,$G561+2000)</f>
        <v>1872.1428571428573</v>
      </c>
      <c r="K561" s="90">
        <f>IF(E561="",NA,H561)</f>
        <v>1737.5</v>
      </c>
      <c r="L561" s="58">
        <f>IF($F561="",NA,$I561-500)</f>
        <v>353.47619047618969</v>
      </c>
      <c r="M561" s="189"/>
      <c r="N561" s="183">
        <f t="shared" si="91"/>
        <v>50</v>
      </c>
      <c r="O561" s="146"/>
      <c r="P561" s="146">
        <f t="shared" si="92"/>
        <v>0</v>
      </c>
      <c r="Q561" s="147"/>
    </row>
    <row r="562" spans="2:17">
      <c r="B562" s="1246"/>
      <c r="C562" s="174">
        <f>IF(初期登録!$B$10*12+初期登録!$D$10&lt;$A526,"",6)</f>
        <v>6</v>
      </c>
      <c r="D562" s="641">
        <v>57.142857142857146</v>
      </c>
      <c r="E562" s="88">
        <v>12.5</v>
      </c>
      <c r="F562" s="642">
        <v>7.1428571428571432</v>
      </c>
      <c r="G562" s="154">
        <f t="shared" si="95"/>
        <v>-120.71428571428541</v>
      </c>
      <c r="H562" s="155">
        <f t="shared" si="96"/>
        <v>1700</v>
      </c>
      <c r="I562" s="157">
        <f t="shared" si="97"/>
        <v>810.6190476190468</v>
      </c>
      <c r="J562" s="634">
        <f>IF($D562="",NA,$G562+2000)</f>
        <v>1879.2857142857147</v>
      </c>
      <c r="K562" s="90">
        <f>IF(E562="",NA,H562)</f>
        <v>1700</v>
      </c>
      <c r="L562" s="58">
        <f>IF($F562="",NA,$I562-500)</f>
        <v>310.6190476190468</v>
      </c>
      <c r="M562" s="189"/>
      <c r="N562" s="183">
        <f t="shared" si="91"/>
        <v>50</v>
      </c>
      <c r="O562" s="146"/>
      <c r="P562" s="146">
        <f t="shared" si="92"/>
        <v>0</v>
      </c>
      <c r="Q562" s="147"/>
    </row>
    <row r="563" spans="2:17">
      <c r="B563" s="1246"/>
      <c r="C563" s="174">
        <f>IF(初期登録!$B$10*12+初期登録!$D$10&lt;$A527,"",7)</f>
        <v>7</v>
      </c>
      <c r="D563" s="641">
        <v>71.428571428571431</v>
      </c>
      <c r="E563" s="88">
        <v>0</v>
      </c>
      <c r="F563" s="642">
        <v>42.857142857142854</v>
      </c>
      <c r="G563" s="154">
        <f t="shared" si="95"/>
        <v>-99.285714285713979</v>
      </c>
      <c r="H563" s="155">
        <f>E563-50+H562</f>
        <v>1650</v>
      </c>
      <c r="I563" s="157">
        <f t="shared" si="97"/>
        <v>803.47619047618969</v>
      </c>
      <c r="J563" s="634">
        <f>IF($D563="",NA,$G563+2000)</f>
        <v>1900.714285714286</v>
      </c>
      <c r="K563" s="90">
        <f>IF(E563="",NA,H563)</f>
        <v>1650</v>
      </c>
      <c r="L563" s="58">
        <f>IF($F563="",NA,$I563-500)</f>
        <v>303.47619047618969</v>
      </c>
      <c r="M563" s="189"/>
      <c r="N563" s="183">
        <f t="shared" si="91"/>
        <v>50</v>
      </c>
      <c r="O563" s="146"/>
      <c r="P563" s="146">
        <f t="shared" si="92"/>
        <v>0</v>
      </c>
      <c r="Q563" s="147"/>
    </row>
    <row r="564" spans="2:17">
      <c r="B564" s="1246"/>
      <c r="C564" s="174">
        <f>IF(初期登録!$B$10*12+初期登録!$D$10&lt;$A528,"",8)</f>
        <v>8</v>
      </c>
      <c r="D564" s="641">
        <v>42.857142857142854</v>
      </c>
      <c r="E564" s="88">
        <v>12.5</v>
      </c>
      <c r="F564" s="642">
        <v>14.285714285714286</v>
      </c>
      <c r="G564" s="154">
        <f t="shared" si="95"/>
        <v>-106.42857142857113</v>
      </c>
      <c r="H564" s="155">
        <f t="shared" si="96"/>
        <v>1612.5</v>
      </c>
      <c r="I564" s="157">
        <f t="shared" si="97"/>
        <v>767.76190476190402</v>
      </c>
      <c r="J564" s="634">
        <f>IF($D564="",NA,$G564+2000)</f>
        <v>1893.5714285714289</v>
      </c>
      <c r="K564" s="90">
        <f>IF(E564="",NA,H564)</f>
        <v>1612.5</v>
      </c>
      <c r="L564" s="58">
        <f>IF($F564="",NA,$I564-500)</f>
        <v>267.76190476190402</v>
      </c>
      <c r="M564" s="189"/>
      <c r="N564" s="183">
        <f t="shared" si="91"/>
        <v>50</v>
      </c>
      <c r="O564" s="146"/>
      <c r="P564" s="146">
        <f t="shared" si="92"/>
        <v>0</v>
      </c>
      <c r="Q564" s="147"/>
    </row>
    <row r="565" spans="2:17">
      <c r="B565" s="1246"/>
      <c r="C565" s="174">
        <f>IF(初期登録!$B$10*12+初期登録!$D$10&lt;$A529,"",9)</f>
        <v>9</v>
      </c>
      <c r="D565" s="641">
        <v>28.571428571428573</v>
      </c>
      <c r="E565" s="88">
        <v>37.5</v>
      </c>
      <c r="F565" s="642">
        <v>42.857142857142854</v>
      </c>
      <c r="G565" s="154">
        <f t="shared" si="95"/>
        <v>-127.85714285714256</v>
      </c>
      <c r="H565" s="155">
        <f t="shared" si="96"/>
        <v>1600</v>
      </c>
      <c r="I565" s="157">
        <f t="shared" si="97"/>
        <v>760.61904761904691</v>
      </c>
      <c r="J565" s="634">
        <f>IF($D565="",NA,$G565+2000)</f>
        <v>1872.1428571428573</v>
      </c>
      <c r="K565" s="90">
        <f>IF(E565="",NA,H565)</f>
        <v>1600</v>
      </c>
      <c r="L565" s="58">
        <f>IF($F565="",NA,$I565-500)</f>
        <v>260.61904761904691</v>
      </c>
      <c r="M565" s="189"/>
      <c r="N565" s="183">
        <f t="shared" si="91"/>
        <v>50</v>
      </c>
      <c r="O565" s="146"/>
      <c r="P565" s="146">
        <f t="shared" si="92"/>
        <v>0</v>
      </c>
      <c r="Q565" s="147"/>
    </row>
    <row r="566" spans="2:17">
      <c r="B566" s="1246"/>
      <c r="C566" s="174">
        <f>IF(初期登録!$B$10*12+初期登録!$D$10&lt;$A530,"",10)</f>
        <v>10</v>
      </c>
      <c r="D566" s="1034">
        <v>57.142857142857146</v>
      </c>
      <c r="E566" s="1035">
        <v>50</v>
      </c>
      <c r="F566" s="1036">
        <v>57.142857142857146</v>
      </c>
      <c r="G566" s="154">
        <f t="shared" si="95"/>
        <v>-120.71428571428541</v>
      </c>
      <c r="H566" s="155">
        <f t="shared" si="96"/>
        <v>1600</v>
      </c>
      <c r="I566" s="157">
        <f t="shared" si="97"/>
        <v>767.76190476190402</v>
      </c>
      <c r="J566" s="1037">
        <f>IF($D566="",NA,$G566+2000)</f>
        <v>1879.2857142857147</v>
      </c>
      <c r="K566" s="155">
        <f>IF(E566="",NA,H566)</f>
        <v>1600</v>
      </c>
      <c r="L566" s="638">
        <f>IF($F566="",NA,$I566-500)</f>
        <v>267.76190476190402</v>
      </c>
      <c r="M566" s="189"/>
      <c r="N566" s="183">
        <f t="shared" si="91"/>
        <v>50</v>
      </c>
      <c r="O566" s="146"/>
      <c r="P566" s="146">
        <f t="shared" si="92"/>
        <v>0</v>
      </c>
      <c r="Q566" s="147"/>
    </row>
    <row r="567" spans="2:17">
      <c r="B567" s="1246"/>
      <c r="C567" s="174">
        <f>IF(初期登録!$B$10*12+初期登録!$D$10&lt;$A531,"",11)</f>
        <v>11</v>
      </c>
      <c r="D567" s="1034">
        <v>42.857142857142854</v>
      </c>
      <c r="E567" s="1035">
        <v>62.5</v>
      </c>
      <c r="F567" s="1036">
        <v>57.142857142857146</v>
      </c>
      <c r="G567" s="154">
        <f t="shared" si="95"/>
        <v>-127.85714285714255</v>
      </c>
      <c r="H567" s="155">
        <f t="shared" si="96"/>
        <v>1612.5</v>
      </c>
      <c r="I567" s="157">
        <f t="shared" si="97"/>
        <v>774.90476190476113</v>
      </c>
      <c r="J567" s="1037">
        <f>IF($D567="",NA,$G567+2000)</f>
        <v>1872.1428571428573</v>
      </c>
      <c r="K567" s="155">
        <f>IF(E567="",NA,H567)</f>
        <v>1612.5</v>
      </c>
      <c r="L567" s="638">
        <f>IF($F567="",NA,$I567-500)</f>
        <v>274.90476190476113</v>
      </c>
      <c r="M567" s="189"/>
      <c r="N567" s="183">
        <f t="shared" si="91"/>
        <v>50</v>
      </c>
      <c r="O567" s="146"/>
      <c r="P567" s="146">
        <f t="shared" si="92"/>
        <v>0</v>
      </c>
      <c r="Q567" s="147"/>
    </row>
    <row r="568" spans="2:17">
      <c r="B568" s="186"/>
      <c r="C568" s="175">
        <f>IF(初期登録!$B$10*12+初期登録!$D$10&lt;$A520,"",12)</f>
        <v>12</v>
      </c>
      <c r="D568" s="643">
        <v>42.857142857142854</v>
      </c>
      <c r="E568" s="92">
        <v>62.5</v>
      </c>
      <c r="F568" s="93">
        <v>57.142857142857146</v>
      </c>
      <c r="G568" s="94">
        <f t="shared" si="95"/>
        <v>-134.99999999999969</v>
      </c>
      <c r="H568" s="95">
        <f t="shared" si="96"/>
        <v>1625</v>
      </c>
      <c r="I568" s="96">
        <f t="shared" si="97"/>
        <v>782.04761904761824</v>
      </c>
      <c r="J568" s="635">
        <f>IF($D568="",NA,$G568+2000)</f>
        <v>1865.0000000000002</v>
      </c>
      <c r="K568" s="95">
        <f>IF(E568="",NA,H568)</f>
        <v>1625</v>
      </c>
      <c r="L568" s="636">
        <f>IF($F568="",NA,$I568-500)</f>
        <v>282.04761904761824</v>
      </c>
      <c r="M568" s="190"/>
      <c r="N568" s="136">
        <f t="shared" si="91"/>
        <v>50</v>
      </c>
      <c r="O568" s="137"/>
      <c r="P568" s="137">
        <f t="shared" si="92"/>
        <v>0</v>
      </c>
      <c r="Q568" s="138"/>
    </row>
    <row r="569" spans="2:17">
      <c r="B569" s="184">
        <v>8</v>
      </c>
      <c r="C569" s="178">
        <f>IF(初期登録!$B$10*12+初期登録!$D$10&lt;$A533,"",1)</f>
        <v>1</v>
      </c>
      <c r="D569" s="1038">
        <v>64.285714285714292</v>
      </c>
      <c r="E569" s="1039">
        <v>75</v>
      </c>
      <c r="F569" s="1040">
        <v>35.714285714285715</v>
      </c>
      <c r="G569" s="1041">
        <f t="shared" ref="G569" si="98">D569-50+G568</f>
        <v>-120.7142857142854</v>
      </c>
      <c r="H569" s="1042">
        <f t="shared" ref="H569" si="99">E569-50+H568</f>
        <v>1650</v>
      </c>
      <c r="I569" s="1043">
        <f t="shared" ref="I569" si="100">F569-50+I568</f>
        <v>767.76190476190391</v>
      </c>
      <c r="J569" s="632">
        <f>IF($D569="",NA,$G569+2000)</f>
        <v>1879.2857142857147</v>
      </c>
      <c r="K569" s="1042">
        <f>IF(E569="",NA,H569)</f>
        <v>1650</v>
      </c>
      <c r="L569" s="633">
        <f>IF($F569="",NA,$I569-500)</f>
        <v>267.76190476190391</v>
      </c>
      <c r="M569" s="188"/>
      <c r="N569" s="133">
        <f t="shared" ref="N569:N583" si="101">IF(C568="",NA(),50)</f>
        <v>50</v>
      </c>
      <c r="O569" s="134"/>
      <c r="P569" s="134">
        <f t="shared" ref="P569:P583" si="102">IF(C568="",NA(),0)</f>
        <v>0</v>
      </c>
      <c r="Q569" s="159"/>
    </row>
    <row r="570" spans="2:17">
      <c r="B570" s="185"/>
      <c r="C570" s="174">
        <f>IF(初期登録!$B$10*12+初期登録!$D$10&lt;$A534,"",2)</f>
        <v>2</v>
      </c>
      <c r="D570" s="641">
        <v>42.857142857142854</v>
      </c>
      <c r="E570" s="88">
        <v>87.5</v>
      </c>
      <c r="F570" s="642">
        <v>28.571428571428573</v>
      </c>
      <c r="G570" s="89">
        <f t="shared" ref="G570" si="103">D570-50+G569</f>
        <v>-127.85714285714255</v>
      </c>
      <c r="H570" s="90">
        <f t="shared" ref="H570" si="104">E570-50+H569</f>
        <v>1687.5</v>
      </c>
      <c r="I570" s="91">
        <f t="shared" ref="I570" si="105">F570-50+I569</f>
        <v>746.33333333333246</v>
      </c>
      <c r="J570" s="634">
        <f>IF($D570="",NA,$G570+2000)</f>
        <v>1872.1428571428573</v>
      </c>
      <c r="K570" s="90">
        <f>IF(E570="",NA,H570)</f>
        <v>1687.5</v>
      </c>
      <c r="L570" s="58">
        <f>IF($F570="",NA,$I570-500)</f>
        <v>246.33333333333246</v>
      </c>
      <c r="M570" s="189"/>
      <c r="N570" s="183">
        <f t="shared" si="101"/>
        <v>50</v>
      </c>
      <c r="O570" s="146"/>
      <c r="P570" s="146">
        <f t="shared" si="102"/>
        <v>0</v>
      </c>
      <c r="Q570" s="112"/>
    </row>
    <row r="571" spans="2:17">
      <c r="B571" s="1246"/>
      <c r="C571" s="174">
        <f>IF(初期登録!$B$10*12+初期登録!$D$10&lt;$A535,"",3)</f>
        <v>3</v>
      </c>
      <c r="D571" s="641">
        <v>71.428571428571431</v>
      </c>
      <c r="E571" s="88">
        <v>87.5</v>
      </c>
      <c r="F571" s="642">
        <v>14.285714285714286</v>
      </c>
      <c r="G571" s="154">
        <f t="shared" ref="G571" si="106">D571-50+G570</f>
        <v>-106.42857142857112</v>
      </c>
      <c r="H571" s="155">
        <f t="shared" ref="H571" si="107">E571-50+H570</f>
        <v>1725</v>
      </c>
      <c r="I571" s="157">
        <f t="shared" ref="I571" si="108">F571-50+I570</f>
        <v>710.6190476190468</v>
      </c>
      <c r="J571" s="634">
        <f>IF($D571="",NA,$G571+2000)</f>
        <v>1893.5714285714289</v>
      </c>
      <c r="K571" s="90">
        <f>IF(E571="",NA,H571)</f>
        <v>1725</v>
      </c>
      <c r="L571" s="58">
        <f>IF($F571="",NA,$I571-500)</f>
        <v>210.6190476190468</v>
      </c>
      <c r="M571" s="189"/>
      <c r="N571" s="183">
        <f t="shared" si="101"/>
        <v>50</v>
      </c>
      <c r="O571" s="146"/>
      <c r="P571" s="146">
        <f t="shared" si="102"/>
        <v>0</v>
      </c>
      <c r="Q571" s="147"/>
    </row>
    <row r="572" spans="2:17">
      <c r="B572" s="1246"/>
      <c r="C572" s="174">
        <f>IF(初期登録!$B$10*12+初期登録!$D$10&lt;$A536,"",4)</f>
        <v>4</v>
      </c>
      <c r="D572" s="641"/>
      <c r="E572" s="88"/>
      <c r="F572" s="642"/>
      <c r="G572" s="154"/>
      <c r="H572" s="155"/>
      <c r="I572" s="157"/>
      <c r="J572" s="634"/>
      <c r="K572" s="90"/>
      <c r="L572" s="58"/>
      <c r="M572" s="189"/>
      <c r="N572" s="183">
        <f t="shared" si="101"/>
        <v>50</v>
      </c>
      <c r="O572" s="146"/>
      <c r="P572" s="146">
        <f t="shared" si="102"/>
        <v>0</v>
      </c>
      <c r="Q572" s="147"/>
    </row>
    <row r="573" spans="2:17">
      <c r="B573" s="1246"/>
      <c r="C573" s="174">
        <f>IF(初期登録!$B$10*12+初期登録!$D$10&lt;$A537,"",5)</f>
        <v>5</v>
      </c>
      <c r="D573" s="641"/>
      <c r="E573" s="88"/>
      <c r="F573" s="642"/>
      <c r="G573" s="154"/>
      <c r="H573" s="155"/>
      <c r="I573" s="157"/>
      <c r="J573" s="634"/>
      <c r="K573" s="90"/>
      <c r="L573" s="58"/>
      <c r="M573" s="189"/>
      <c r="N573" s="183">
        <f t="shared" si="101"/>
        <v>50</v>
      </c>
      <c r="O573" s="146"/>
      <c r="P573" s="146">
        <f t="shared" si="102"/>
        <v>0</v>
      </c>
      <c r="Q573" s="147"/>
    </row>
    <row r="574" spans="2:17">
      <c r="B574" s="1246"/>
      <c r="C574" s="174">
        <f>IF(初期登録!$B$10*12+初期登録!$D$10&lt;$A538,"",6)</f>
        <v>6</v>
      </c>
      <c r="D574" s="641"/>
      <c r="E574" s="88"/>
      <c r="F574" s="642"/>
      <c r="G574" s="154"/>
      <c r="H574" s="155"/>
      <c r="I574" s="157"/>
      <c r="J574" s="634"/>
      <c r="K574" s="90"/>
      <c r="L574" s="58"/>
      <c r="M574" s="189"/>
      <c r="N574" s="183">
        <f t="shared" si="101"/>
        <v>50</v>
      </c>
      <c r="O574" s="146"/>
      <c r="P574" s="146">
        <f t="shared" si="102"/>
        <v>0</v>
      </c>
      <c r="Q574" s="147"/>
    </row>
    <row r="575" spans="2:17">
      <c r="B575" s="1246"/>
      <c r="C575" s="174">
        <f>IF(初期登録!$B$10*12+初期登録!$D$10&lt;$A539,"",7)</f>
        <v>7</v>
      </c>
      <c r="D575" s="641"/>
      <c r="E575" s="88"/>
      <c r="F575" s="642"/>
      <c r="G575" s="154"/>
      <c r="H575" s="155"/>
      <c r="I575" s="157"/>
      <c r="J575" s="634"/>
      <c r="K575" s="90"/>
      <c r="L575" s="58"/>
      <c r="M575" s="189"/>
      <c r="N575" s="183">
        <f t="shared" si="101"/>
        <v>50</v>
      </c>
      <c r="O575" s="146"/>
      <c r="P575" s="146">
        <f t="shared" si="102"/>
        <v>0</v>
      </c>
      <c r="Q575" s="147"/>
    </row>
    <row r="576" spans="2:17">
      <c r="B576" s="1246"/>
      <c r="C576" s="174">
        <f>IF(初期登録!$B$10*12+初期登録!$D$10&lt;$A540,"",8)</f>
        <v>8</v>
      </c>
      <c r="D576" s="641"/>
      <c r="E576" s="88"/>
      <c r="F576" s="642"/>
      <c r="G576" s="154"/>
      <c r="H576" s="155"/>
      <c r="I576" s="157"/>
      <c r="J576" s="634"/>
      <c r="K576" s="90"/>
      <c r="L576" s="58"/>
      <c r="M576" s="189"/>
      <c r="N576" s="183">
        <f t="shared" si="101"/>
        <v>50</v>
      </c>
      <c r="O576" s="146"/>
      <c r="P576" s="146">
        <f t="shared" si="102"/>
        <v>0</v>
      </c>
      <c r="Q576" s="147"/>
    </row>
    <row r="577" spans="1:17">
      <c r="B577" s="1246"/>
      <c r="C577" s="174">
        <f>IF(初期登録!$B$10*12+初期登録!$D$10&lt;$A541,"",9)</f>
        <v>9</v>
      </c>
      <c r="D577" s="641"/>
      <c r="E577" s="88"/>
      <c r="F577" s="642"/>
      <c r="G577" s="154"/>
      <c r="H577" s="155"/>
      <c r="I577" s="157"/>
      <c r="J577" s="634"/>
      <c r="K577" s="90"/>
      <c r="L577" s="58"/>
      <c r="M577" s="189"/>
      <c r="N577" s="183">
        <f t="shared" si="101"/>
        <v>50</v>
      </c>
      <c r="O577" s="146"/>
      <c r="P577" s="146">
        <f t="shared" si="102"/>
        <v>0</v>
      </c>
      <c r="Q577" s="147"/>
    </row>
    <row r="578" spans="1:17">
      <c r="B578" s="1246"/>
      <c r="C578" s="174">
        <f>IF(初期登録!$B$10*12+初期登録!$D$10&lt;$A542,"",10)</f>
        <v>10</v>
      </c>
      <c r="D578" s="1034"/>
      <c r="E578" s="1035"/>
      <c r="F578" s="1036"/>
      <c r="G578" s="154"/>
      <c r="H578" s="155"/>
      <c r="I578" s="157"/>
      <c r="J578" s="1037"/>
      <c r="K578" s="155"/>
      <c r="L578" s="638"/>
      <c r="M578" s="189"/>
      <c r="N578" s="183">
        <f t="shared" si="101"/>
        <v>50</v>
      </c>
      <c r="O578" s="146"/>
      <c r="P578" s="146">
        <f t="shared" si="102"/>
        <v>0</v>
      </c>
      <c r="Q578" s="147"/>
    </row>
    <row r="579" spans="1:17">
      <c r="B579" s="1246"/>
      <c r="C579" s="174">
        <f>IF(初期登録!$B$10*12+初期登録!$D$10&lt;$A543,"",11)</f>
        <v>11</v>
      </c>
      <c r="D579" s="1034"/>
      <c r="E579" s="1035"/>
      <c r="F579" s="1036"/>
      <c r="G579" s="154"/>
      <c r="H579" s="155"/>
      <c r="I579" s="157"/>
      <c r="J579" s="1037"/>
      <c r="K579" s="155"/>
      <c r="L579" s="638"/>
      <c r="M579" s="189"/>
      <c r="N579" s="183">
        <f t="shared" si="101"/>
        <v>50</v>
      </c>
      <c r="O579" s="146"/>
      <c r="P579" s="146">
        <f t="shared" si="102"/>
        <v>0</v>
      </c>
      <c r="Q579" s="147"/>
    </row>
    <row r="580" spans="1:17">
      <c r="B580" s="186"/>
      <c r="C580" s="175">
        <f>IF(初期登録!$B$10*12+初期登録!$D$10&lt;$A532,"",12)</f>
        <v>12</v>
      </c>
      <c r="D580" s="643"/>
      <c r="E580" s="92"/>
      <c r="F580" s="93"/>
      <c r="G580" s="94"/>
      <c r="H580" s="95"/>
      <c r="I580" s="96"/>
      <c r="J580" s="635"/>
      <c r="K580" s="95"/>
      <c r="L580" s="636"/>
      <c r="M580" s="190"/>
      <c r="N580" s="136">
        <f t="shared" si="101"/>
        <v>50</v>
      </c>
      <c r="O580" s="137"/>
      <c r="P580" s="137">
        <f t="shared" si="102"/>
        <v>0</v>
      </c>
      <c r="Q580" s="138"/>
    </row>
    <row r="581" spans="1:17">
      <c r="B581" s="184">
        <v>9</v>
      </c>
      <c r="C581" s="178">
        <v>1</v>
      </c>
      <c r="D581" s="1038"/>
      <c r="E581" s="1039"/>
      <c r="F581" s="1040"/>
      <c r="G581" s="1041"/>
      <c r="H581" s="1042"/>
      <c r="I581" s="1043"/>
      <c r="J581" s="632"/>
      <c r="K581" s="1042"/>
      <c r="L581" s="633"/>
      <c r="M581" s="188"/>
      <c r="N581" s="133">
        <f t="shared" si="101"/>
        <v>50</v>
      </c>
      <c r="O581" s="134"/>
      <c r="P581" s="134">
        <f t="shared" si="102"/>
        <v>0</v>
      </c>
      <c r="Q581" s="159"/>
    </row>
    <row r="582" spans="1:17">
      <c r="B582" s="185"/>
      <c r="C582" s="174">
        <v>2</v>
      </c>
      <c r="D582" s="641"/>
      <c r="E582" s="88"/>
      <c r="F582" s="642"/>
      <c r="G582" s="89"/>
      <c r="H582" s="90"/>
      <c r="I582" s="91"/>
      <c r="J582" s="634"/>
      <c r="K582" s="90"/>
      <c r="L582" s="58"/>
      <c r="M582" s="189"/>
      <c r="N582" s="183">
        <f t="shared" si="101"/>
        <v>50</v>
      </c>
      <c r="O582" s="146"/>
      <c r="P582" s="146">
        <f t="shared" si="102"/>
        <v>0</v>
      </c>
      <c r="Q582" s="112"/>
    </row>
    <row r="583" spans="1:17">
      <c r="B583" s="1246"/>
      <c r="C583" s="174">
        <v>3</v>
      </c>
      <c r="D583" s="641"/>
      <c r="E583" s="88"/>
      <c r="F583" s="642"/>
      <c r="G583" s="154"/>
      <c r="H583" s="155"/>
      <c r="I583" s="157"/>
      <c r="J583" s="634"/>
      <c r="K583" s="90"/>
      <c r="L583" s="58"/>
      <c r="M583" s="189"/>
      <c r="N583" s="183">
        <f t="shared" si="101"/>
        <v>50</v>
      </c>
      <c r="O583" s="146"/>
      <c r="P583" s="146">
        <f t="shared" si="102"/>
        <v>0</v>
      </c>
      <c r="Q583" s="147"/>
    </row>
    <row r="584" spans="1:17">
      <c r="B584" s="1246"/>
      <c r="C584" s="174"/>
      <c r="D584" s="641"/>
      <c r="E584" s="88"/>
      <c r="F584" s="642"/>
      <c r="G584" s="154"/>
      <c r="H584" s="155"/>
      <c r="I584" s="157"/>
      <c r="J584" s="634"/>
      <c r="K584" s="90"/>
      <c r="L584" s="58"/>
      <c r="M584" s="189"/>
      <c r="N584" s="183"/>
      <c r="O584" s="146"/>
      <c r="P584" s="146"/>
      <c r="Q584" s="147"/>
    </row>
    <row r="585" spans="1:17" ht="14.25" thickBot="1">
      <c r="Q585" s="579"/>
    </row>
    <row r="586" spans="1:17" ht="14.25" thickBot="1">
      <c r="A586" s="189">
        <f>初期登録!$B$10*12+初期登録!$D$10+472</f>
        <v>571</v>
      </c>
      <c r="B586" s="1767" t="s">
        <v>279</v>
      </c>
      <c r="C586" s="1768"/>
      <c r="D586" s="1247">
        <v>64.285714285714292</v>
      </c>
      <c r="E586" s="1247">
        <v>0</v>
      </c>
      <c r="F586" s="1247">
        <v>42.857142857142854</v>
      </c>
      <c r="H586" s="34" t="s">
        <v>700</v>
      </c>
    </row>
  </sheetData>
  <mergeCells count="5">
    <mergeCell ref="B586:C586"/>
    <mergeCell ref="D2:F2"/>
    <mergeCell ref="G2:I2"/>
    <mergeCell ref="J2:L2"/>
    <mergeCell ref="B2:C3"/>
  </mergeCells>
  <phoneticPr fontId="3"/>
  <pageMargins left="0.43307086614173229" right="0.35433070866141736" top="0.34" bottom="0.31496062992125984" header="0.35433070866141736" footer="0.23622047244094491"/>
  <pageSetup paperSize="9" scale="68" fitToHeight="0" orientation="portrait"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FF0000"/>
  </sheetPr>
  <dimension ref="A1:AB433"/>
  <sheetViews>
    <sheetView workbookViewId="0">
      <pane xSplit="3" ySplit="63" topLeftCell="D410" activePane="bottomRight" state="frozen"/>
      <selection activeCell="K21" sqref="K21"/>
      <selection pane="topRight" activeCell="K21" sqref="K21"/>
      <selection pane="bottomLeft" activeCell="K21" sqref="K21"/>
      <selection pane="bottomRight" activeCell="K21" sqref="K21"/>
    </sheetView>
  </sheetViews>
  <sheetFormatPr defaultColWidth="9.125" defaultRowHeight="14.25"/>
  <cols>
    <col min="1" max="1" width="6.875" style="310" customWidth="1"/>
    <col min="2" max="2" width="6.25" style="310" bestFit="1" customWidth="1"/>
    <col min="3" max="3" width="6.875" style="310" customWidth="1"/>
    <col min="4" max="4" width="9.75" style="214" bestFit="1" customWidth="1"/>
    <col min="5" max="5" width="9.375" style="214" bestFit="1" customWidth="1"/>
    <col min="6" max="6" width="9.75" style="214" bestFit="1" customWidth="1"/>
    <col min="7" max="7" width="7.75" style="311" bestFit="1" customWidth="1"/>
    <col min="8" max="8" width="8.375" style="311" bestFit="1" customWidth="1"/>
    <col min="9" max="9" width="9.75" style="214" bestFit="1" customWidth="1"/>
    <col min="10" max="10" width="9.375" style="214" bestFit="1" customWidth="1"/>
    <col min="11" max="11" width="9.75" style="214" bestFit="1" customWidth="1"/>
    <col min="12" max="12" width="1.875" style="214" customWidth="1"/>
    <col min="13" max="13" width="9.625" style="214" customWidth="1"/>
    <col min="14" max="14" width="9.875" style="214" customWidth="1"/>
    <col min="15" max="15" width="9.375" style="214" customWidth="1"/>
    <col min="16" max="16" width="2.5" style="214" customWidth="1"/>
    <col min="17" max="19" width="9.375" style="214" bestFit="1" customWidth="1"/>
    <col min="20" max="20" width="9.5" style="214" bestFit="1" customWidth="1"/>
    <col min="21" max="21" width="10.375" style="214" customWidth="1"/>
    <col min="22" max="22" width="9.5" style="214" customWidth="1"/>
    <col min="23" max="23" width="9.625" style="214" customWidth="1"/>
    <col min="24" max="24" width="2.375" style="214" customWidth="1"/>
    <col min="25" max="26" width="9.375" style="214" bestFit="1" customWidth="1"/>
    <col min="27" max="27" width="9.75" style="214" bestFit="1" customWidth="1"/>
    <col min="28" max="16384" width="9.125" style="214"/>
  </cols>
  <sheetData>
    <row r="1" spans="1:27" s="322" customFormat="1">
      <c r="A1" s="317"/>
      <c r="B1" s="318"/>
      <c r="C1" s="318"/>
      <c r="D1" s="1190" t="s">
        <v>140</v>
      </c>
      <c r="E1" s="1191"/>
      <c r="F1" s="1190"/>
      <c r="G1" s="319"/>
      <c r="H1" s="319"/>
      <c r="I1" s="1190" t="s">
        <v>288</v>
      </c>
      <c r="J1" s="1191"/>
      <c r="K1" s="1190"/>
      <c r="L1" s="320"/>
      <c r="M1" s="1190" t="s">
        <v>142</v>
      </c>
      <c r="N1" s="1191"/>
      <c r="O1" s="1190"/>
      <c r="P1" s="320"/>
      <c r="Q1" s="1190" t="s">
        <v>289</v>
      </c>
      <c r="R1" s="1191"/>
      <c r="S1" s="1190"/>
      <c r="T1" s="320"/>
      <c r="U1" s="320"/>
      <c r="V1" s="313" t="s">
        <v>143</v>
      </c>
      <c r="W1" s="320"/>
      <c r="X1" s="320"/>
      <c r="Y1" s="320"/>
      <c r="Z1" s="313" t="s">
        <v>290</v>
      </c>
      <c r="AA1" s="321"/>
    </row>
    <row r="2" spans="1:27" s="322" customFormat="1" ht="33.75" customHeight="1">
      <c r="A2" s="1780" t="s">
        <v>321</v>
      </c>
      <c r="B2" s="1781"/>
      <c r="C2" s="1782"/>
      <c r="D2" s="323" t="s">
        <v>253</v>
      </c>
      <c r="E2" s="324" t="s">
        <v>254</v>
      </c>
      <c r="F2" s="325" t="s">
        <v>255</v>
      </c>
      <c r="G2" s="326" t="s">
        <v>188</v>
      </c>
      <c r="H2" s="326" t="s">
        <v>260</v>
      </c>
      <c r="I2" s="323" t="s">
        <v>253</v>
      </c>
      <c r="J2" s="324" t="s">
        <v>254</v>
      </c>
      <c r="K2" s="325" t="s">
        <v>255</v>
      </c>
      <c r="L2" s="327"/>
      <c r="M2" s="323" t="s">
        <v>253</v>
      </c>
      <c r="N2" s="324" t="s">
        <v>254</v>
      </c>
      <c r="O2" s="325" t="s">
        <v>255</v>
      </c>
      <c r="P2" s="328"/>
      <c r="Q2" s="323" t="s">
        <v>253</v>
      </c>
      <c r="R2" s="324" t="s">
        <v>254</v>
      </c>
      <c r="S2" s="325" t="s">
        <v>255</v>
      </c>
      <c r="T2" s="327"/>
      <c r="U2" s="323" t="s">
        <v>253</v>
      </c>
      <c r="V2" s="324" t="s">
        <v>254</v>
      </c>
      <c r="W2" s="325" t="s">
        <v>255</v>
      </c>
      <c r="X2" s="327"/>
      <c r="Y2" s="323" t="s">
        <v>253</v>
      </c>
      <c r="Z2" s="324" t="s">
        <v>254</v>
      </c>
      <c r="AA2" s="329" t="s">
        <v>255</v>
      </c>
    </row>
    <row r="3" spans="1:27" s="322" customFormat="1">
      <c r="A3" s="330" t="s">
        <v>146</v>
      </c>
      <c r="B3" s="331" t="s">
        <v>147</v>
      </c>
      <c r="C3" s="331" t="s">
        <v>148</v>
      </c>
      <c r="D3" s="332"/>
      <c r="E3" s="332"/>
      <c r="F3" s="332"/>
      <c r="G3" s="333"/>
      <c r="H3" s="333"/>
      <c r="I3" s="332"/>
      <c r="J3" s="332"/>
      <c r="K3" s="332"/>
      <c r="L3" s="334"/>
      <c r="M3" s="335"/>
      <c r="N3" s="335"/>
      <c r="O3" s="335"/>
      <c r="P3" s="335"/>
      <c r="Q3" s="335"/>
      <c r="R3" s="335"/>
      <c r="S3" s="335"/>
      <c r="T3" s="334"/>
      <c r="U3" s="334"/>
      <c r="V3" s="334"/>
      <c r="W3" s="334"/>
      <c r="X3" s="334"/>
      <c r="Y3" s="334"/>
      <c r="Z3" s="334"/>
      <c r="AA3" s="336"/>
    </row>
    <row r="4" spans="1:27" s="546" customFormat="1" ht="1.5" customHeight="1">
      <c r="A4" s="536" t="s">
        <v>569</v>
      </c>
      <c r="B4" s="537">
        <v>1993</v>
      </c>
      <c r="C4" s="538">
        <v>1</v>
      </c>
      <c r="D4" s="552"/>
      <c r="E4" s="552"/>
      <c r="F4" s="552"/>
      <c r="G4" s="553">
        <v>139.69999999999999</v>
      </c>
      <c r="H4" s="553">
        <v>100</v>
      </c>
      <c r="I4" s="553"/>
      <c r="J4" s="553"/>
      <c r="K4" s="553"/>
      <c r="L4" s="554"/>
      <c r="M4" s="554"/>
      <c r="N4" s="554"/>
      <c r="O4" s="554"/>
      <c r="P4" s="554"/>
      <c r="Q4" s="555"/>
      <c r="R4" s="555"/>
      <c r="S4" s="555"/>
      <c r="T4" s="554"/>
      <c r="U4" s="554"/>
      <c r="V4" s="554"/>
      <c r="W4" s="554"/>
      <c r="X4" s="554"/>
      <c r="Y4" s="555"/>
      <c r="Z4" s="555"/>
      <c r="AA4" s="556"/>
    </row>
    <row r="5" spans="1:27" s="546" customFormat="1" ht="1.5" customHeight="1">
      <c r="A5" s="520"/>
      <c r="B5" s="521" t="s">
        <v>141</v>
      </c>
      <c r="C5" s="522">
        <v>2</v>
      </c>
      <c r="D5" s="552"/>
      <c r="E5" s="552"/>
      <c r="F5" s="552"/>
      <c r="G5" s="553">
        <v>139.69999999999999</v>
      </c>
      <c r="H5" s="553">
        <v>100</v>
      </c>
      <c r="I5" s="553">
        <f>D5-D4</f>
        <v>0</v>
      </c>
      <c r="J5" s="553">
        <f>E5-E4</f>
        <v>0</v>
      </c>
      <c r="K5" s="553">
        <f>F5-F4</f>
        <v>0</v>
      </c>
      <c r="L5" s="554"/>
      <c r="M5" s="554" t="s">
        <v>144</v>
      </c>
      <c r="N5" s="554" t="s">
        <v>144</v>
      </c>
      <c r="O5" s="554" t="s">
        <v>144</v>
      </c>
      <c r="P5" s="554"/>
      <c r="Q5" s="555"/>
      <c r="R5" s="555"/>
      <c r="S5" s="555"/>
      <c r="T5" s="554"/>
      <c r="U5" s="554"/>
      <c r="V5" s="554"/>
      <c r="W5" s="554"/>
      <c r="X5" s="554"/>
      <c r="Y5" s="555"/>
      <c r="Z5" s="555"/>
      <c r="AA5" s="556"/>
    </row>
    <row r="6" spans="1:27" s="546" customFormat="1" ht="1.5" customHeight="1">
      <c r="A6" s="520"/>
      <c r="B6" s="521" t="s">
        <v>141</v>
      </c>
      <c r="C6" s="522">
        <v>3</v>
      </c>
      <c r="D6" s="552"/>
      <c r="E6" s="552"/>
      <c r="F6" s="552"/>
      <c r="G6" s="553">
        <v>139.69999999999999</v>
      </c>
      <c r="H6" s="553">
        <v>100</v>
      </c>
      <c r="I6" s="553">
        <f t="shared" ref="I6:I63" si="0">D6-D5</f>
        <v>0</v>
      </c>
      <c r="J6" s="553">
        <f t="shared" ref="J6:J63" si="1">E6-E5</f>
        <v>0</v>
      </c>
      <c r="K6" s="553">
        <f t="shared" ref="K6:K63" si="2">F6-F5</f>
        <v>0</v>
      </c>
      <c r="L6" s="554"/>
      <c r="M6" s="553" t="e">
        <f>ROUND(AVERAGE(D4:D6),2)</f>
        <v>#DIV/0!</v>
      </c>
      <c r="N6" s="553" t="e">
        <f>ROUND(AVERAGE(E4:E6),2)</f>
        <v>#DIV/0!</v>
      </c>
      <c r="O6" s="553" t="e">
        <f>ROUND(AVERAGE(F4:F6),2)</f>
        <v>#DIV/0!</v>
      </c>
      <c r="P6" s="553"/>
      <c r="Q6" s="555"/>
      <c r="R6" s="555"/>
      <c r="S6" s="555"/>
      <c r="T6" s="553"/>
      <c r="U6" s="553"/>
      <c r="V6" s="553"/>
      <c r="W6" s="553"/>
      <c r="X6" s="553"/>
      <c r="Y6" s="555"/>
      <c r="Z6" s="555"/>
      <c r="AA6" s="556"/>
    </row>
    <row r="7" spans="1:27" s="546" customFormat="1" ht="1.5" customHeight="1">
      <c r="A7" s="520"/>
      <c r="B7" s="521" t="s">
        <v>141</v>
      </c>
      <c r="C7" s="522">
        <v>4</v>
      </c>
      <c r="D7" s="552"/>
      <c r="E7" s="552"/>
      <c r="F7" s="552"/>
      <c r="G7" s="553">
        <v>139.69999999999999</v>
      </c>
      <c r="H7" s="553">
        <v>100</v>
      </c>
      <c r="I7" s="553">
        <f t="shared" si="0"/>
        <v>0</v>
      </c>
      <c r="J7" s="553">
        <f t="shared" si="1"/>
        <v>0</v>
      </c>
      <c r="K7" s="553">
        <f t="shared" si="2"/>
        <v>0</v>
      </c>
      <c r="L7" s="554"/>
      <c r="M7" s="553" t="e">
        <f t="shared" ref="M7:M63" si="3">ROUND(AVERAGE(D5:D7),2)</f>
        <v>#DIV/0!</v>
      </c>
      <c r="N7" s="553" t="e">
        <f t="shared" ref="N7:N63" si="4">ROUND(AVERAGE(E5:E7),2)</f>
        <v>#DIV/0!</v>
      </c>
      <c r="O7" s="553" t="e">
        <f t="shared" ref="O7:O63" si="5">ROUND(AVERAGE(F5:F7),2)</f>
        <v>#DIV/0!</v>
      </c>
      <c r="P7" s="553"/>
      <c r="Q7" s="555" t="e">
        <f>M7-M6</f>
        <v>#DIV/0!</v>
      </c>
      <c r="R7" s="555" t="e">
        <f>N7-N6</f>
        <v>#DIV/0!</v>
      </c>
      <c r="S7" s="555" t="e">
        <f>O7-O6</f>
        <v>#DIV/0!</v>
      </c>
      <c r="T7" s="553"/>
      <c r="U7" s="553"/>
      <c r="V7" s="553"/>
      <c r="W7" s="553"/>
      <c r="X7" s="553"/>
      <c r="Y7" s="555"/>
      <c r="Z7" s="555"/>
      <c r="AA7" s="556"/>
    </row>
    <row r="8" spans="1:27" s="546" customFormat="1" ht="1.5" customHeight="1">
      <c r="A8" s="520"/>
      <c r="B8" s="521" t="s">
        <v>141</v>
      </c>
      <c r="C8" s="522">
        <v>5</v>
      </c>
      <c r="D8" s="552"/>
      <c r="E8" s="552"/>
      <c r="F8" s="552"/>
      <c r="G8" s="553">
        <v>139.69999999999999</v>
      </c>
      <c r="H8" s="553">
        <v>100</v>
      </c>
      <c r="I8" s="553">
        <f t="shared" si="0"/>
        <v>0</v>
      </c>
      <c r="J8" s="553">
        <f t="shared" si="1"/>
        <v>0</v>
      </c>
      <c r="K8" s="553">
        <f t="shared" si="2"/>
        <v>0</v>
      </c>
      <c r="L8" s="554"/>
      <c r="M8" s="553" t="e">
        <f t="shared" si="3"/>
        <v>#DIV/0!</v>
      </c>
      <c r="N8" s="553" t="e">
        <f t="shared" si="4"/>
        <v>#DIV/0!</v>
      </c>
      <c r="O8" s="553" t="e">
        <f t="shared" si="5"/>
        <v>#DIV/0!</v>
      </c>
      <c r="P8" s="553"/>
      <c r="Q8" s="555" t="e">
        <f t="shared" ref="Q8:Q67" si="6">M8-M7</f>
        <v>#DIV/0!</v>
      </c>
      <c r="R8" s="555" t="e">
        <f t="shared" ref="R8:R67" si="7">N8-N7</f>
        <v>#DIV/0!</v>
      </c>
      <c r="S8" s="555" t="e">
        <f t="shared" ref="S8:S67" si="8">O8-O7</f>
        <v>#DIV/0!</v>
      </c>
      <c r="T8" s="553"/>
      <c r="U8" s="553"/>
      <c r="V8" s="553"/>
      <c r="W8" s="553"/>
      <c r="X8" s="553"/>
      <c r="Y8" s="555"/>
      <c r="Z8" s="555"/>
      <c r="AA8" s="556"/>
    </row>
    <row r="9" spans="1:27" s="546" customFormat="1" ht="1.5" customHeight="1">
      <c r="A9" s="520"/>
      <c r="B9" s="521" t="s">
        <v>141</v>
      </c>
      <c r="C9" s="522">
        <v>6</v>
      </c>
      <c r="D9" s="552"/>
      <c r="E9" s="552"/>
      <c r="F9" s="552"/>
      <c r="G9" s="553">
        <v>139.69999999999999</v>
      </c>
      <c r="H9" s="553">
        <v>100</v>
      </c>
      <c r="I9" s="553">
        <f t="shared" si="0"/>
        <v>0</v>
      </c>
      <c r="J9" s="553">
        <f t="shared" si="1"/>
        <v>0</v>
      </c>
      <c r="K9" s="553">
        <f t="shared" si="2"/>
        <v>0</v>
      </c>
      <c r="L9" s="554"/>
      <c r="M9" s="553" t="e">
        <f t="shared" si="3"/>
        <v>#DIV/0!</v>
      </c>
      <c r="N9" s="553" t="e">
        <f t="shared" si="4"/>
        <v>#DIV/0!</v>
      </c>
      <c r="O9" s="553" t="e">
        <f t="shared" si="5"/>
        <v>#DIV/0!</v>
      </c>
      <c r="P9" s="553"/>
      <c r="Q9" s="555" t="e">
        <f t="shared" si="6"/>
        <v>#DIV/0!</v>
      </c>
      <c r="R9" s="555" t="e">
        <f t="shared" si="7"/>
        <v>#DIV/0!</v>
      </c>
      <c r="S9" s="555" t="e">
        <f t="shared" si="8"/>
        <v>#DIV/0!</v>
      </c>
      <c r="T9" s="553"/>
      <c r="U9" s="553" t="s">
        <v>145</v>
      </c>
      <c r="V9" s="553" t="s">
        <v>145</v>
      </c>
      <c r="W9" s="553" t="s">
        <v>145</v>
      </c>
      <c r="X9" s="553"/>
      <c r="Y9" s="555"/>
      <c r="Z9" s="555"/>
      <c r="AA9" s="556"/>
    </row>
    <row r="10" spans="1:27" s="546" customFormat="1" ht="1.5" customHeight="1">
      <c r="A10" s="520"/>
      <c r="B10" s="521" t="s">
        <v>141</v>
      </c>
      <c r="C10" s="522">
        <v>7</v>
      </c>
      <c r="D10" s="552"/>
      <c r="E10" s="552"/>
      <c r="F10" s="552"/>
      <c r="G10" s="553">
        <v>139.69999999999999</v>
      </c>
      <c r="H10" s="553">
        <v>100</v>
      </c>
      <c r="I10" s="553">
        <f t="shared" si="0"/>
        <v>0</v>
      </c>
      <c r="J10" s="553">
        <f t="shared" si="1"/>
        <v>0</v>
      </c>
      <c r="K10" s="553">
        <f t="shared" si="2"/>
        <v>0</v>
      </c>
      <c r="L10" s="553"/>
      <c r="M10" s="553" t="e">
        <f t="shared" si="3"/>
        <v>#DIV/0!</v>
      </c>
      <c r="N10" s="553" t="e">
        <f t="shared" si="4"/>
        <v>#DIV/0!</v>
      </c>
      <c r="O10" s="553" t="e">
        <f t="shared" si="5"/>
        <v>#DIV/0!</v>
      </c>
      <c r="P10" s="553"/>
      <c r="Q10" s="555" t="e">
        <f t="shared" si="6"/>
        <v>#DIV/0!</v>
      </c>
      <c r="R10" s="555" t="e">
        <f t="shared" si="7"/>
        <v>#DIV/0!</v>
      </c>
      <c r="S10" s="555" t="e">
        <f t="shared" si="8"/>
        <v>#DIV/0!</v>
      </c>
      <c r="T10" s="553"/>
      <c r="U10" s="553" t="e">
        <f>ROUND(AVERAGE(D4:D10),2)</f>
        <v>#DIV/0!</v>
      </c>
      <c r="V10" s="553" t="e">
        <f>ROUND(AVERAGE(E4:E10),2)</f>
        <v>#DIV/0!</v>
      </c>
      <c r="W10" s="553" t="e">
        <f>ROUND(AVERAGE(F4:F10),2)</f>
        <v>#DIV/0!</v>
      </c>
      <c r="X10" s="553"/>
      <c r="Y10" s="555"/>
      <c r="Z10" s="555"/>
      <c r="AA10" s="556"/>
    </row>
    <row r="11" spans="1:27" s="546" customFormat="1" ht="1.5" customHeight="1">
      <c r="A11" s="520"/>
      <c r="B11" s="521" t="s">
        <v>141</v>
      </c>
      <c r="C11" s="522">
        <v>8</v>
      </c>
      <c r="D11" s="552"/>
      <c r="E11" s="552"/>
      <c r="F11" s="552"/>
      <c r="G11" s="553">
        <v>139.69999999999999</v>
      </c>
      <c r="H11" s="553">
        <v>100</v>
      </c>
      <c r="I11" s="553">
        <f t="shared" si="0"/>
        <v>0</v>
      </c>
      <c r="J11" s="553">
        <f t="shared" si="1"/>
        <v>0</v>
      </c>
      <c r="K11" s="553">
        <f t="shared" si="2"/>
        <v>0</v>
      </c>
      <c r="L11" s="553"/>
      <c r="M11" s="553" t="e">
        <f t="shared" si="3"/>
        <v>#DIV/0!</v>
      </c>
      <c r="N11" s="553" t="e">
        <f t="shared" si="4"/>
        <v>#DIV/0!</v>
      </c>
      <c r="O11" s="553" t="e">
        <f t="shared" si="5"/>
        <v>#DIV/0!</v>
      </c>
      <c r="P11" s="553"/>
      <c r="Q11" s="555" t="e">
        <f t="shared" si="6"/>
        <v>#DIV/0!</v>
      </c>
      <c r="R11" s="555" t="e">
        <f t="shared" si="7"/>
        <v>#DIV/0!</v>
      </c>
      <c r="S11" s="555" t="e">
        <f t="shared" si="8"/>
        <v>#DIV/0!</v>
      </c>
      <c r="T11" s="553"/>
      <c r="U11" s="553" t="e">
        <f t="shared" ref="U11:U63" si="9">ROUND(AVERAGE(D5:D11),2)</f>
        <v>#DIV/0!</v>
      </c>
      <c r="V11" s="553" t="e">
        <f t="shared" ref="V11:V63" si="10">ROUND(AVERAGE(E5:E11),2)</f>
        <v>#DIV/0!</v>
      </c>
      <c r="W11" s="553" t="e">
        <f t="shared" ref="W11:W63" si="11">ROUND(AVERAGE(F5:F11),2)</f>
        <v>#DIV/0!</v>
      </c>
      <c r="X11" s="553"/>
      <c r="Y11" s="555" t="e">
        <f>U11-U10</f>
        <v>#DIV/0!</v>
      </c>
      <c r="Z11" s="555" t="e">
        <f>V11-V10</f>
        <v>#DIV/0!</v>
      </c>
      <c r="AA11" s="556" t="e">
        <f>W11-W10</f>
        <v>#DIV/0!</v>
      </c>
    </row>
    <row r="12" spans="1:27" s="546" customFormat="1" ht="1.5" customHeight="1">
      <c r="A12" s="520"/>
      <c r="B12" s="521" t="s">
        <v>141</v>
      </c>
      <c r="C12" s="522">
        <v>9</v>
      </c>
      <c r="D12" s="552"/>
      <c r="E12" s="552"/>
      <c r="F12" s="552"/>
      <c r="G12" s="553">
        <v>139.69999999999999</v>
      </c>
      <c r="H12" s="553">
        <v>100</v>
      </c>
      <c r="I12" s="553">
        <f t="shared" si="0"/>
        <v>0</v>
      </c>
      <c r="J12" s="553">
        <f t="shared" si="1"/>
        <v>0</v>
      </c>
      <c r="K12" s="553">
        <f t="shared" si="2"/>
        <v>0</v>
      </c>
      <c r="L12" s="553"/>
      <c r="M12" s="553" t="e">
        <f t="shared" si="3"/>
        <v>#DIV/0!</v>
      </c>
      <c r="N12" s="553" t="e">
        <f t="shared" si="4"/>
        <v>#DIV/0!</v>
      </c>
      <c r="O12" s="553" t="e">
        <f t="shared" si="5"/>
        <v>#DIV/0!</v>
      </c>
      <c r="P12" s="553"/>
      <c r="Q12" s="555" t="e">
        <f t="shared" si="6"/>
        <v>#DIV/0!</v>
      </c>
      <c r="R12" s="555" t="e">
        <f t="shared" si="7"/>
        <v>#DIV/0!</v>
      </c>
      <c r="S12" s="555" t="e">
        <f t="shared" si="8"/>
        <v>#DIV/0!</v>
      </c>
      <c r="T12" s="553"/>
      <c r="U12" s="553" t="e">
        <f t="shared" si="9"/>
        <v>#DIV/0!</v>
      </c>
      <c r="V12" s="553" t="e">
        <f t="shared" si="10"/>
        <v>#DIV/0!</v>
      </c>
      <c r="W12" s="553" t="e">
        <f t="shared" si="11"/>
        <v>#DIV/0!</v>
      </c>
      <c r="X12" s="553"/>
      <c r="Y12" s="555" t="e">
        <f t="shared" ref="Y12:Y75" si="12">U12-U11</f>
        <v>#DIV/0!</v>
      </c>
      <c r="Z12" s="555" t="e">
        <f t="shared" ref="Z12:Z75" si="13">V12-V11</f>
        <v>#DIV/0!</v>
      </c>
      <c r="AA12" s="556" t="e">
        <f t="shared" ref="AA12:AA75" si="14">W12-W11</f>
        <v>#DIV/0!</v>
      </c>
    </row>
    <row r="13" spans="1:27" s="546" customFormat="1" ht="1.5" customHeight="1">
      <c r="A13" s="520"/>
      <c r="B13" s="521" t="s">
        <v>141</v>
      </c>
      <c r="C13" s="522">
        <v>10</v>
      </c>
      <c r="D13" s="552"/>
      <c r="E13" s="552"/>
      <c r="F13" s="552"/>
      <c r="G13" s="553">
        <v>139.69999999999999</v>
      </c>
      <c r="H13" s="553">
        <v>100</v>
      </c>
      <c r="I13" s="553">
        <f t="shared" si="0"/>
        <v>0</v>
      </c>
      <c r="J13" s="553">
        <f t="shared" si="1"/>
        <v>0</v>
      </c>
      <c r="K13" s="553">
        <f t="shared" si="2"/>
        <v>0</v>
      </c>
      <c r="L13" s="553"/>
      <c r="M13" s="553" t="e">
        <f t="shared" si="3"/>
        <v>#DIV/0!</v>
      </c>
      <c r="N13" s="553" t="e">
        <f t="shared" si="4"/>
        <v>#DIV/0!</v>
      </c>
      <c r="O13" s="553" t="e">
        <f t="shared" si="5"/>
        <v>#DIV/0!</v>
      </c>
      <c r="P13" s="553"/>
      <c r="Q13" s="555" t="e">
        <f t="shared" si="6"/>
        <v>#DIV/0!</v>
      </c>
      <c r="R13" s="555" t="e">
        <f t="shared" si="7"/>
        <v>#DIV/0!</v>
      </c>
      <c r="S13" s="555" t="e">
        <f t="shared" si="8"/>
        <v>#DIV/0!</v>
      </c>
      <c r="T13" s="553"/>
      <c r="U13" s="553" t="e">
        <f t="shared" si="9"/>
        <v>#DIV/0!</v>
      </c>
      <c r="V13" s="553" t="e">
        <f t="shared" si="10"/>
        <v>#DIV/0!</v>
      </c>
      <c r="W13" s="553" t="e">
        <f t="shared" si="11"/>
        <v>#DIV/0!</v>
      </c>
      <c r="X13" s="553"/>
      <c r="Y13" s="555" t="e">
        <f t="shared" si="12"/>
        <v>#DIV/0!</v>
      </c>
      <c r="Z13" s="555" t="e">
        <f t="shared" si="13"/>
        <v>#DIV/0!</v>
      </c>
      <c r="AA13" s="556" t="e">
        <f t="shared" si="14"/>
        <v>#DIV/0!</v>
      </c>
    </row>
    <row r="14" spans="1:27" s="546" customFormat="1" ht="1.5" customHeight="1">
      <c r="A14" s="520"/>
      <c r="B14" s="521" t="s">
        <v>141</v>
      </c>
      <c r="C14" s="522">
        <v>11</v>
      </c>
      <c r="D14" s="552"/>
      <c r="E14" s="552"/>
      <c r="F14" s="552"/>
      <c r="G14" s="553"/>
      <c r="H14" s="553">
        <v>100</v>
      </c>
      <c r="I14" s="553">
        <f t="shared" si="0"/>
        <v>0</v>
      </c>
      <c r="J14" s="553">
        <f t="shared" si="1"/>
        <v>0</v>
      </c>
      <c r="K14" s="553">
        <f t="shared" si="2"/>
        <v>0</v>
      </c>
      <c r="L14" s="553"/>
      <c r="M14" s="553" t="e">
        <f t="shared" si="3"/>
        <v>#DIV/0!</v>
      </c>
      <c r="N14" s="553" t="e">
        <f t="shared" si="4"/>
        <v>#DIV/0!</v>
      </c>
      <c r="O14" s="553" t="e">
        <f t="shared" si="5"/>
        <v>#DIV/0!</v>
      </c>
      <c r="P14" s="553"/>
      <c r="Q14" s="555" t="e">
        <f t="shared" si="6"/>
        <v>#DIV/0!</v>
      </c>
      <c r="R14" s="555" t="e">
        <f t="shared" si="7"/>
        <v>#DIV/0!</v>
      </c>
      <c r="S14" s="555" t="e">
        <f t="shared" si="8"/>
        <v>#DIV/0!</v>
      </c>
      <c r="T14" s="553"/>
      <c r="U14" s="553" t="e">
        <f t="shared" si="9"/>
        <v>#DIV/0!</v>
      </c>
      <c r="V14" s="553" t="e">
        <f t="shared" si="10"/>
        <v>#DIV/0!</v>
      </c>
      <c r="W14" s="553" t="e">
        <f t="shared" si="11"/>
        <v>#DIV/0!</v>
      </c>
      <c r="X14" s="553"/>
      <c r="Y14" s="555" t="e">
        <f t="shared" si="12"/>
        <v>#DIV/0!</v>
      </c>
      <c r="Z14" s="555" t="e">
        <f t="shared" si="13"/>
        <v>#DIV/0!</v>
      </c>
      <c r="AA14" s="556" t="e">
        <f t="shared" si="14"/>
        <v>#DIV/0!</v>
      </c>
    </row>
    <row r="15" spans="1:27" s="546" customFormat="1" ht="1.5" customHeight="1">
      <c r="A15" s="524"/>
      <c r="B15" s="525" t="s">
        <v>141</v>
      </c>
      <c r="C15" s="526">
        <v>12</v>
      </c>
      <c r="D15" s="557"/>
      <c r="E15" s="557"/>
      <c r="F15" s="557"/>
      <c r="G15" s="558"/>
      <c r="H15" s="558">
        <v>100</v>
      </c>
      <c r="I15" s="558">
        <f t="shared" si="0"/>
        <v>0</v>
      </c>
      <c r="J15" s="558">
        <f t="shared" si="1"/>
        <v>0</v>
      </c>
      <c r="K15" s="558">
        <f t="shared" si="2"/>
        <v>0</v>
      </c>
      <c r="L15" s="558"/>
      <c r="M15" s="558" t="e">
        <f t="shared" si="3"/>
        <v>#DIV/0!</v>
      </c>
      <c r="N15" s="558" t="e">
        <f t="shared" si="4"/>
        <v>#DIV/0!</v>
      </c>
      <c r="O15" s="558" t="e">
        <f t="shared" si="5"/>
        <v>#DIV/0!</v>
      </c>
      <c r="P15" s="558"/>
      <c r="Q15" s="659" t="e">
        <f t="shared" si="6"/>
        <v>#DIV/0!</v>
      </c>
      <c r="R15" s="659" t="e">
        <f t="shared" si="7"/>
        <v>#DIV/0!</v>
      </c>
      <c r="S15" s="659" t="e">
        <f t="shared" si="8"/>
        <v>#DIV/0!</v>
      </c>
      <c r="T15" s="558"/>
      <c r="U15" s="558" t="e">
        <f t="shared" si="9"/>
        <v>#DIV/0!</v>
      </c>
      <c r="V15" s="558" t="e">
        <f t="shared" si="10"/>
        <v>#DIV/0!</v>
      </c>
      <c r="W15" s="558" t="e">
        <f t="shared" si="11"/>
        <v>#DIV/0!</v>
      </c>
      <c r="X15" s="558"/>
      <c r="Y15" s="659" t="e">
        <f t="shared" si="12"/>
        <v>#DIV/0!</v>
      </c>
      <c r="Z15" s="659" t="e">
        <f t="shared" si="13"/>
        <v>#DIV/0!</v>
      </c>
      <c r="AA15" s="660" t="e">
        <f t="shared" si="14"/>
        <v>#DIV/0!</v>
      </c>
    </row>
    <row r="16" spans="1:27" s="546" customFormat="1" ht="1.5" customHeight="1">
      <c r="A16" s="528" t="s">
        <v>570</v>
      </c>
      <c r="B16" s="529">
        <v>1994</v>
      </c>
      <c r="C16" s="530">
        <v>1</v>
      </c>
      <c r="D16" s="559"/>
      <c r="E16" s="559"/>
      <c r="F16" s="559"/>
      <c r="G16" s="560"/>
      <c r="H16" s="560">
        <v>100</v>
      </c>
      <c r="I16" s="560">
        <f t="shared" si="0"/>
        <v>0</v>
      </c>
      <c r="J16" s="560">
        <f t="shared" si="1"/>
        <v>0</v>
      </c>
      <c r="K16" s="560">
        <f t="shared" si="2"/>
        <v>0</v>
      </c>
      <c r="L16" s="560"/>
      <c r="M16" s="560" t="e">
        <f t="shared" si="3"/>
        <v>#DIV/0!</v>
      </c>
      <c r="N16" s="560" t="e">
        <f t="shared" si="4"/>
        <v>#DIV/0!</v>
      </c>
      <c r="O16" s="560" t="e">
        <f t="shared" si="5"/>
        <v>#DIV/0!</v>
      </c>
      <c r="P16" s="560"/>
      <c r="Q16" s="661" t="e">
        <f t="shared" si="6"/>
        <v>#DIV/0!</v>
      </c>
      <c r="R16" s="661" t="e">
        <f t="shared" si="7"/>
        <v>#DIV/0!</v>
      </c>
      <c r="S16" s="661" t="e">
        <f t="shared" si="8"/>
        <v>#DIV/0!</v>
      </c>
      <c r="T16" s="560"/>
      <c r="U16" s="560" t="e">
        <f t="shared" si="9"/>
        <v>#DIV/0!</v>
      </c>
      <c r="V16" s="560" t="e">
        <f t="shared" si="10"/>
        <v>#DIV/0!</v>
      </c>
      <c r="W16" s="560" t="e">
        <f t="shared" si="11"/>
        <v>#DIV/0!</v>
      </c>
      <c r="X16" s="560"/>
      <c r="Y16" s="661" t="e">
        <f t="shared" si="12"/>
        <v>#DIV/0!</v>
      </c>
      <c r="Z16" s="661" t="e">
        <f t="shared" si="13"/>
        <v>#DIV/0!</v>
      </c>
      <c r="AA16" s="662" t="e">
        <f t="shared" si="14"/>
        <v>#DIV/0!</v>
      </c>
    </row>
    <row r="17" spans="1:27" s="546" customFormat="1" ht="1.5" customHeight="1">
      <c r="A17" s="520"/>
      <c r="B17" s="521" t="s">
        <v>141</v>
      </c>
      <c r="C17" s="522">
        <v>2</v>
      </c>
      <c r="D17" s="552"/>
      <c r="E17" s="552"/>
      <c r="F17" s="552"/>
      <c r="G17" s="553"/>
      <c r="H17" s="553">
        <v>100</v>
      </c>
      <c r="I17" s="553">
        <f t="shared" si="0"/>
        <v>0</v>
      </c>
      <c r="J17" s="553">
        <f t="shared" si="1"/>
        <v>0</v>
      </c>
      <c r="K17" s="553">
        <f t="shared" si="2"/>
        <v>0</v>
      </c>
      <c r="L17" s="553"/>
      <c r="M17" s="553" t="e">
        <f t="shared" si="3"/>
        <v>#DIV/0!</v>
      </c>
      <c r="N17" s="553" t="e">
        <f t="shared" si="4"/>
        <v>#DIV/0!</v>
      </c>
      <c r="O17" s="553" t="e">
        <f t="shared" si="5"/>
        <v>#DIV/0!</v>
      </c>
      <c r="P17" s="553"/>
      <c r="Q17" s="555" t="e">
        <f t="shared" si="6"/>
        <v>#DIV/0!</v>
      </c>
      <c r="R17" s="555" t="e">
        <f t="shared" si="7"/>
        <v>#DIV/0!</v>
      </c>
      <c r="S17" s="555" t="e">
        <f t="shared" si="8"/>
        <v>#DIV/0!</v>
      </c>
      <c r="T17" s="555"/>
      <c r="U17" s="555" t="e">
        <f t="shared" si="9"/>
        <v>#DIV/0!</v>
      </c>
      <c r="V17" s="555" t="e">
        <f t="shared" si="10"/>
        <v>#DIV/0!</v>
      </c>
      <c r="W17" s="555" t="e">
        <f t="shared" si="11"/>
        <v>#DIV/0!</v>
      </c>
      <c r="X17" s="553"/>
      <c r="Y17" s="555" t="e">
        <f t="shared" si="12"/>
        <v>#DIV/0!</v>
      </c>
      <c r="Z17" s="555" t="e">
        <f t="shared" si="13"/>
        <v>#DIV/0!</v>
      </c>
      <c r="AA17" s="556" t="e">
        <f t="shared" si="14"/>
        <v>#DIV/0!</v>
      </c>
    </row>
    <row r="18" spans="1:27" s="546" customFormat="1" ht="1.5" customHeight="1">
      <c r="A18" s="520"/>
      <c r="B18" s="521" t="s">
        <v>141</v>
      </c>
      <c r="C18" s="522">
        <v>3</v>
      </c>
      <c r="D18" s="552"/>
      <c r="E18" s="552"/>
      <c r="F18" s="552"/>
      <c r="G18" s="553"/>
      <c r="H18" s="553">
        <v>100</v>
      </c>
      <c r="I18" s="553">
        <f t="shared" si="0"/>
        <v>0</v>
      </c>
      <c r="J18" s="553">
        <f t="shared" si="1"/>
        <v>0</v>
      </c>
      <c r="K18" s="553">
        <f t="shared" si="2"/>
        <v>0</v>
      </c>
      <c r="L18" s="553"/>
      <c r="M18" s="553" t="e">
        <f t="shared" si="3"/>
        <v>#DIV/0!</v>
      </c>
      <c r="N18" s="553" t="e">
        <f t="shared" si="4"/>
        <v>#DIV/0!</v>
      </c>
      <c r="O18" s="553" t="e">
        <f t="shared" si="5"/>
        <v>#DIV/0!</v>
      </c>
      <c r="P18" s="553"/>
      <c r="Q18" s="555" t="e">
        <f t="shared" si="6"/>
        <v>#DIV/0!</v>
      </c>
      <c r="R18" s="555" t="e">
        <f t="shared" si="7"/>
        <v>#DIV/0!</v>
      </c>
      <c r="S18" s="555" t="e">
        <f t="shared" si="8"/>
        <v>#DIV/0!</v>
      </c>
      <c r="T18" s="555"/>
      <c r="U18" s="555" t="e">
        <f t="shared" si="9"/>
        <v>#DIV/0!</v>
      </c>
      <c r="V18" s="555" t="e">
        <f t="shared" si="10"/>
        <v>#DIV/0!</v>
      </c>
      <c r="W18" s="555" t="e">
        <f t="shared" si="11"/>
        <v>#DIV/0!</v>
      </c>
      <c r="X18" s="553"/>
      <c r="Y18" s="555" t="e">
        <f t="shared" si="12"/>
        <v>#DIV/0!</v>
      </c>
      <c r="Z18" s="555" t="e">
        <f t="shared" si="13"/>
        <v>#DIV/0!</v>
      </c>
      <c r="AA18" s="556" t="e">
        <f t="shared" si="14"/>
        <v>#DIV/0!</v>
      </c>
    </row>
    <row r="19" spans="1:27" s="546" customFormat="1" ht="1.5" customHeight="1">
      <c r="A19" s="520"/>
      <c r="B19" s="521" t="s">
        <v>141</v>
      </c>
      <c r="C19" s="522">
        <v>4</v>
      </c>
      <c r="D19" s="552"/>
      <c r="E19" s="552"/>
      <c r="F19" s="552"/>
      <c r="G19" s="553"/>
      <c r="H19" s="553">
        <v>100</v>
      </c>
      <c r="I19" s="553">
        <f t="shared" si="0"/>
        <v>0</v>
      </c>
      <c r="J19" s="553">
        <f t="shared" si="1"/>
        <v>0</v>
      </c>
      <c r="K19" s="553">
        <f t="shared" si="2"/>
        <v>0</v>
      </c>
      <c r="L19" s="553"/>
      <c r="M19" s="553" t="e">
        <f t="shared" si="3"/>
        <v>#DIV/0!</v>
      </c>
      <c r="N19" s="553" t="e">
        <f t="shared" si="4"/>
        <v>#DIV/0!</v>
      </c>
      <c r="O19" s="553" t="e">
        <f t="shared" si="5"/>
        <v>#DIV/0!</v>
      </c>
      <c r="P19" s="553"/>
      <c r="Q19" s="555" t="e">
        <f t="shared" si="6"/>
        <v>#DIV/0!</v>
      </c>
      <c r="R19" s="555" t="e">
        <f t="shared" si="7"/>
        <v>#DIV/0!</v>
      </c>
      <c r="S19" s="555" t="e">
        <f t="shared" si="8"/>
        <v>#DIV/0!</v>
      </c>
      <c r="T19" s="555"/>
      <c r="U19" s="555" t="e">
        <f t="shared" si="9"/>
        <v>#DIV/0!</v>
      </c>
      <c r="V19" s="555" t="e">
        <f t="shared" si="10"/>
        <v>#DIV/0!</v>
      </c>
      <c r="W19" s="555" t="e">
        <f t="shared" si="11"/>
        <v>#DIV/0!</v>
      </c>
      <c r="X19" s="553"/>
      <c r="Y19" s="555" t="e">
        <f t="shared" si="12"/>
        <v>#DIV/0!</v>
      </c>
      <c r="Z19" s="555" t="e">
        <f t="shared" si="13"/>
        <v>#DIV/0!</v>
      </c>
      <c r="AA19" s="556" t="e">
        <f t="shared" si="14"/>
        <v>#DIV/0!</v>
      </c>
    </row>
    <row r="20" spans="1:27" s="546" customFormat="1" ht="1.5" customHeight="1">
      <c r="A20" s="520"/>
      <c r="B20" s="521" t="s">
        <v>141</v>
      </c>
      <c r="C20" s="522">
        <v>5</v>
      </c>
      <c r="D20" s="552"/>
      <c r="E20" s="552"/>
      <c r="F20" s="552"/>
      <c r="G20" s="553"/>
      <c r="H20" s="553">
        <v>100</v>
      </c>
      <c r="I20" s="553">
        <f t="shared" si="0"/>
        <v>0</v>
      </c>
      <c r="J20" s="553">
        <f t="shared" si="1"/>
        <v>0</v>
      </c>
      <c r="K20" s="553">
        <f t="shared" si="2"/>
        <v>0</v>
      </c>
      <c r="L20" s="553"/>
      <c r="M20" s="553" t="e">
        <f t="shared" si="3"/>
        <v>#DIV/0!</v>
      </c>
      <c r="N20" s="553" t="e">
        <f t="shared" si="4"/>
        <v>#DIV/0!</v>
      </c>
      <c r="O20" s="553" t="e">
        <f t="shared" si="5"/>
        <v>#DIV/0!</v>
      </c>
      <c r="P20" s="553"/>
      <c r="Q20" s="555" t="e">
        <f t="shared" si="6"/>
        <v>#DIV/0!</v>
      </c>
      <c r="R20" s="555" t="e">
        <f t="shared" si="7"/>
        <v>#DIV/0!</v>
      </c>
      <c r="S20" s="555" t="e">
        <f t="shared" si="8"/>
        <v>#DIV/0!</v>
      </c>
      <c r="T20" s="555"/>
      <c r="U20" s="555" t="e">
        <f t="shared" si="9"/>
        <v>#DIV/0!</v>
      </c>
      <c r="V20" s="555" t="e">
        <f t="shared" si="10"/>
        <v>#DIV/0!</v>
      </c>
      <c r="W20" s="555" t="e">
        <f t="shared" si="11"/>
        <v>#DIV/0!</v>
      </c>
      <c r="X20" s="553"/>
      <c r="Y20" s="555" t="e">
        <f t="shared" si="12"/>
        <v>#DIV/0!</v>
      </c>
      <c r="Z20" s="555" t="e">
        <f t="shared" si="13"/>
        <v>#DIV/0!</v>
      </c>
      <c r="AA20" s="556" t="e">
        <f t="shared" si="14"/>
        <v>#DIV/0!</v>
      </c>
    </row>
    <row r="21" spans="1:27" s="546" customFormat="1" ht="1.5" customHeight="1">
      <c r="A21" s="520"/>
      <c r="B21" s="521" t="s">
        <v>141</v>
      </c>
      <c r="C21" s="522">
        <v>6</v>
      </c>
      <c r="D21" s="552"/>
      <c r="E21" s="552"/>
      <c r="F21" s="552"/>
      <c r="G21" s="553"/>
      <c r="H21" s="553">
        <v>100</v>
      </c>
      <c r="I21" s="553">
        <f t="shared" si="0"/>
        <v>0</v>
      </c>
      <c r="J21" s="553">
        <f t="shared" si="1"/>
        <v>0</v>
      </c>
      <c r="K21" s="553">
        <f t="shared" si="2"/>
        <v>0</v>
      </c>
      <c r="L21" s="553"/>
      <c r="M21" s="553" t="e">
        <f t="shared" si="3"/>
        <v>#DIV/0!</v>
      </c>
      <c r="N21" s="553" t="e">
        <f t="shared" si="4"/>
        <v>#DIV/0!</v>
      </c>
      <c r="O21" s="553" t="e">
        <f t="shared" si="5"/>
        <v>#DIV/0!</v>
      </c>
      <c r="P21" s="553"/>
      <c r="Q21" s="555" t="e">
        <f t="shared" si="6"/>
        <v>#DIV/0!</v>
      </c>
      <c r="R21" s="555" t="e">
        <f t="shared" si="7"/>
        <v>#DIV/0!</v>
      </c>
      <c r="S21" s="555" t="e">
        <f t="shared" si="8"/>
        <v>#DIV/0!</v>
      </c>
      <c r="T21" s="555"/>
      <c r="U21" s="555" t="e">
        <f t="shared" si="9"/>
        <v>#DIV/0!</v>
      </c>
      <c r="V21" s="555" t="e">
        <f t="shared" si="10"/>
        <v>#DIV/0!</v>
      </c>
      <c r="W21" s="555" t="e">
        <f t="shared" si="11"/>
        <v>#DIV/0!</v>
      </c>
      <c r="X21" s="553"/>
      <c r="Y21" s="555" t="e">
        <f t="shared" si="12"/>
        <v>#DIV/0!</v>
      </c>
      <c r="Z21" s="555" t="e">
        <f t="shared" si="13"/>
        <v>#DIV/0!</v>
      </c>
      <c r="AA21" s="556" t="e">
        <f t="shared" si="14"/>
        <v>#DIV/0!</v>
      </c>
    </row>
    <row r="22" spans="1:27" s="546" customFormat="1" ht="1.5" customHeight="1">
      <c r="A22" s="520"/>
      <c r="B22" s="521" t="s">
        <v>141</v>
      </c>
      <c r="C22" s="522">
        <v>7</v>
      </c>
      <c r="D22" s="552"/>
      <c r="E22" s="552"/>
      <c r="F22" s="552"/>
      <c r="G22" s="553"/>
      <c r="H22" s="553">
        <v>100</v>
      </c>
      <c r="I22" s="553">
        <f t="shared" si="0"/>
        <v>0</v>
      </c>
      <c r="J22" s="553">
        <f t="shared" si="1"/>
        <v>0</v>
      </c>
      <c r="K22" s="553">
        <f t="shared" si="2"/>
        <v>0</v>
      </c>
      <c r="L22" s="553"/>
      <c r="M22" s="553" t="e">
        <f t="shared" si="3"/>
        <v>#DIV/0!</v>
      </c>
      <c r="N22" s="553" t="e">
        <f t="shared" si="4"/>
        <v>#DIV/0!</v>
      </c>
      <c r="O22" s="553" t="e">
        <f t="shared" si="5"/>
        <v>#DIV/0!</v>
      </c>
      <c r="P22" s="553"/>
      <c r="Q22" s="555" t="e">
        <f t="shared" si="6"/>
        <v>#DIV/0!</v>
      </c>
      <c r="R22" s="555" t="e">
        <f t="shared" si="7"/>
        <v>#DIV/0!</v>
      </c>
      <c r="S22" s="555" t="e">
        <f t="shared" si="8"/>
        <v>#DIV/0!</v>
      </c>
      <c r="T22" s="555"/>
      <c r="U22" s="555" t="e">
        <f t="shared" si="9"/>
        <v>#DIV/0!</v>
      </c>
      <c r="V22" s="555" t="e">
        <f t="shared" si="10"/>
        <v>#DIV/0!</v>
      </c>
      <c r="W22" s="555" t="e">
        <f t="shared" si="11"/>
        <v>#DIV/0!</v>
      </c>
      <c r="X22" s="553"/>
      <c r="Y22" s="555" t="e">
        <f t="shared" si="12"/>
        <v>#DIV/0!</v>
      </c>
      <c r="Z22" s="555" t="e">
        <f t="shared" si="13"/>
        <v>#DIV/0!</v>
      </c>
      <c r="AA22" s="556" t="e">
        <f t="shared" si="14"/>
        <v>#DIV/0!</v>
      </c>
    </row>
    <row r="23" spans="1:27" s="546" customFormat="1" ht="1.5" customHeight="1">
      <c r="A23" s="520"/>
      <c r="B23" s="521" t="s">
        <v>141</v>
      </c>
      <c r="C23" s="522">
        <v>8</v>
      </c>
      <c r="D23" s="552"/>
      <c r="E23" s="552"/>
      <c r="F23" s="552"/>
      <c r="G23" s="553"/>
      <c r="H23" s="553">
        <v>100</v>
      </c>
      <c r="I23" s="553">
        <f t="shared" si="0"/>
        <v>0</v>
      </c>
      <c r="J23" s="553">
        <f t="shared" si="1"/>
        <v>0</v>
      </c>
      <c r="K23" s="553">
        <f t="shared" si="2"/>
        <v>0</v>
      </c>
      <c r="L23" s="553"/>
      <c r="M23" s="553" t="e">
        <f t="shared" si="3"/>
        <v>#DIV/0!</v>
      </c>
      <c r="N23" s="553" t="e">
        <f t="shared" si="4"/>
        <v>#DIV/0!</v>
      </c>
      <c r="O23" s="553" t="e">
        <f t="shared" si="5"/>
        <v>#DIV/0!</v>
      </c>
      <c r="P23" s="553"/>
      <c r="Q23" s="555" t="e">
        <f t="shared" si="6"/>
        <v>#DIV/0!</v>
      </c>
      <c r="R23" s="555" t="e">
        <f t="shared" si="7"/>
        <v>#DIV/0!</v>
      </c>
      <c r="S23" s="555" t="e">
        <f t="shared" si="8"/>
        <v>#DIV/0!</v>
      </c>
      <c r="T23" s="555"/>
      <c r="U23" s="555" t="e">
        <f t="shared" si="9"/>
        <v>#DIV/0!</v>
      </c>
      <c r="V23" s="555" t="e">
        <f t="shared" si="10"/>
        <v>#DIV/0!</v>
      </c>
      <c r="W23" s="555" t="e">
        <f t="shared" si="11"/>
        <v>#DIV/0!</v>
      </c>
      <c r="X23" s="553"/>
      <c r="Y23" s="555" t="e">
        <f t="shared" si="12"/>
        <v>#DIV/0!</v>
      </c>
      <c r="Z23" s="555" t="e">
        <f t="shared" si="13"/>
        <v>#DIV/0!</v>
      </c>
      <c r="AA23" s="556" t="e">
        <f t="shared" si="14"/>
        <v>#DIV/0!</v>
      </c>
    </row>
    <row r="24" spans="1:27" s="546" customFormat="1" ht="1.5" customHeight="1">
      <c r="A24" s="520"/>
      <c r="B24" s="521" t="s">
        <v>141</v>
      </c>
      <c r="C24" s="522">
        <v>9</v>
      </c>
      <c r="D24" s="552"/>
      <c r="E24" s="552"/>
      <c r="F24" s="552"/>
      <c r="G24" s="553"/>
      <c r="H24" s="553">
        <v>100</v>
      </c>
      <c r="I24" s="553">
        <f t="shared" si="0"/>
        <v>0</v>
      </c>
      <c r="J24" s="553">
        <f t="shared" si="1"/>
        <v>0</v>
      </c>
      <c r="K24" s="553">
        <f t="shared" si="2"/>
        <v>0</v>
      </c>
      <c r="L24" s="553"/>
      <c r="M24" s="553" t="e">
        <f t="shared" si="3"/>
        <v>#DIV/0!</v>
      </c>
      <c r="N24" s="553" t="e">
        <f t="shared" si="4"/>
        <v>#DIV/0!</v>
      </c>
      <c r="O24" s="553" t="e">
        <f t="shared" si="5"/>
        <v>#DIV/0!</v>
      </c>
      <c r="P24" s="553"/>
      <c r="Q24" s="555" t="e">
        <f t="shared" si="6"/>
        <v>#DIV/0!</v>
      </c>
      <c r="R24" s="555" t="e">
        <f t="shared" si="7"/>
        <v>#DIV/0!</v>
      </c>
      <c r="S24" s="555" t="e">
        <f t="shared" si="8"/>
        <v>#DIV/0!</v>
      </c>
      <c r="T24" s="555"/>
      <c r="U24" s="555" t="e">
        <f t="shared" si="9"/>
        <v>#DIV/0!</v>
      </c>
      <c r="V24" s="555" t="e">
        <f t="shared" si="10"/>
        <v>#DIV/0!</v>
      </c>
      <c r="W24" s="555" t="e">
        <f t="shared" si="11"/>
        <v>#DIV/0!</v>
      </c>
      <c r="X24" s="553"/>
      <c r="Y24" s="555" t="e">
        <f t="shared" si="12"/>
        <v>#DIV/0!</v>
      </c>
      <c r="Z24" s="555" t="e">
        <f t="shared" si="13"/>
        <v>#DIV/0!</v>
      </c>
      <c r="AA24" s="556" t="e">
        <f t="shared" si="14"/>
        <v>#DIV/0!</v>
      </c>
    </row>
    <row r="25" spans="1:27" s="546" customFormat="1" ht="1.5" customHeight="1">
      <c r="A25" s="520"/>
      <c r="B25" s="521" t="s">
        <v>141</v>
      </c>
      <c r="C25" s="522">
        <v>10</v>
      </c>
      <c r="D25" s="552"/>
      <c r="E25" s="552"/>
      <c r="F25" s="552"/>
      <c r="G25" s="553"/>
      <c r="H25" s="553">
        <v>100</v>
      </c>
      <c r="I25" s="553">
        <f t="shared" si="0"/>
        <v>0</v>
      </c>
      <c r="J25" s="553">
        <f t="shared" si="1"/>
        <v>0</v>
      </c>
      <c r="K25" s="553">
        <f t="shared" si="2"/>
        <v>0</v>
      </c>
      <c r="L25" s="553"/>
      <c r="M25" s="553" t="e">
        <f t="shared" si="3"/>
        <v>#DIV/0!</v>
      </c>
      <c r="N25" s="553" t="e">
        <f t="shared" si="4"/>
        <v>#DIV/0!</v>
      </c>
      <c r="O25" s="553" t="e">
        <f t="shared" si="5"/>
        <v>#DIV/0!</v>
      </c>
      <c r="P25" s="553"/>
      <c r="Q25" s="555" t="e">
        <f t="shared" si="6"/>
        <v>#DIV/0!</v>
      </c>
      <c r="R25" s="555" t="e">
        <f t="shared" si="7"/>
        <v>#DIV/0!</v>
      </c>
      <c r="S25" s="555" t="e">
        <f t="shared" si="8"/>
        <v>#DIV/0!</v>
      </c>
      <c r="T25" s="555"/>
      <c r="U25" s="555" t="e">
        <f t="shared" si="9"/>
        <v>#DIV/0!</v>
      </c>
      <c r="V25" s="555" t="e">
        <f t="shared" si="10"/>
        <v>#DIV/0!</v>
      </c>
      <c r="W25" s="555" t="e">
        <f t="shared" si="11"/>
        <v>#DIV/0!</v>
      </c>
      <c r="X25" s="553"/>
      <c r="Y25" s="555" t="e">
        <f t="shared" si="12"/>
        <v>#DIV/0!</v>
      </c>
      <c r="Z25" s="555" t="e">
        <f t="shared" si="13"/>
        <v>#DIV/0!</v>
      </c>
      <c r="AA25" s="556" t="e">
        <f t="shared" si="14"/>
        <v>#DIV/0!</v>
      </c>
    </row>
    <row r="26" spans="1:27" s="546" customFormat="1" ht="1.5" customHeight="1">
      <c r="A26" s="520"/>
      <c r="B26" s="521" t="s">
        <v>141</v>
      </c>
      <c r="C26" s="522">
        <v>11</v>
      </c>
      <c r="D26" s="552"/>
      <c r="E26" s="552"/>
      <c r="F26" s="552"/>
      <c r="G26" s="553"/>
      <c r="H26" s="553">
        <v>100</v>
      </c>
      <c r="I26" s="553">
        <f t="shared" si="0"/>
        <v>0</v>
      </c>
      <c r="J26" s="553">
        <f t="shared" si="1"/>
        <v>0</v>
      </c>
      <c r="K26" s="553">
        <f t="shared" si="2"/>
        <v>0</v>
      </c>
      <c r="L26" s="553"/>
      <c r="M26" s="553" t="e">
        <f t="shared" si="3"/>
        <v>#DIV/0!</v>
      </c>
      <c r="N26" s="553" t="e">
        <f t="shared" si="4"/>
        <v>#DIV/0!</v>
      </c>
      <c r="O26" s="553" t="e">
        <f t="shared" si="5"/>
        <v>#DIV/0!</v>
      </c>
      <c r="P26" s="553"/>
      <c r="Q26" s="555" t="e">
        <f t="shared" si="6"/>
        <v>#DIV/0!</v>
      </c>
      <c r="R26" s="555" t="e">
        <f t="shared" si="7"/>
        <v>#DIV/0!</v>
      </c>
      <c r="S26" s="555" t="e">
        <f t="shared" si="8"/>
        <v>#DIV/0!</v>
      </c>
      <c r="T26" s="555"/>
      <c r="U26" s="555" t="e">
        <f t="shared" si="9"/>
        <v>#DIV/0!</v>
      </c>
      <c r="V26" s="555" t="e">
        <f t="shared" si="10"/>
        <v>#DIV/0!</v>
      </c>
      <c r="W26" s="555" t="e">
        <f t="shared" si="11"/>
        <v>#DIV/0!</v>
      </c>
      <c r="X26" s="553"/>
      <c r="Y26" s="555" t="e">
        <f t="shared" si="12"/>
        <v>#DIV/0!</v>
      </c>
      <c r="Z26" s="555" t="e">
        <f t="shared" si="13"/>
        <v>#DIV/0!</v>
      </c>
      <c r="AA26" s="556" t="e">
        <f t="shared" si="14"/>
        <v>#DIV/0!</v>
      </c>
    </row>
    <row r="27" spans="1:27" s="546" customFormat="1" ht="1.5" customHeight="1">
      <c r="A27" s="532"/>
      <c r="B27" s="533" t="s">
        <v>141</v>
      </c>
      <c r="C27" s="534">
        <v>12</v>
      </c>
      <c r="D27" s="561"/>
      <c r="E27" s="561"/>
      <c r="F27" s="561"/>
      <c r="G27" s="562"/>
      <c r="H27" s="562">
        <v>100</v>
      </c>
      <c r="I27" s="562">
        <f t="shared" si="0"/>
        <v>0</v>
      </c>
      <c r="J27" s="562">
        <f t="shared" si="1"/>
        <v>0</v>
      </c>
      <c r="K27" s="562">
        <f t="shared" si="2"/>
        <v>0</v>
      </c>
      <c r="L27" s="562"/>
      <c r="M27" s="562" t="e">
        <f t="shared" si="3"/>
        <v>#DIV/0!</v>
      </c>
      <c r="N27" s="562" t="e">
        <f t="shared" si="4"/>
        <v>#DIV/0!</v>
      </c>
      <c r="O27" s="562" t="e">
        <f t="shared" si="5"/>
        <v>#DIV/0!</v>
      </c>
      <c r="P27" s="562"/>
      <c r="Q27" s="663" t="e">
        <f t="shared" si="6"/>
        <v>#DIV/0!</v>
      </c>
      <c r="R27" s="663" t="e">
        <f t="shared" si="7"/>
        <v>#DIV/0!</v>
      </c>
      <c r="S27" s="663" t="e">
        <f t="shared" si="8"/>
        <v>#DIV/0!</v>
      </c>
      <c r="T27" s="663"/>
      <c r="U27" s="663" t="e">
        <f t="shared" si="9"/>
        <v>#DIV/0!</v>
      </c>
      <c r="V27" s="663" t="e">
        <f t="shared" si="10"/>
        <v>#DIV/0!</v>
      </c>
      <c r="W27" s="663" t="e">
        <f t="shared" si="11"/>
        <v>#DIV/0!</v>
      </c>
      <c r="X27" s="562"/>
      <c r="Y27" s="663" t="e">
        <f t="shared" si="12"/>
        <v>#DIV/0!</v>
      </c>
      <c r="Z27" s="663" t="e">
        <f t="shared" si="13"/>
        <v>#DIV/0!</v>
      </c>
      <c r="AA27" s="664" t="e">
        <f t="shared" si="14"/>
        <v>#DIV/0!</v>
      </c>
    </row>
    <row r="28" spans="1:27" s="546" customFormat="1" ht="1.5" customHeight="1">
      <c r="A28" s="536" t="s">
        <v>571</v>
      </c>
      <c r="B28" s="537">
        <v>1995</v>
      </c>
      <c r="C28" s="538">
        <v>1</v>
      </c>
      <c r="D28" s="563"/>
      <c r="E28" s="563"/>
      <c r="F28" s="563"/>
      <c r="G28" s="564"/>
      <c r="H28" s="564">
        <v>100</v>
      </c>
      <c r="I28" s="564">
        <f t="shared" si="0"/>
        <v>0</v>
      </c>
      <c r="J28" s="564">
        <f t="shared" si="1"/>
        <v>0</v>
      </c>
      <c r="K28" s="564">
        <f t="shared" si="2"/>
        <v>0</v>
      </c>
      <c r="L28" s="564"/>
      <c r="M28" s="560" t="e">
        <f t="shared" si="3"/>
        <v>#DIV/0!</v>
      </c>
      <c r="N28" s="560" t="e">
        <f t="shared" si="4"/>
        <v>#DIV/0!</v>
      </c>
      <c r="O28" s="560" t="e">
        <f t="shared" si="5"/>
        <v>#DIV/0!</v>
      </c>
      <c r="P28" s="564"/>
      <c r="Q28" s="665" t="e">
        <f t="shared" si="6"/>
        <v>#DIV/0!</v>
      </c>
      <c r="R28" s="665" t="e">
        <f t="shared" si="7"/>
        <v>#DIV/0!</v>
      </c>
      <c r="S28" s="665" t="e">
        <f t="shared" si="8"/>
        <v>#DIV/0!</v>
      </c>
      <c r="T28" s="665"/>
      <c r="U28" s="665" t="e">
        <f t="shared" si="9"/>
        <v>#DIV/0!</v>
      </c>
      <c r="V28" s="665" t="e">
        <f t="shared" si="10"/>
        <v>#DIV/0!</v>
      </c>
      <c r="W28" s="665" t="e">
        <f t="shared" si="11"/>
        <v>#DIV/0!</v>
      </c>
      <c r="X28" s="564"/>
      <c r="Y28" s="665" t="e">
        <f t="shared" si="12"/>
        <v>#DIV/0!</v>
      </c>
      <c r="Z28" s="665" t="e">
        <f t="shared" si="13"/>
        <v>#DIV/0!</v>
      </c>
      <c r="AA28" s="666" t="e">
        <f t="shared" si="14"/>
        <v>#DIV/0!</v>
      </c>
    </row>
    <row r="29" spans="1:27" s="546" customFormat="1" ht="1.5" customHeight="1">
      <c r="A29" s="520"/>
      <c r="B29" s="521" t="s">
        <v>141</v>
      </c>
      <c r="C29" s="522">
        <v>2</v>
      </c>
      <c r="D29" s="552"/>
      <c r="E29" s="552"/>
      <c r="F29" s="552"/>
      <c r="G29" s="553"/>
      <c r="H29" s="553">
        <v>100</v>
      </c>
      <c r="I29" s="553">
        <f t="shared" si="0"/>
        <v>0</v>
      </c>
      <c r="J29" s="553">
        <f t="shared" si="1"/>
        <v>0</v>
      </c>
      <c r="K29" s="553">
        <f t="shared" si="2"/>
        <v>0</v>
      </c>
      <c r="L29" s="553"/>
      <c r="M29" s="553" t="e">
        <f t="shared" si="3"/>
        <v>#DIV/0!</v>
      </c>
      <c r="N29" s="553" t="e">
        <f t="shared" si="4"/>
        <v>#DIV/0!</v>
      </c>
      <c r="O29" s="553" t="e">
        <f t="shared" si="5"/>
        <v>#DIV/0!</v>
      </c>
      <c r="P29" s="553"/>
      <c r="Q29" s="555" t="e">
        <f t="shared" si="6"/>
        <v>#DIV/0!</v>
      </c>
      <c r="R29" s="555" t="e">
        <f t="shared" si="7"/>
        <v>#DIV/0!</v>
      </c>
      <c r="S29" s="555" t="e">
        <f t="shared" si="8"/>
        <v>#DIV/0!</v>
      </c>
      <c r="T29" s="555"/>
      <c r="U29" s="555" t="e">
        <f t="shared" si="9"/>
        <v>#DIV/0!</v>
      </c>
      <c r="V29" s="555" t="e">
        <f t="shared" si="10"/>
        <v>#DIV/0!</v>
      </c>
      <c r="W29" s="555" t="e">
        <f t="shared" si="11"/>
        <v>#DIV/0!</v>
      </c>
      <c r="X29" s="553"/>
      <c r="Y29" s="555" t="e">
        <f t="shared" si="12"/>
        <v>#DIV/0!</v>
      </c>
      <c r="Z29" s="555" t="e">
        <f t="shared" si="13"/>
        <v>#DIV/0!</v>
      </c>
      <c r="AA29" s="556" t="e">
        <f t="shared" si="14"/>
        <v>#DIV/0!</v>
      </c>
    </row>
    <row r="30" spans="1:27" s="546" customFormat="1" ht="1.5" customHeight="1">
      <c r="A30" s="520"/>
      <c r="B30" s="521" t="s">
        <v>141</v>
      </c>
      <c r="C30" s="522">
        <v>3</v>
      </c>
      <c r="D30" s="552"/>
      <c r="E30" s="552"/>
      <c r="F30" s="552"/>
      <c r="G30" s="553"/>
      <c r="H30" s="553">
        <v>100</v>
      </c>
      <c r="I30" s="553">
        <f t="shared" si="0"/>
        <v>0</v>
      </c>
      <c r="J30" s="553">
        <f t="shared" si="1"/>
        <v>0</v>
      </c>
      <c r="K30" s="553">
        <f t="shared" si="2"/>
        <v>0</v>
      </c>
      <c r="L30" s="553"/>
      <c r="M30" s="553" t="e">
        <f t="shared" si="3"/>
        <v>#DIV/0!</v>
      </c>
      <c r="N30" s="553" t="e">
        <f t="shared" si="4"/>
        <v>#DIV/0!</v>
      </c>
      <c r="O30" s="553" t="e">
        <f t="shared" si="5"/>
        <v>#DIV/0!</v>
      </c>
      <c r="P30" s="553"/>
      <c r="Q30" s="555" t="e">
        <f t="shared" si="6"/>
        <v>#DIV/0!</v>
      </c>
      <c r="R30" s="555" t="e">
        <f t="shared" si="7"/>
        <v>#DIV/0!</v>
      </c>
      <c r="S30" s="555" t="e">
        <f t="shared" si="8"/>
        <v>#DIV/0!</v>
      </c>
      <c r="T30" s="555"/>
      <c r="U30" s="555" t="e">
        <f t="shared" si="9"/>
        <v>#DIV/0!</v>
      </c>
      <c r="V30" s="555" t="e">
        <f t="shared" si="10"/>
        <v>#DIV/0!</v>
      </c>
      <c r="W30" s="555" t="e">
        <f t="shared" si="11"/>
        <v>#DIV/0!</v>
      </c>
      <c r="X30" s="553"/>
      <c r="Y30" s="555" t="e">
        <f t="shared" si="12"/>
        <v>#DIV/0!</v>
      </c>
      <c r="Z30" s="555" t="e">
        <f t="shared" si="13"/>
        <v>#DIV/0!</v>
      </c>
      <c r="AA30" s="556" t="e">
        <f t="shared" si="14"/>
        <v>#DIV/0!</v>
      </c>
    </row>
    <row r="31" spans="1:27" s="546" customFormat="1" ht="1.5" customHeight="1">
      <c r="A31" s="520"/>
      <c r="B31" s="521" t="s">
        <v>141</v>
      </c>
      <c r="C31" s="522">
        <v>4</v>
      </c>
      <c r="D31" s="552"/>
      <c r="E31" s="552"/>
      <c r="F31" s="552"/>
      <c r="G31" s="553"/>
      <c r="H31" s="553">
        <v>100</v>
      </c>
      <c r="I31" s="553">
        <f t="shared" si="0"/>
        <v>0</v>
      </c>
      <c r="J31" s="553">
        <f t="shared" si="1"/>
        <v>0</v>
      </c>
      <c r="K31" s="553">
        <f t="shared" si="2"/>
        <v>0</v>
      </c>
      <c r="L31" s="553"/>
      <c r="M31" s="553" t="e">
        <f t="shared" si="3"/>
        <v>#DIV/0!</v>
      </c>
      <c r="N31" s="553" t="e">
        <f t="shared" si="4"/>
        <v>#DIV/0!</v>
      </c>
      <c r="O31" s="553" t="e">
        <f t="shared" si="5"/>
        <v>#DIV/0!</v>
      </c>
      <c r="P31" s="553"/>
      <c r="Q31" s="555" t="e">
        <f t="shared" si="6"/>
        <v>#DIV/0!</v>
      </c>
      <c r="R31" s="555" t="e">
        <f t="shared" si="7"/>
        <v>#DIV/0!</v>
      </c>
      <c r="S31" s="555" t="e">
        <f t="shared" si="8"/>
        <v>#DIV/0!</v>
      </c>
      <c r="T31" s="555"/>
      <c r="U31" s="555" t="e">
        <f t="shared" si="9"/>
        <v>#DIV/0!</v>
      </c>
      <c r="V31" s="555" t="e">
        <f t="shared" si="10"/>
        <v>#DIV/0!</v>
      </c>
      <c r="W31" s="555" t="e">
        <f t="shared" si="11"/>
        <v>#DIV/0!</v>
      </c>
      <c r="X31" s="553"/>
      <c r="Y31" s="555" t="e">
        <f t="shared" si="12"/>
        <v>#DIV/0!</v>
      </c>
      <c r="Z31" s="555" t="e">
        <f t="shared" si="13"/>
        <v>#DIV/0!</v>
      </c>
      <c r="AA31" s="556" t="e">
        <f t="shared" si="14"/>
        <v>#DIV/0!</v>
      </c>
    </row>
    <row r="32" spans="1:27" s="546" customFormat="1" ht="1.5" customHeight="1">
      <c r="A32" s="520"/>
      <c r="B32" s="521" t="s">
        <v>141</v>
      </c>
      <c r="C32" s="522">
        <v>5</v>
      </c>
      <c r="D32" s="552"/>
      <c r="E32" s="552"/>
      <c r="F32" s="552"/>
      <c r="G32" s="553"/>
      <c r="H32" s="553">
        <v>100</v>
      </c>
      <c r="I32" s="553">
        <f t="shared" si="0"/>
        <v>0</v>
      </c>
      <c r="J32" s="553">
        <f t="shared" si="1"/>
        <v>0</v>
      </c>
      <c r="K32" s="553">
        <f t="shared" si="2"/>
        <v>0</v>
      </c>
      <c r="L32" s="553"/>
      <c r="M32" s="553" t="e">
        <f t="shared" si="3"/>
        <v>#DIV/0!</v>
      </c>
      <c r="N32" s="553" t="e">
        <f t="shared" si="4"/>
        <v>#DIV/0!</v>
      </c>
      <c r="O32" s="553" t="e">
        <f t="shared" si="5"/>
        <v>#DIV/0!</v>
      </c>
      <c r="P32" s="553"/>
      <c r="Q32" s="555" t="e">
        <f t="shared" si="6"/>
        <v>#DIV/0!</v>
      </c>
      <c r="R32" s="555" t="e">
        <f t="shared" si="7"/>
        <v>#DIV/0!</v>
      </c>
      <c r="S32" s="555" t="e">
        <f t="shared" si="8"/>
        <v>#DIV/0!</v>
      </c>
      <c r="T32" s="555"/>
      <c r="U32" s="555" t="e">
        <f t="shared" si="9"/>
        <v>#DIV/0!</v>
      </c>
      <c r="V32" s="555" t="e">
        <f t="shared" si="10"/>
        <v>#DIV/0!</v>
      </c>
      <c r="W32" s="555" t="e">
        <f t="shared" si="11"/>
        <v>#DIV/0!</v>
      </c>
      <c r="X32" s="553"/>
      <c r="Y32" s="555" t="e">
        <f t="shared" si="12"/>
        <v>#DIV/0!</v>
      </c>
      <c r="Z32" s="555" t="e">
        <f t="shared" si="13"/>
        <v>#DIV/0!</v>
      </c>
      <c r="AA32" s="556" t="e">
        <f t="shared" si="14"/>
        <v>#DIV/0!</v>
      </c>
    </row>
    <row r="33" spans="1:27" s="546" customFormat="1" ht="1.5" customHeight="1">
      <c r="A33" s="520"/>
      <c r="B33" s="521" t="s">
        <v>141</v>
      </c>
      <c r="C33" s="522">
        <v>6</v>
      </c>
      <c r="D33" s="552"/>
      <c r="E33" s="552"/>
      <c r="F33" s="552"/>
      <c r="G33" s="553"/>
      <c r="H33" s="553">
        <v>100</v>
      </c>
      <c r="I33" s="553">
        <f t="shared" si="0"/>
        <v>0</v>
      </c>
      <c r="J33" s="553">
        <f t="shared" si="1"/>
        <v>0</v>
      </c>
      <c r="K33" s="553">
        <f t="shared" si="2"/>
        <v>0</v>
      </c>
      <c r="L33" s="553"/>
      <c r="M33" s="553" t="e">
        <f t="shared" si="3"/>
        <v>#DIV/0!</v>
      </c>
      <c r="N33" s="553" t="e">
        <f t="shared" si="4"/>
        <v>#DIV/0!</v>
      </c>
      <c r="O33" s="553" t="e">
        <f t="shared" si="5"/>
        <v>#DIV/0!</v>
      </c>
      <c r="P33" s="553"/>
      <c r="Q33" s="555" t="e">
        <f t="shared" si="6"/>
        <v>#DIV/0!</v>
      </c>
      <c r="R33" s="555" t="e">
        <f t="shared" si="7"/>
        <v>#DIV/0!</v>
      </c>
      <c r="S33" s="555" t="e">
        <f t="shared" si="8"/>
        <v>#DIV/0!</v>
      </c>
      <c r="T33" s="555"/>
      <c r="U33" s="555" t="e">
        <f t="shared" si="9"/>
        <v>#DIV/0!</v>
      </c>
      <c r="V33" s="555" t="e">
        <f t="shared" si="10"/>
        <v>#DIV/0!</v>
      </c>
      <c r="W33" s="555" t="e">
        <f t="shared" si="11"/>
        <v>#DIV/0!</v>
      </c>
      <c r="X33" s="553"/>
      <c r="Y33" s="555" t="e">
        <f t="shared" si="12"/>
        <v>#DIV/0!</v>
      </c>
      <c r="Z33" s="555" t="e">
        <f t="shared" si="13"/>
        <v>#DIV/0!</v>
      </c>
      <c r="AA33" s="556" t="e">
        <f t="shared" si="14"/>
        <v>#DIV/0!</v>
      </c>
    </row>
    <row r="34" spans="1:27" s="546" customFormat="1" ht="1.5" customHeight="1">
      <c r="A34" s="520"/>
      <c r="B34" s="521" t="s">
        <v>141</v>
      </c>
      <c r="C34" s="522">
        <v>7</v>
      </c>
      <c r="D34" s="552"/>
      <c r="E34" s="552"/>
      <c r="F34" s="552"/>
      <c r="G34" s="553"/>
      <c r="H34" s="553">
        <v>100</v>
      </c>
      <c r="I34" s="553">
        <f t="shared" si="0"/>
        <v>0</v>
      </c>
      <c r="J34" s="553">
        <f t="shared" si="1"/>
        <v>0</v>
      </c>
      <c r="K34" s="553">
        <f t="shared" si="2"/>
        <v>0</v>
      </c>
      <c r="L34" s="553"/>
      <c r="M34" s="553" t="e">
        <f t="shared" si="3"/>
        <v>#DIV/0!</v>
      </c>
      <c r="N34" s="553" t="e">
        <f t="shared" si="4"/>
        <v>#DIV/0!</v>
      </c>
      <c r="O34" s="553" t="e">
        <f t="shared" si="5"/>
        <v>#DIV/0!</v>
      </c>
      <c r="P34" s="553"/>
      <c r="Q34" s="555" t="e">
        <f t="shared" si="6"/>
        <v>#DIV/0!</v>
      </c>
      <c r="R34" s="555" t="e">
        <f t="shared" si="7"/>
        <v>#DIV/0!</v>
      </c>
      <c r="S34" s="555" t="e">
        <f t="shared" si="8"/>
        <v>#DIV/0!</v>
      </c>
      <c r="T34" s="555"/>
      <c r="U34" s="555" t="e">
        <f t="shared" si="9"/>
        <v>#DIV/0!</v>
      </c>
      <c r="V34" s="555" t="e">
        <f t="shared" si="10"/>
        <v>#DIV/0!</v>
      </c>
      <c r="W34" s="555" t="e">
        <f t="shared" si="11"/>
        <v>#DIV/0!</v>
      </c>
      <c r="X34" s="553"/>
      <c r="Y34" s="555" t="e">
        <f t="shared" si="12"/>
        <v>#DIV/0!</v>
      </c>
      <c r="Z34" s="555" t="e">
        <f t="shared" si="13"/>
        <v>#DIV/0!</v>
      </c>
      <c r="AA34" s="556" t="e">
        <f t="shared" si="14"/>
        <v>#DIV/0!</v>
      </c>
    </row>
    <row r="35" spans="1:27" s="546" customFormat="1" ht="1.5" customHeight="1">
      <c r="A35" s="520"/>
      <c r="B35" s="521" t="s">
        <v>141</v>
      </c>
      <c r="C35" s="522">
        <v>8</v>
      </c>
      <c r="D35" s="552"/>
      <c r="E35" s="552"/>
      <c r="F35" s="552"/>
      <c r="G35" s="553"/>
      <c r="H35" s="553">
        <v>100</v>
      </c>
      <c r="I35" s="553">
        <f t="shared" si="0"/>
        <v>0</v>
      </c>
      <c r="J35" s="553">
        <f t="shared" si="1"/>
        <v>0</v>
      </c>
      <c r="K35" s="553">
        <f t="shared" si="2"/>
        <v>0</v>
      </c>
      <c r="L35" s="553"/>
      <c r="M35" s="553" t="e">
        <f t="shared" si="3"/>
        <v>#DIV/0!</v>
      </c>
      <c r="N35" s="553" t="e">
        <f t="shared" si="4"/>
        <v>#DIV/0!</v>
      </c>
      <c r="O35" s="553" t="e">
        <f t="shared" si="5"/>
        <v>#DIV/0!</v>
      </c>
      <c r="P35" s="553"/>
      <c r="Q35" s="555" t="e">
        <f t="shared" si="6"/>
        <v>#DIV/0!</v>
      </c>
      <c r="R35" s="555" t="e">
        <f t="shared" si="7"/>
        <v>#DIV/0!</v>
      </c>
      <c r="S35" s="555" t="e">
        <f t="shared" si="8"/>
        <v>#DIV/0!</v>
      </c>
      <c r="T35" s="555"/>
      <c r="U35" s="555" t="e">
        <f t="shared" si="9"/>
        <v>#DIV/0!</v>
      </c>
      <c r="V35" s="555" t="e">
        <f t="shared" si="10"/>
        <v>#DIV/0!</v>
      </c>
      <c r="W35" s="555" t="e">
        <f t="shared" si="11"/>
        <v>#DIV/0!</v>
      </c>
      <c r="X35" s="553"/>
      <c r="Y35" s="555" t="e">
        <f t="shared" si="12"/>
        <v>#DIV/0!</v>
      </c>
      <c r="Z35" s="555" t="e">
        <f t="shared" si="13"/>
        <v>#DIV/0!</v>
      </c>
      <c r="AA35" s="556" t="e">
        <f t="shared" si="14"/>
        <v>#DIV/0!</v>
      </c>
    </row>
    <row r="36" spans="1:27" s="546" customFormat="1" ht="1.5" customHeight="1">
      <c r="A36" s="520"/>
      <c r="B36" s="521" t="s">
        <v>141</v>
      </c>
      <c r="C36" s="522">
        <v>9</v>
      </c>
      <c r="D36" s="552"/>
      <c r="E36" s="552"/>
      <c r="F36" s="552"/>
      <c r="G36" s="553"/>
      <c r="H36" s="553">
        <v>100</v>
      </c>
      <c r="I36" s="553">
        <f t="shared" si="0"/>
        <v>0</v>
      </c>
      <c r="J36" s="553">
        <f t="shared" si="1"/>
        <v>0</v>
      </c>
      <c r="K36" s="553">
        <f t="shared" si="2"/>
        <v>0</v>
      </c>
      <c r="L36" s="553"/>
      <c r="M36" s="553" t="e">
        <f t="shared" si="3"/>
        <v>#DIV/0!</v>
      </c>
      <c r="N36" s="553" t="e">
        <f t="shared" si="4"/>
        <v>#DIV/0!</v>
      </c>
      <c r="O36" s="553" t="e">
        <f t="shared" si="5"/>
        <v>#DIV/0!</v>
      </c>
      <c r="P36" s="553"/>
      <c r="Q36" s="555" t="e">
        <f t="shared" si="6"/>
        <v>#DIV/0!</v>
      </c>
      <c r="R36" s="555" t="e">
        <f t="shared" si="7"/>
        <v>#DIV/0!</v>
      </c>
      <c r="S36" s="555" t="e">
        <f t="shared" si="8"/>
        <v>#DIV/0!</v>
      </c>
      <c r="T36" s="555"/>
      <c r="U36" s="555" t="e">
        <f t="shared" si="9"/>
        <v>#DIV/0!</v>
      </c>
      <c r="V36" s="555" t="e">
        <f t="shared" si="10"/>
        <v>#DIV/0!</v>
      </c>
      <c r="W36" s="555" t="e">
        <f t="shared" si="11"/>
        <v>#DIV/0!</v>
      </c>
      <c r="X36" s="553"/>
      <c r="Y36" s="555" t="e">
        <f t="shared" si="12"/>
        <v>#DIV/0!</v>
      </c>
      <c r="Z36" s="555" t="e">
        <f t="shared" si="13"/>
        <v>#DIV/0!</v>
      </c>
      <c r="AA36" s="556" t="e">
        <f t="shared" si="14"/>
        <v>#DIV/0!</v>
      </c>
    </row>
    <row r="37" spans="1:27" s="546" customFormat="1" ht="1.5" customHeight="1">
      <c r="A37" s="520"/>
      <c r="B37" s="521" t="s">
        <v>141</v>
      </c>
      <c r="C37" s="522">
        <v>10</v>
      </c>
      <c r="D37" s="552"/>
      <c r="E37" s="552"/>
      <c r="F37" s="552"/>
      <c r="G37" s="553"/>
      <c r="H37" s="553">
        <v>100</v>
      </c>
      <c r="I37" s="553">
        <f t="shared" si="0"/>
        <v>0</v>
      </c>
      <c r="J37" s="553">
        <f t="shared" si="1"/>
        <v>0</v>
      </c>
      <c r="K37" s="553">
        <f t="shared" si="2"/>
        <v>0</v>
      </c>
      <c r="L37" s="553"/>
      <c r="M37" s="553" t="e">
        <f t="shared" si="3"/>
        <v>#DIV/0!</v>
      </c>
      <c r="N37" s="553" t="e">
        <f t="shared" si="4"/>
        <v>#DIV/0!</v>
      </c>
      <c r="O37" s="553" t="e">
        <f t="shared" si="5"/>
        <v>#DIV/0!</v>
      </c>
      <c r="P37" s="553"/>
      <c r="Q37" s="555" t="e">
        <f t="shared" si="6"/>
        <v>#DIV/0!</v>
      </c>
      <c r="R37" s="555" t="e">
        <f t="shared" si="7"/>
        <v>#DIV/0!</v>
      </c>
      <c r="S37" s="555" t="e">
        <f t="shared" si="8"/>
        <v>#DIV/0!</v>
      </c>
      <c r="T37" s="555"/>
      <c r="U37" s="555" t="e">
        <f t="shared" si="9"/>
        <v>#DIV/0!</v>
      </c>
      <c r="V37" s="555" t="e">
        <f t="shared" si="10"/>
        <v>#DIV/0!</v>
      </c>
      <c r="W37" s="555" t="e">
        <f t="shared" si="11"/>
        <v>#DIV/0!</v>
      </c>
      <c r="X37" s="553"/>
      <c r="Y37" s="555" t="e">
        <f t="shared" si="12"/>
        <v>#DIV/0!</v>
      </c>
      <c r="Z37" s="555" t="e">
        <f t="shared" si="13"/>
        <v>#DIV/0!</v>
      </c>
      <c r="AA37" s="556" t="e">
        <f t="shared" si="14"/>
        <v>#DIV/0!</v>
      </c>
    </row>
    <row r="38" spans="1:27" s="546" customFormat="1" ht="1.5" customHeight="1">
      <c r="A38" s="520"/>
      <c r="B38" s="521" t="s">
        <v>141</v>
      </c>
      <c r="C38" s="522">
        <v>11</v>
      </c>
      <c r="D38" s="552"/>
      <c r="E38" s="552"/>
      <c r="F38" s="552"/>
      <c r="G38" s="553"/>
      <c r="H38" s="553">
        <v>100</v>
      </c>
      <c r="I38" s="553">
        <f t="shared" si="0"/>
        <v>0</v>
      </c>
      <c r="J38" s="553">
        <f t="shared" si="1"/>
        <v>0</v>
      </c>
      <c r="K38" s="553">
        <f t="shared" si="2"/>
        <v>0</v>
      </c>
      <c r="L38" s="553"/>
      <c r="M38" s="553" t="e">
        <f t="shared" si="3"/>
        <v>#DIV/0!</v>
      </c>
      <c r="N38" s="553" t="e">
        <f t="shared" si="4"/>
        <v>#DIV/0!</v>
      </c>
      <c r="O38" s="553" t="e">
        <f t="shared" si="5"/>
        <v>#DIV/0!</v>
      </c>
      <c r="P38" s="553"/>
      <c r="Q38" s="555" t="e">
        <f t="shared" si="6"/>
        <v>#DIV/0!</v>
      </c>
      <c r="R38" s="555" t="e">
        <f t="shared" si="7"/>
        <v>#DIV/0!</v>
      </c>
      <c r="S38" s="555" t="e">
        <f t="shared" si="8"/>
        <v>#DIV/0!</v>
      </c>
      <c r="T38" s="555"/>
      <c r="U38" s="555" t="e">
        <f t="shared" si="9"/>
        <v>#DIV/0!</v>
      </c>
      <c r="V38" s="555" t="e">
        <f t="shared" si="10"/>
        <v>#DIV/0!</v>
      </c>
      <c r="W38" s="555" t="e">
        <f t="shared" si="11"/>
        <v>#DIV/0!</v>
      </c>
      <c r="X38" s="553"/>
      <c r="Y38" s="555" t="e">
        <f t="shared" si="12"/>
        <v>#DIV/0!</v>
      </c>
      <c r="Z38" s="555" t="e">
        <f t="shared" si="13"/>
        <v>#DIV/0!</v>
      </c>
      <c r="AA38" s="556" t="e">
        <f t="shared" si="14"/>
        <v>#DIV/0!</v>
      </c>
    </row>
    <row r="39" spans="1:27" s="546" customFormat="1" ht="1.5" customHeight="1">
      <c r="A39" s="524"/>
      <c r="B39" s="525" t="s">
        <v>141</v>
      </c>
      <c r="C39" s="526">
        <v>12</v>
      </c>
      <c r="D39" s="557"/>
      <c r="E39" s="557"/>
      <c r="F39" s="557"/>
      <c r="G39" s="558"/>
      <c r="H39" s="558">
        <v>100</v>
      </c>
      <c r="I39" s="558">
        <f t="shared" si="0"/>
        <v>0</v>
      </c>
      <c r="J39" s="558">
        <f t="shared" si="1"/>
        <v>0</v>
      </c>
      <c r="K39" s="558">
        <f t="shared" si="2"/>
        <v>0</v>
      </c>
      <c r="L39" s="558"/>
      <c r="M39" s="562" t="e">
        <f t="shared" si="3"/>
        <v>#DIV/0!</v>
      </c>
      <c r="N39" s="562" t="e">
        <f t="shared" si="4"/>
        <v>#DIV/0!</v>
      </c>
      <c r="O39" s="562" t="e">
        <f t="shared" si="5"/>
        <v>#DIV/0!</v>
      </c>
      <c r="P39" s="558"/>
      <c r="Q39" s="659" t="e">
        <f t="shared" si="6"/>
        <v>#DIV/0!</v>
      </c>
      <c r="R39" s="659" t="e">
        <f t="shared" si="7"/>
        <v>#DIV/0!</v>
      </c>
      <c r="S39" s="659" t="e">
        <f t="shared" si="8"/>
        <v>#DIV/0!</v>
      </c>
      <c r="T39" s="659"/>
      <c r="U39" s="659" t="e">
        <f t="shared" si="9"/>
        <v>#DIV/0!</v>
      </c>
      <c r="V39" s="659" t="e">
        <f t="shared" si="10"/>
        <v>#DIV/0!</v>
      </c>
      <c r="W39" s="659" t="e">
        <f t="shared" si="11"/>
        <v>#DIV/0!</v>
      </c>
      <c r="X39" s="558"/>
      <c r="Y39" s="659" t="e">
        <f t="shared" si="12"/>
        <v>#DIV/0!</v>
      </c>
      <c r="Z39" s="659" t="e">
        <f t="shared" si="13"/>
        <v>#DIV/0!</v>
      </c>
      <c r="AA39" s="660" t="e">
        <f t="shared" si="14"/>
        <v>#DIV/0!</v>
      </c>
    </row>
    <row r="40" spans="1:27" s="546" customFormat="1" ht="1.5" customHeight="1">
      <c r="A40" s="528" t="s">
        <v>572</v>
      </c>
      <c r="B40" s="529">
        <v>1996</v>
      </c>
      <c r="C40" s="530">
        <v>1</v>
      </c>
      <c r="D40" s="559"/>
      <c r="E40" s="559"/>
      <c r="F40" s="559"/>
      <c r="G40" s="560"/>
      <c r="H40" s="560">
        <v>100</v>
      </c>
      <c r="I40" s="560">
        <f t="shared" si="0"/>
        <v>0</v>
      </c>
      <c r="J40" s="560">
        <f t="shared" si="1"/>
        <v>0</v>
      </c>
      <c r="K40" s="560">
        <f t="shared" si="2"/>
        <v>0</v>
      </c>
      <c r="L40" s="560"/>
      <c r="M40" s="564" t="e">
        <f t="shared" si="3"/>
        <v>#DIV/0!</v>
      </c>
      <c r="N40" s="564" t="e">
        <f t="shared" si="4"/>
        <v>#DIV/0!</v>
      </c>
      <c r="O40" s="564" t="e">
        <f t="shared" si="5"/>
        <v>#DIV/0!</v>
      </c>
      <c r="P40" s="560"/>
      <c r="Q40" s="661" t="e">
        <f t="shared" si="6"/>
        <v>#DIV/0!</v>
      </c>
      <c r="R40" s="661" t="e">
        <f t="shared" si="7"/>
        <v>#DIV/0!</v>
      </c>
      <c r="S40" s="661" t="e">
        <f t="shared" si="8"/>
        <v>#DIV/0!</v>
      </c>
      <c r="T40" s="661"/>
      <c r="U40" s="661" t="e">
        <f t="shared" si="9"/>
        <v>#DIV/0!</v>
      </c>
      <c r="V40" s="661" t="e">
        <f t="shared" si="10"/>
        <v>#DIV/0!</v>
      </c>
      <c r="W40" s="661" t="e">
        <f t="shared" si="11"/>
        <v>#DIV/0!</v>
      </c>
      <c r="X40" s="560"/>
      <c r="Y40" s="661" t="e">
        <f t="shared" si="12"/>
        <v>#DIV/0!</v>
      </c>
      <c r="Z40" s="661" t="e">
        <f t="shared" si="13"/>
        <v>#DIV/0!</v>
      </c>
      <c r="AA40" s="662" t="e">
        <f t="shared" si="14"/>
        <v>#DIV/0!</v>
      </c>
    </row>
    <row r="41" spans="1:27" s="546" customFormat="1" ht="1.5" customHeight="1">
      <c r="A41" s="520"/>
      <c r="B41" s="521" t="s">
        <v>141</v>
      </c>
      <c r="C41" s="522">
        <v>2</v>
      </c>
      <c r="D41" s="552"/>
      <c r="E41" s="552"/>
      <c r="F41" s="552"/>
      <c r="G41" s="553"/>
      <c r="H41" s="553">
        <v>100</v>
      </c>
      <c r="I41" s="553">
        <f t="shared" si="0"/>
        <v>0</v>
      </c>
      <c r="J41" s="553">
        <f t="shared" si="1"/>
        <v>0</v>
      </c>
      <c r="K41" s="553">
        <f t="shared" si="2"/>
        <v>0</v>
      </c>
      <c r="L41" s="553"/>
      <c r="M41" s="553" t="e">
        <f t="shared" si="3"/>
        <v>#DIV/0!</v>
      </c>
      <c r="N41" s="553" t="e">
        <f t="shared" si="4"/>
        <v>#DIV/0!</v>
      </c>
      <c r="O41" s="553" t="e">
        <f t="shared" si="5"/>
        <v>#DIV/0!</v>
      </c>
      <c r="P41" s="553"/>
      <c r="Q41" s="555" t="e">
        <f t="shared" si="6"/>
        <v>#DIV/0!</v>
      </c>
      <c r="R41" s="555" t="e">
        <f t="shared" si="7"/>
        <v>#DIV/0!</v>
      </c>
      <c r="S41" s="555" t="e">
        <f t="shared" si="8"/>
        <v>#DIV/0!</v>
      </c>
      <c r="T41" s="555"/>
      <c r="U41" s="555" t="e">
        <f t="shared" si="9"/>
        <v>#DIV/0!</v>
      </c>
      <c r="V41" s="555" t="e">
        <f t="shared" si="10"/>
        <v>#DIV/0!</v>
      </c>
      <c r="W41" s="555" t="e">
        <f t="shared" si="11"/>
        <v>#DIV/0!</v>
      </c>
      <c r="X41" s="553"/>
      <c r="Y41" s="555" t="e">
        <f t="shared" si="12"/>
        <v>#DIV/0!</v>
      </c>
      <c r="Z41" s="555" t="e">
        <f t="shared" si="13"/>
        <v>#DIV/0!</v>
      </c>
      <c r="AA41" s="556" t="e">
        <f t="shared" si="14"/>
        <v>#DIV/0!</v>
      </c>
    </row>
    <row r="42" spans="1:27" s="546" customFormat="1" ht="1.5" customHeight="1">
      <c r="A42" s="520"/>
      <c r="B42" s="521" t="s">
        <v>141</v>
      </c>
      <c r="C42" s="522">
        <v>3</v>
      </c>
      <c r="D42" s="552"/>
      <c r="E42" s="552"/>
      <c r="F42" s="552"/>
      <c r="G42" s="553"/>
      <c r="H42" s="553">
        <v>100</v>
      </c>
      <c r="I42" s="553">
        <f t="shared" si="0"/>
        <v>0</v>
      </c>
      <c r="J42" s="553">
        <f t="shared" si="1"/>
        <v>0</v>
      </c>
      <c r="K42" s="553">
        <f t="shared" si="2"/>
        <v>0</v>
      </c>
      <c r="L42" s="553"/>
      <c r="M42" s="553" t="e">
        <f t="shared" si="3"/>
        <v>#DIV/0!</v>
      </c>
      <c r="N42" s="553" t="e">
        <f t="shared" si="4"/>
        <v>#DIV/0!</v>
      </c>
      <c r="O42" s="553" t="e">
        <f t="shared" si="5"/>
        <v>#DIV/0!</v>
      </c>
      <c r="P42" s="553"/>
      <c r="Q42" s="555" t="e">
        <f t="shared" si="6"/>
        <v>#DIV/0!</v>
      </c>
      <c r="R42" s="555" t="e">
        <f t="shared" si="7"/>
        <v>#DIV/0!</v>
      </c>
      <c r="S42" s="555" t="e">
        <f t="shared" si="8"/>
        <v>#DIV/0!</v>
      </c>
      <c r="T42" s="555"/>
      <c r="U42" s="555" t="e">
        <f t="shared" si="9"/>
        <v>#DIV/0!</v>
      </c>
      <c r="V42" s="555" t="e">
        <f t="shared" si="10"/>
        <v>#DIV/0!</v>
      </c>
      <c r="W42" s="555" t="e">
        <f t="shared" si="11"/>
        <v>#DIV/0!</v>
      </c>
      <c r="X42" s="553"/>
      <c r="Y42" s="555" t="e">
        <f t="shared" si="12"/>
        <v>#DIV/0!</v>
      </c>
      <c r="Z42" s="555" t="e">
        <f t="shared" si="13"/>
        <v>#DIV/0!</v>
      </c>
      <c r="AA42" s="556" t="e">
        <f t="shared" si="14"/>
        <v>#DIV/0!</v>
      </c>
    </row>
    <row r="43" spans="1:27" s="546" customFormat="1" ht="1.5" customHeight="1">
      <c r="A43" s="520"/>
      <c r="B43" s="521" t="s">
        <v>141</v>
      </c>
      <c r="C43" s="522">
        <v>4</v>
      </c>
      <c r="D43" s="552"/>
      <c r="E43" s="552"/>
      <c r="F43" s="552"/>
      <c r="G43" s="553"/>
      <c r="H43" s="553">
        <v>100</v>
      </c>
      <c r="I43" s="553">
        <f t="shared" si="0"/>
        <v>0</v>
      </c>
      <c r="J43" s="553">
        <f t="shared" si="1"/>
        <v>0</v>
      </c>
      <c r="K43" s="553">
        <f t="shared" si="2"/>
        <v>0</v>
      </c>
      <c r="L43" s="553"/>
      <c r="M43" s="553" t="e">
        <f t="shared" si="3"/>
        <v>#DIV/0!</v>
      </c>
      <c r="N43" s="553" t="e">
        <f t="shared" si="4"/>
        <v>#DIV/0!</v>
      </c>
      <c r="O43" s="553" t="e">
        <f t="shared" si="5"/>
        <v>#DIV/0!</v>
      </c>
      <c r="P43" s="553"/>
      <c r="Q43" s="555" t="e">
        <f t="shared" si="6"/>
        <v>#DIV/0!</v>
      </c>
      <c r="R43" s="555" t="e">
        <f t="shared" si="7"/>
        <v>#DIV/0!</v>
      </c>
      <c r="S43" s="555" t="e">
        <f t="shared" si="8"/>
        <v>#DIV/0!</v>
      </c>
      <c r="T43" s="555"/>
      <c r="U43" s="555" t="e">
        <f t="shared" si="9"/>
        <v>#DIV/0!</v>
      </c>
      <c r="V43" s="555" t="e">
        <f t="shared" si="10"/>
        <v>#DIV/0!</v>
      </c>
      <c r="W43" s="555" t="e">
        <f t="shared" si="11"/>
        <v>#DIV/0!</v>
      </c>
      <c r="X43" s="553"/>
      <c r="Y43" s="555" t="e">
        <f t="shared" si="12"/>
        <v>#DIV/0!</v>
      </c>
      <c r="Z43" s="555" t="e">
        <f t="shared" si="13"/>
        <v>#DIV/0!</v>
      </c>
      <c r="AA43" s="556" t="e">
        <f t="shared" si="14"/>
        <v>#DIV/0!</v>
      </c>
    </row>
    <row r="44" spans="1:27" s="546" customFormat="1" ht="1.5" customHeight="1">
      <c r="A44" s="520"/>
      <c r="B44" s="521" t="s">
        <v>141</v>
      </c>
      <c r="C44" s="522">
        <v>5</v>
      </c>
      <c r="D44" s="552"/>
      <c r="E44" s="552"/>
      <c r="F44" s="552"/>
      <c r="G44" s="553"/>
      <c r="H44" s="553">
        <v>100</v>
      </c>
      <c r="I44" s="553">
        <f t="shared" si="0"/>
        <v>0</v>
      </c>
      <c r="J44" s="553">
        <f t="shared" si="1"/>
        <v>0</v>
      </c>
      <c r="K44" s="553">
        <f t="shared" si="2"/>
        <v>0</v>
      </c>
      <c r="L44" s="553"/>
      <c r="M44" s="553" t="e">
        <f t="shared" si="3"/>
        <v>#DIV/0!</v>
      </c>
      <c r="N44" s="553" t="e">
        <f t="shared" si="4"/>
        <v>#DIV/0!</v>
      </c>
      <c r="O44" s="553" t="e">
        <f t="shared" si="5"/>
        <v>#DIV/0!</v>
      </c>
      <c r="P44" s="553"/>
      <c r="Q44" s="555" t="e">
        <f t="shared" si="6"/>
        <v>#DIV/0!</v>
      </c>
      <c r="R44" s="555" t="e">
        <f t="shared" si="7"/>
        <v>#DIV/0!</v>
      </c>
      <c r="S44" s="555" t="e">
        <f t="shared" si="8"/>
        <v>#DIV/0!</v>
      </c>
      <c r="T44" s="555"/>
      <c r="U44" s="555" t="e">
        <f t="shared" si="9"/>
        <v>#DIV/0!</v>
      </c>
      <c r="V44" s="555" t="e">
        <f t="shared" si="10"/>
        <v>#DIV/0!</v>
      </c>
      <c r="W44" s="555" t="e">
        <f t="shared" si="11"/>
        <v>#DIV/0!</v>
      </c>
      <c r="X44" s="553"/>
      <c r="Y44" s="555" t="e">
        <f t="shared" si="12"/>
        <v>#DIV/0!</v>
      </c>
      <c r="Z44" s="555" t="e">
        <f t="shared" si="13"/>
        <v>#DIV/0!</v>
      </c>
      <c r="AA44" s="556" t="e">
        <f t="shared" si="14"/>
        <v>#DIV/0!</v>
      </c>
    </row>
    <row r="45" spans="1:27" s="546" customFormat="1" ht="1.5" customHeight="1">
      <c r="A45" s="520"/>
      <c r="B45" s="521" t="s">
        <v>141</v>
      </c>
      <c r="C45" s="522">
        <v>6</v>
      </c>
      <c r="D45" s="552"/>
      <c r="E45" s="552"/>
      <c r="F45" s="552"/>
      <c r="G45" s="553"/>
      <c r="H45" s="553">
        <v>100</v>
      </c>
      <c r="I45" s="553">
        <f t="shared" si="0"/>
        <v>0</v>
      </c>
      <c r="J45" s="553">
        <f t="shared" si="1"/>
        <v>0</v>
      </c>
      <c r="K45" s="553">
        <f t="shared" si="2"/>
        <v>0</v>
      </c>
      <c r="L45" s="553"/>
      <c r="M45" s="553" t="e">
        <f t="shared" si="3"/>
        <v>#DIV/0!</v>
      </c>
      <c r="N45" s="553" t="e">
        <f t="shared" si="4"/>
        <v>#DIV/0!</v>
      </c>
      <c r="O45" s="553" t="e">
        <f t="shared" si="5"/>
        <v>#DIV/0!</v>
      </c>
      <c r="P45" s="553"/>
      <c r="Q45" s="555" t="e">
        <f t="shared" si="6"/>
        <v>#DIV/0!</v>
      </c>
      <c r="R45" s="555" t="e">
        <f t="shared" si="7"/>
        <v>#DIV/0!</v>
      </c>
      <c r="S45" s="555" t="e">
        <f t="shared" si="8"/>
        <v>#DIV/0!</v>
      </c>
      <c r="T45" s="555"/>
      <c r="U45" s="555" t="e">
        <f t="shared" si="9"/>
        <v>#DIV/0!</v>
      </c>
      <c r="V45" s="555" t="e">
        <f t="shared" si="10"/>
        <v>#DIV/0!</v>
      </c>
      <c r="W45" s="555" t="e">
        <f t="shared" si="11"/>
        <v>#DIV/0!</v>
      </c>
      <c r="X45" s="553"/>
      <c r="Y45" s="555" t="e">
        <f t="shared" si="12"/>
        <v>#DIV/0!</v>
      </c>
      <c r="Z45" s="555" t="e">
        <f t="shared" si="13"/>
        <v>#DIV/0!</v>
      </c>
      <c r="AA45" s="556" t="e">
        <f t="shared" si="14"/>
        <v>#DIV/0!</v>
      </c>
    </row>
    <row r="46" spans="1:27" s="546" customFormat="1" ht="1.5" customHeight="1">
      <c r="A46" s="520"/>
      <c r="B46" s="521" t="s">
        <v>141</v>
      </c>
      <c r="C46" s="522">
        <v>7</v>
      </c>
      <c r="D46" s="552"/>
      <c r="E46" s="552"/>
      <c r="F46" s="552"/>
      <c r="G46" s="553"/>
      <c r="H46" s="553">
        <v>100</v>
      </c>
      <c r="I46" s="553">
        <f t="shared" si="0"/>
        <v>0</v>
      </c>
      <c r="J46" s="553">
        <f t="shared" si="1"/>
        <v>0</v>
      </c>
      <c r="K46" s="553">
        <f t="shared" si="2"/>
        <v>0</v>
      </c>
      <c r="L46" s="553"/>
      <c r="M46" s="553" t="e">
        <f t="shared" si="3"/>
        <v>#DIV/0!</v>
      </c>
      <c r="N46" s="553" t="e">
        <f t="shared" si="4"/>
        <v>#DIV/0!</v>
      </c>
      <c r="O46" s="553" t="e">
        <f t="shared" si="5"/>
        <v>#DIV/0!</v>
      </c>
      <c r="P46" s="553"/>
      <c r="Q46" s="555" t="e">
        <f t="shared" si="6"/>
        <v>#DIV/0!</v>
      </c>
      <c r="R46" s="555" t="e">
        <f t="shared" si="7"/>
        <v>#DIV/0!</v>
      </c>
      <c r="S46" s="555" t="e">
        <f t="shared" si="8"/>
        <v>#DIV/0!</v>
      </c>
      <c r="T46" s="555"/>
      <c r="U46" s="555" t="e">
        <f t="shared" si="9"/>
        <v>#DIV/0!</v>
      </c>
      <c r="V46" s="555" t="e">
        <f t="shared" si="10"/>
        <v>#DIV/0!</v>
      </c>
      <c r="W46" s="555" t="e">
        <f t="shared" si="11"/>
        <v>#DIV/0!</v>
      </c>
      <c r="X46" s="553"/>
      <c r="Y46" s="555" t="e">
        <f t="shared" si="12"/>
        <v>#DIV/0!</v>
      </c>
      <c r="Z46" s="555" t="e">
        <f t="shared" si="13"/>
        <v>#DIV/0!</v>
      </c>
      <c r="AA46" s="556" t="e">
        <f t="shared" si="14"/>
        <v>#DIV/0!</v>
      </c>
    </row>
    <row r="47" spans="1:27" s="546" customFormat="1" ht="1.5" customHeight="1">
      <c r="A47" s="520"/>
      <c r="B47" s="521" t="s">
        <v>141</v>
      </c>
      <c r="C47" s="522">
        <v>8</v>
      </c>
      <c r="D47" s="552"/>
      <c r="E47" s="552"/>
      <c r="F47" s="552"/>
      <c r="G47" s="553"/>
      <c r="H47" s="553">
        <v>100</v>
      </c>
      <c r="I47" s="553">
        <f t="shared" si="0"/>
        <v>0</v>
      </c>
      <c r="J47" s="553">
        <f t="shared" si="1"/>
        <v>0</v>
      </c>
      <c r="K47" s="553">
        <f t="shared" si="2"/>
        <v>0</v>
      </c>
      <c r="L47" s="553"/>
      <c r="M47" s="553" t="e">
        <f t="shared" si="3"/>
        <v>#DIV/0!</v>
      </c>
      <c r="N47" s="553" t="e">
        <f t="shared" si="4"/>
        <v>#DIV/0!</v>
      </c>
      <c r="O47" s="553" t="e">
        <f t="shared" si="5"/>
        <v>#DIV/0!</v>
      </c>
      <c r="P47" s="553"/>
      <c r="Q47" s="555" t="e">
        <f t="shared" si="6"/>
        <v>#DIV/0!</v>
      </c>
      <c r="R47" s="555" t="e">
        <f t="shared" si="7"/>
        <v>#DIV/0!</v>
      </c>
      <c r="S47" s="555" t="e">
        <f t="shared" si="8"/>
        <v>#DIV/0!</v>
      </c>
      <c r="T47" s="555"/>
      <c r="U47" s="555" t="e">
        <f t="shared" si="9"/>
        <v>#DIV/0!</v>
      </c>
      <c r="V47" s="555" t="e">
        <f t="shared" si="10"/>
        <v>#DIV/0!</v>
      </c>
      <c r="W47" s="555" t="e">
        <f t="shared" si="11"/>
        <v>#DIV/0!</v>
      </c>
      <c r="X47" s="553"/>
      <c r="Y47" s="555" t="e">
        <f t="shared" si="12"/>
        <v>#DIV/0!</v>
      </c>
      <c r="Z47" s="555" t="e">
        <f t="shared" si="13"/>
        <v>#DIV/0!</v>
      </c>
      <c r="AA47" s="556" t="e">
        <f t="shared" si="14"/>
        <v>#DIV/0!</v>
      </c>
    </row>
    <row r="48" spans="1:27" s="546" customFormat="1" ht="1.5" customHeight="1">
      <c r="A48" s="520"/>
      <c r="B48" s="521" t="s">
        <v>141</v>
      </c>
      <c r="C48" s="522">
        <v>9</v>
      </c>
      <c r="D48" s="552"/>
      <c r="E48" s="552"/>
      <c r="F48" s="552"/>
      <c r="G48" s="553"/>
      <c r="H48" s="553">
        <v>100</v>
      </c>
      <c r="I48" s="553">
        <f t="shared" si="0"/>
        <v>0</v>
      </c>
      <c r="J48" s="553">
        <f t="shared" si="1"/>
        <v>0</v>
      </c>
      <c r="K48" s="553">
        <f t="shared" si="2"/>
        <v>0</v>
      </c>
      <c r="L48" s="553"/>
      <c r="M48" s="553" t="e">
        <f t="shared" si="3"/>
        <v>#DIV/0!</v>
      </c>
      <c r="N48" s="553" t="e">
        <f t="shared" si="4"/>
        <v>#DIV/0!</v>
      </c>
      <c r="O48" s="553" t="e">
        <f t="shared" si="5"/>
        <v>#DIV/0!</v>
      </c>
      <c r="P48" s="553"/>
      <c r="Q48" s="555" t="e">
        <f t="shared" si="6"/>
        <v>#DIV/0!</v>
      </c>
      <c r="R48" s="555" t="e">
        <f t="shared" si="7"/>
        <v>#DIV/0!</v>
      </c>
      <c r="S48" s="555" t="e">
        <f t="shared" si="8"/>
        <v>#DIV/0!</v>
      </c>
      <c r="T48" s="555"/>
      <c r="U48" s="555" t="e">
        <f t="shared" si="9"/>
        <v>#DIV/0!</v>
      </c>
      <c r="V48" s="555" t="e">
        <f t="shared" si="10"/>
        <v>#DIV/0!</v>
      </c>
      <c r="W48" s="555" t="e">
        <f t="shared" si="11"/>
        <v>#DIV/0!</v>
      </c>
      <c r="X48" s="553"/>
      <c r="Y48" s="555" t="e">
        <f t="shared" si="12"/>
        <v>#DIV/0!</v>
      </c>
      <c r="Z48" s="555" t="e">
        <f t="shared" si="13"/>
        <v>#DIV/0!</v>
      </c>
      <c r="AA48" s="556" t="e">
        <f t="shared" si="14"/>
        <v>#DIV/0!</v>
      </c>
    </row>
    <row r="49" spans="1:27" s="546" customFormat="1" ht="1.5" customHeight="1">
      <c r="A49" s="520"/>
      <c r="B49" s="521" t="s">
        <v>141</v>
      </c>
      <c r="C49" s="522">
        <v>10</v>
      </c>
      <c r="D49" s="552"/>
      <c r="E49" s="552"/>
      <c r="F49" s="552"/>
      <c r="G49" s="553"/>
      <c r="H49" s="553">
        <v>100</v>
      </c>
      <c r="I49" s="553">
        <f t="shared" si="0"/>
        <v>0</v>
      </c>
      <c r="J49" s="553">
        <f t="shared" si="1"/>
        <v>0</v>
      </c>
      <c r="K49" s="553">
        <f t="shared" si="2"/>
        <v>0</v>
      </c>
      <c r="L49" s="553"/>
      <c r="M49" s="553" t="e">
        <f t="shared" si="3"/>
        <v>#DIV/0!</v>
      </c>
      <c r="N49" s="553" t="e">
        <f t="shared" si="4"/>
        <v>#DIV/0!</v>
      </c>
      <c r="O49" s="553" t="e">
        <f t="shared" si="5"/>
        <v>#DIV/0!</v>
      </c>
      <c r="P49" s="553"/>
      <c r="Q49" s="555" t="e">
        <f t="shared" si="6"/>
        <v>#DIV/0!</v>
      </c>
      <c r="R49" s="555" t="e">
        <f t="shared" si="7"/>
        <v>#DIV/0!</v>
      </c>
      <c r="S49" s="555" t="e">
        <f t="shared" si="8"/>
        <v>#DIV/0!</v>
      </c>
      <c r="T49" s="555"/>
      <c r="U49" s="555" t="e">
        <f t="shared" si="9"/>
        <v>#DIV/0!</v>
      </c>
      <c r="V49" s="555" t="e">
        <f t="shared" si="10"/>
        <v>#DIV/0!</v>
      </c>
      <c r="W49" s="555" t="e">
        <f t="shared" si="11"/>
        <v>#DIV/0!</v>
      </c>
      <c r="X49" s="553"/>
      <c r="Y49" s="555" t="e">
        <f t="shared" si="12"/>
        <v>#DIV/0!</v>
      </c>
      <c r="Z49" s="555" t="e">
        <f t="shared" si="13"/>
        <v>#DIV/0!</v>
      </c>
      <c r="AA49" s="556" t="e">
        <f t="shared" si="14"/>
        <v>#DIV/0!</v>
      </c>
    </row>
    <row r="50" spans="1:27" s="546" customFormat="1" ht="1.5" customHeight="1">
      <c r="A50" s="520"/>
      <c r="B50" s="521" t="s">
        <v>141</v>
      </c>
      <c r="C50" s="522">
        <v>11</v>
      </c>
      <c r="D50" s="552"/>
      <c r="E50" s="552"/>
      <c r="F50" s="552"/>
      <c r="G50" s="553"/>
      <c r="H50" s="553">
        <v>100</v>
      </c>
      <c r="I50" s="553">
        <f t="shared" si="0"/>
        <v>0</v>
      </c>
      <c r="J50" s="553">
        <f t="shared" si="1"/>
        <v>0</v>
      </c>
      <c r="K50" s="553">
        <f t="shared" si="2"/>
        <v>0</v>
      </c>
      <c r="L50" s="553"/>
      <c r="M50" s="553" t="e">
        <f t="shared" si="3"/>
        <v>#DIV/0!</v>
      </c>
      <c r="N50" s="553" t="e">
        <f t="shared" si="4"/>
        <v>#DIV/0!</v>
      </c>
      <c r="O50" s="553" t="e">
        <f t="shared" si="5"/>
        <v>#DIV/0!</v>
      </c>
      <c r="P50" s="553"/>
      <c r="Q50" s="555" t="e">
        <f t="shared" si="6"/>
        <v>#DIV/0!</v>
      </c>
      <c r="R50" s="555" t="e">
        <f t="shared" si="7"/>
        <v>#DIV/0!</v>
      </c>
      <c r="S50" s="555" t="e">
        <f t="shared" si="8"/>
        <v>#DIV/0!</v>
      </c>
      <c r="T50" s="555"/>
      <c r="U50" s="555" t="e">
        <f t="shared" si="9"/>
        <v>#DIV/0!</v>
      </c>
      <c r="V50" s="555" t="e">
        <f t="shared" si="10"/>
        <v>#DIV/0!</v>
      </c>
      <c r="W50" s="555" t="e">
        <f t="shared" si="11"/>
        <v>#DIV/0!</v>
      </c>
      <c r="X50" s="553"/>
      <c r="Y50" s="555" t="e">
        <f t="shared" si="12"/>
        <v>#DIV/0!</v>
      </c>
      <c r="Z50" s="555" t="e">
        <f t="shared" si="13"/>
        <v>#DIV/0!</v>
      </c>
      <c r="AA50" s="556" t="e">
        <f t="shared" si="14"/>
        <v>#DIV/0!</v>
      </c>
    </row>
    <row r="51" spans="1:27" s="546" customFormat="1" ht="1.5" customHeight="1">
      <c r="A51" s="532"/>
      <c r="B51" s="533" t="s">
        <v>141</v>
      </c>
      <c r="C51" s="534">
        <v>12</v>
      </c>
      <c r="D51" s="561"/>
      <c r="E51" s="561"/>
      <c r="F51" s="561"/>
      <c r="G51" s="562"/>
      <c r="H51" s="562">
        <v>100</v>
      </c>
      <c r="I51" s="562">
        <f t="shared" si="0"/>
        <v>0</v>
      </c>
      <c r="J51" s="562">
        <f t="shared" si="1"/>
        <v>0</v>
      </c>
      <c r="K51" s="562">
        <f t="shared" si="2"/>
        <v>0</v>
      </c>
      <c r="L51" s="562"/>
      <c r="M51" s="558" t="e">
        <f t="shared" si="3"/>
        <v>#DIV/0!</v>
      </c>
      <c r="N51" s="558" t="e">
        <f t="shared" si="4"/>
        <v>#DIV/0!</v>
      </c>
      <c r="O51" s="558" t="e">
        <f t="shared" si="5"/>
        <v>#DIV/0!</v>
      </c>
      <c r="P51" s="562"/>
      <c r="Q51" s="663" t="e">
        <f t="shared" si="6"/>
        <v>#DIV/0!</v>
      </c>
      <c r="R51" s="663" t="e">
        <f t="shared" si="7"/>
        <v>#DIV/0!</v>
      </c>
      <c r="S51" s="663" t="e">
        <f t="shared" si="8"/>
        <v>#DIV/0!</v>
      </c>
      <c r="T51" s="663"/>
      <c r="U51" s="663" t="e">
        <f t="shared" si="9"/>
        <v>#DIV/0!</v>
      </c>
      <c r="V51" s="663" t="e">
        <f t="shared" si="10"/>
        <v>#DIV/0!</v>
      </c>
      <c r="W51" s="663" t="e">
        <f t="shared" si="11"/>
        <v>#DIV/0!</v>
      </c>
      <c r="X51" s="562"/>
      <c r="Y51" s="663" t="e">
        <f t="shared" si="12"/>
        <v>#DIV/0!</v>
      </c>
      <c r="Z51" s="663" t="e">
        <f t="shared" si="13"/>
        <v>#DIV/0!</v>
      </c>
      <c r="AA51" s="664" t="e">
        <f t="shared" si="14"/>
        <v>#DIV/0!</v>
      </c>
    </row>
    <row r="52" spans="1:27" s="546" customFormat="1" ht="1.5" customHeight="1">
      <c r="A52" s="536" t="s">
        <v>573</v>
      </c>
      <c r="B52" s="537">
        <v>1997</v>
      </c>
      <c r="C52" s="538">
        <v>1</v>
      </c>
      <c r="D52" s="563"/>
      <c r="E52" s="563"/>
      <c r="F52" s="563"/>
      <c r="G52" s="564"/>
      <c r="H52" s="564">
        <v>100</v>
      </c>
      <c r="I52" s="564">
        <f t="shared" si="0"/>
        <v>0</v>
      </c>
      <c r="J52" s="564">
        <f t="shared" si="1"/>
        <v>0</v>
      </c>
      <c r="K52" s="564">
        <f t="shared" si="2"/>
        <v>0</v>
      </c>
      <c r="L52" s="564"/>
      <c r="M52" s="560" t="e">
        <f t="shared" si="3"/>
        <v>#DIV/0!</v>
      </c>
      <c r="N52" s="560" t="e">
        <f t="shared" si="4"/>
        <v>#DIV/0!</v>
      </c>
      <c r="O52" s="560" t="e">
        <f t="shared" si="5"/>
        <v>#DIV/0!</v>
      </c>
      <c r="P52" s="564"/>
      <c r="Q52" s="665" t="e">
        <f t="shared" si="6"/>
        <v>#DIV/0!</v>
      </c>
      <c r="R52" s="665" t="e">
        <f t="shared" si="7"/>
        <v>#DIV/0!</v>
      </c>
      <c r="S52" s="665" t="e">
        <f t="shared" si="8"/>
        <v>#DIV/0!</v>
      </c>
      <c r="T52" s="665"/>
      <c r="U52" s="665" t="e">
        <f t="shared" si="9"/>
        <v>#DIV/0!</v>
      </c>
      <c r="V52" s="665" t="e">
        <f t="shared" si="10"/>
        <v>#DIV/0!</v>
      </c>
      <c r="W52" s="665" t="e">
        <f t="shared" si="11"/>
        <v>#DIV/0!</v>
      </c>
      <c r="X52" s="564"/>
      <c r="Y52" s="665" t="e">
        <f t="shared" si="12"/>
        <v>#DIV/0!</v>
      </c>
      <c r="Z52" s="665" t="e">
        <f t="shared" si="13"/>
        <v>#DIV/0!</v>
      </c>
      <c r="AA52" s="666" t="e">
        <f t="shared" si="14"/>
        <v>#DIV/0!</v>
      </c>
    </row>
    <row r="53" spans="1:27" s="546" customFormat="1" ht="1.5" customHeight="1">
      <c r="A53" s="520"/>
      <c r="B53" s="521" t="s">
        <v>141</v>
      </c>
      <c r="C53" s="522">
        <v>2</v>
      </c>
      <c r="D53" s="552"/>
      <c r="E53" s="552"/>
      <c r="F53" s="552"/>
      <c r="G53" s="553"/>
      <c r="H53" s="553">
        <v>100</v>
      </c>
      <c r="I53" s="553">
        <f t="shared" si="0"/>
        <v>0</v>
      </c>
      <c r="J53" s="553">
        <f t="shared" si="1"/>
        <v>0</v>
      </c>
      <c r="K53" s="553">
        <f t="shared" si="2"/>
        <v>0</v>
      </c>
      <c r="L53" s="555"/>
      <c r="M53" s="555" t="e">
        <f t="shared" si="3"/>
        <v>#DIV/0!</v>
      </c>
      <c r="N53" s="555" t="e">
        <f t="shared" si="4"/>
        <v>#DIV/0!</v>
      </c>
      <c r="O53" s="555" t="e">
        <f t="shared" si="5"/>
        <v>#DIV/0!</v>
      </c>
      <c r="P53" s="553"/>
      <c r="Q53" s="555" t="e">
        <f t="shared" si="6"/>
        <v>#DIV/0!</v>
      </c>
      <c r="R53" s="555" t="e">
        <f t="shared" si="7"/>
        <v>#DIV/0!</v>
      </c>
      <c r="S53" s="555" t="e">
        <f t="shared" si="8"/>
        <v>#DIV/0!</v>
      </c>
      <c r="T53" s="555"/>
      <c r="U53" s="555" t="e">
        <f t="shared" si="9"/>
        <v>#DIV/0!</v>
      </c>
      <c r="V53" s="555" t="e">
        <f t="shared" si="10"/>
        <v>#DIV/0!</v>
      </c>
      <c r="W53" s="555" t="e">
        <f t="shared" si="11"/>
        <v>#DIV/0!</v>
      </c>
      <c r="X53" s="553"/>
      <c r="Y53" s="555" t="e">
        <f t="shared" si="12"/>
        <v>#DIV/0!</v>
      </c>
      <c r="Z53" s="555" t="e">
        <f t="shared" si="13"/>
        <v>#DIV/0!</v>
      </c>
      <c r="AA53" s="556" t="e">
        <f t="shared" si="14"/>
        <v>#DIV/0!</v>
      </c>
    </row>
    <row r="54" spans="1:27" s="546" customFormat="1" ht="1.5" customHeight="1">
      <c r="A54" s="520"/>
      <c r="B54" s="521" t="s">
        <v>141</v>
      </c>
      <c r="C54" s="522">
        <v>3</v>
      </c>
      <c r="D54" s="552"/>
      <c r="E54" s="552"/>
      <c r="F54" s="552"/>
      <c r="G54" s="553"/>
      <c r="H54" s="553">
        <v>100</v>
      </c>
      <c r="I54" s="553">
        <f t="shared" si="0"/>
        <v>0</v>
      </c>
      <c r="J54" s="553">
        <f t="shared" si="1"/>
        <v>0</v>
      </c>
      <c r="K54" s="553">
        <f t="shared" si="2"/>
        <v>0</v>
      </c>
      <c r="L54" s="555"/>
      <c r="M54" s="555" t="e">
        <f t="shared" si="3"/>
        <v>#DIV/0!</v>
      </c>
      <c r="N54" s="555" t="e">
        <f t="shared" si="4"/>
        <v>#DIV/0!</v>
      </c>
      <c r="O54" s="555" t="e">
        <f t="shared" si="5"/>
        <v>#DIV/0!</v>
      </c>
      <c r="P54" s="553"/>
      <c r="Q54" s="555" t="e">
        <f t="shared" si="6"/>
        <v>#DIV/0!</v>
      </c>
      <c r="R54" s="555" t="e">
        <f t="shared" si="7"/>
        <v>#DIV/0!</v>
      </c>
      <c r="S54" s="555" t="e">
        <f t="shared" si="8"/>
        <v>#DIV/0!</v>
      </c>
      <c r="T54" s="555"/>
      <c r="U54" s="555" t="e">
        <f t="shared" si="9"/>
        <v>#DIV/0!</v>
      </c>
      <c r="V54" s="555" t="e">
        <f t="shared" si="10"/>
        <v>#DIV/0!</v>
      </c>
      <c r="W54" s="555" t="e">
        <f t="shared" si="11"/>
        <v>#DIV/0!</v>
      </c>
      <c r="X54" s="553"/>
      <c r="Y54" s="555" t="e">
        <f t="shared" si="12"/>
        <v>#DIV/0!</v>
      </c>
      <c r="Z54" s="555" t="e">
        <f t="shared" si="13"/>
        <v>#DIV/0!</v>
      </c>
      <c r="AA54" s="556" t="e">
        <f t="shared" si="14"/>
        <v>#DIV/0!</v>
      </c>
    </row>
    <row r="55" spans="1:27" s="546" customFormat="1" ht="1.5" customHeight="1">
      <c r="A55" s="520"/>
      <c r="B55" s="521" t="s">
        <v>141</v>
      </c>
      <c r="C55" s="522">
        <v>4</v>
      </c>
      <c r="D55" s="552"/>
      <c r="E55" s="552"/>
      <c r="F55" s="552"/>
      <c r="G55" s="553"/>
      <c r="H55" s="553">
        <v>100</v>
      </c>
      <c r="I55" s="553">
        <f t="shared" si="0"/>
        <v>0</v>
      </c>
      <c r="J55" s="553">
        <f t="shared" si="1"/>
        <v>0</v>
      </c>
      <c r="K55" s="553">
        <f t="shared" si="2"/>
        <v>0</v>
      </c>
      <c r="L55" s="555"/>
      <c r="M55" s="555" t="e">
        <f t="shared" si="3"/>
        <v>#DIV/0!</v>
      </c>
      <c r="N55" s="555" t="e">
        <f t="shared" si="4"/>
        <v>#DIV/0!</v>
      </c>
      <c r="O55" s="555" t="e">
        <f t="shared" si="5"/>
        <v>#DIV/0!</v>
      </c>
      <c r="P55" s="553"/>
      <c r="Q55" s="555" t="e">
        <f t="shared" si="6"/>
        <v>#DIV/0!</v>
      </c>
      <c r="R55" s="555" t="e">
        <f t="shared" si="7"/>
        <v>#DIV/0!</v>
      </c>
      <c r="S55" s="555" t="e">
        <f t="shared" si="8"/>
        <v>#DIV/0!</v>
      </c>
      <c r="T55" s="555"/>
      <c r="U55" s="555" t="e">
        <f t="shared" si="9"/>
        <v>#DIV/0!</v>
      </c>
      <c r="V55" s="555" t="e">
        <f t="shared" si="10"/>
        <v>#DIV/0!</v>
      </c>
      <c r="W55" s="555" t="e">
        <f t="shared" si="11"/>
        <v>#DIV/0!</v>
      </c>
      <c r="X55" s="553"/>
      <c r="Y55" s="555" t="e">
        <f t="shared" si="12"/>
        <v>#DIV/0!</v>
      </c>
      <c r="Z55" s="555" t="e">
        <f t="shared" si="13"/>
        <v>#DIV/0!</v>
      </c>
      <c r="AA55" s="556" t="e">
        <f t="shared" si="14"/>
        <v>#DIV/0!</v>
      </c>
    </row>
    <row r="56" spans="1:27" s="546" customFormat="1" ht="1.5" customHeight="1">
      <c r="A56" s="520"/>
      <c r="B56" s="521" t="s">
        <v>141</v>
      </c>
      <c r="C56" s="522">
        <v>5</v>
      </c>
      <c r="D56" s="552"/>
      <c r="E56" s="552"/>
      <c r="F56" s="552"/>
      <c r="G56" s="553"/>
      <c r="H56" s="553">
        <v>100</v>
      </c>
      <c r="I56" s="553">
        <f t="shared" si="0"/>
        <v>0</v>
      </c>
      <c r="J56" s="553">
        <f t="shared" si="1"/>
        <v>0</v>
      </c>
      <c r="K56" s="553">
        <f t="shared" si="2"/>
        <v>0</v>
      </c>
      <c r="L56" s="555"/>
      <c r="M56" s="555" t="e">
        <f t="shared" si="3"/>
        <v>#DIV/0!</v>
      </c>
      <c r="N56" s="555" t="e">
        <f t="shared" si="4"/>
        <v>#DIV/0!</v>
      </c>
      <c r="O56" s="555" t="e">
        <f t="shared" si="5"/>
        <v>#DIV/0!</v>
      </c>
      <c r="P56" s="553"/>
      <c r="Q56" s="555" t="e">
        <f t="shared" si="6"/>
        <v>#DIV/0!</v>
      </c>
      <c r="R56" s="555" t="e">
        <f t="shared" si="7"/>
        <v>#DIV/0!</v>
      </c>
      <c r="S56" s="555" t="e">
        <f t="shared" si="8"/>
        <v>#DIV/0!</v>
      </c>
      <c r="T56" s="555"/>
      <c r="U56" s="555" t="e">
        <f t="shared" si="9"/>
        <v>#DIV/0!</v>
      </c>
      <c r="V56" s="555" t="e">
        <f t="shared" si="10"/>
        <v>#DIV/0!</v>
      </c>
      <c r="W56" s="555" t="e">
        <f t="shared" si="11"/>
        <v>#DIV/0!</v>
      </c>
      <c r="X56" s="553"/>
      <c r="Y56" s="555" t="e">
        <f t="shared" si="12"/>
        <v>#DIV/0!</v>
      </c>
      <c r="Z56" s="555" t="e">
        <f t="shared" si="13"/>
        <v>#DIV/0!</v>
      </c>
      <c r="AA56" s="556" t="e">
        <f t="shared" si="14"/>
        <v>#DIV/0!</v>
      </c>
    </row>
    <row r="57" spans="1:27" s="546" customFormat="1" ht="1.5" customHeight="1">
      <c r="A57" s="520"/>
      <c r="B57" s="521" t="s">
        <v>141</v>
      </c>
      <c r="C57" s="522">
        <v>6</v>
      </c>
      <c r="D57" s="552"/>
      <c r="E57" s="552"/>
      <c r="F57" s="552"/>
      <c r="G57" s="553"/>
      <c r="H57" s="553">
        <v>100</v>
      </c>
      <c r="I57" s="553">
        <f t="shared" si="0"/>
        <v>0</v>
      </c>
      <c r="J57" s="553">
        <f t="shared" si="1"/>
        <v>0</v>
      </c>
      <c r="K57" s="553">
        <f t="shared" si="2"/>
        <v>0</v>
      </c>
      <c r="L57" s="555"/>
      <c r="M57" s="555" t="e">
        <f t="shared" si="3"/>
        <v>#DIV/0!</v>
      </c>
      <c r="N57" s="555" t="e">
        <f t="shared" si="4"/>
        <v>#DIV/0!</v>
      </c>
      <c r="O57" s="555" t="e">
        <f t="shared" si="5"/>
        <v>#DIV/0!</v>
      </c>
      <c r="P57" s="553"/>
      <c r="Q57" s="555" t="e">
        <f t="shared" si="6"/>
        <v>#DIV/0!</v>
      </c>
      <c r="R57" s="555" t="e">
        <f t="shared" si="7"/>
        <v>#DIV/0!</v>
      </c>
      <c r="S57" s="555" t="e">
        <f t="shared" si="8"/>
        <v>#DIV/0!</v>
      </c>
      <c r="T57" s="555"/>
      <c r="U57" s="555" t="e">
        <f t="shared" si="9"/>
        <v>#DIV/0!</v>
      </c>
      <c r="V57" s="555" t="e">
        <f t="shared" si="10"/>
        <v>#DIV/0!</v>
      </c>
      <c r="W57" s="555" t="e">
        <f t="shared" si="11"/>
        <v>#DIV/0!</v>
      </c>
      <c r="X57" s="553"/>
      <c r="Y57" s="555" t="e">
        <f t="shared" si="12"/>
        <v>#DIV/0!</v>
      </c>
      <c r="Z57" s="555" t="e">
        <f t="shared" si="13"/>
        <v>#DIV/0!</v>
      </c>
      <c r="AA57" s="556" t="e">
        <f t="shared" si="14"/>
        <v>#DIV/0!</v>
      </c>
    </row>
    <row r="58" spans="1:27" s="546" customFormat="1" ht="1.5" customHeight="1">
      <c r="A58" s="520"/>
      <c r="B58" s="521" t="s">
        <v>141</v>
      </c>
      <c r="C58" s="522">
        <v>7</v>
      </c>
      <c r="D58" s="552"/>
      <c r="E58" s="552"/>
      <c r="F58" s="552"/>
      <c r="G58" s="553">
        <v>149.69999999999999</v>
      </c>
      <c r="H58" s="553">
        <v>100</v>
      </c>
      <c r="I58" s="553">
        <f t="shared" si="0"/>
        <v>0</v>
      </c>
      <c r="J58" s="553">
        <f t="shared" si="1"/>
        <v>0</v>
      </c>
      <c r="K58" s="553">
        <f t="shared" si="2"/>
        <v>0</v>
      </c>
      <c r="L58" s="555"/>
      <c r="M58" s="555" t="e">
        <f t="shared" si="3"/>
        <v>#DIV/0!</v>
      </c>
      <c r="N58" s="555" t="e">
        <f t="shared" si="4"/>
        <v>#DIV/0!</v>
      </c>
      <c r="O58" s="555" t="e">
        <f t="shared" si="5"/>
        <v>#DIV/0!</v>
      </c>
      <c r="P58" s="553"/>
      <c r="Q58" s="555" t="e">
        <f t="shared" si="6"/>
        <v>#DIV/0!</v>
      </c>
      <c r="R58" s="555" t="e">
        <f t="shared" si="7"/>
        <v>#DIV/0!</v>
      </c>
      <c r="S58" s="555" t="e">
        <f t="shared" si="8"/>
        <v>#DIV/0!</v>
      </c>
      <c r="T58" s="555"/>
      <c r="U58" s="555" t="e">
        <f t="shared" si="9"/>
        <v>#DIV/0!</v>
      </c>
      <c r="V58" s="555" t="e">
        <f t="shared" si="10"/>
        <v>#DIV/0!</v>
      </c>
      <c r="W58" s="555" t="e">
        <f t="shared" si="11"/>
        <v>#DIV/0!</v>
      </c>
      <c r="X58" s="553"/>
      <c r="Y58" s="555" t="e">
        <f t="shared" si="12"/>
        <v>#DIV/0!</v>
      </c>
      <c r="Z58" s="555" t="e">
        <f t="shared" si="13"/>
        <v>#DIV/0!</v>
      </c>
      <c r="AA58" s="556" t="e">
        <f t="shared" si="14"/>
        <v>#DIV/0!</v>
      </c>
    </row>
    <row r="59" spans="1:27" s="546" customFormat="1" ht="1.5" customHeight="1">
      <c r="A59" s="520"/>
      <c r="B59" s="521" t="s">
        <v>141</v>
      </c>
      <c r="C59" s="522">
        <v>8</v>
      </c>
      <c r="D59" s="552"/>
      <c r="E59" s="552"/>
      <c r="F59" s="552"/>
      <c r="G59" s="553">
        <v>149.69999999999999</v>
      </c>
      <c r="H59" s="553">
        <v>100</v>
      </c>
      <c r="I59" s="553">
        <f t="shared" si="0"/>
        <v>0</v>
      </c>
      <c r="J59" s="553">
        <f t="shared" si="1"/>
        <v>0</v>
      </c>
      <c r="K59" s="553">
        <f t="shared" si="2"/>
        <v>0</v>
      </c>
      <c r="L59" s="555"/>
      <c r="M59" s="555" t="e">
        <f t="shared" si="3"/>
        <v>#DIV/0!</v>
      </c>
      <c r="N59" s="555" t="e">
        <f t="shared" si="4"/>
        <v>#DIV/0!</v>
      </c>
      <c r="O59" s="555" t="e">
        <f t="shared" si="5"/>
        <v>#DIV/0!</v>
      </c>
      <c r="P59" s="553"/>
      <c r="Q59" s="555" t="e">
        <f t="shared" si="6"/>
        <v>#DIV/0!</v>
      </c>
      <c r="R59" s="555" t="e">
        <f t="shared" si="7"/>
        <v>#DIV/0!</v>
      </c>
      <c r="S59" s="555" t="e">
        <f t="shared" si="8"/>
        <v>#DIV/0!</v>
      </c>
      <c r="T59" s="555"/>
      <c r="U59" s="555" t="e">
        <f t="shared" si="9"/>
        <v>#DIV/0!</v>
      </c>
      <c r="V59" s="555" t="e">
        <f t="shared" si="10"/>
        <v>#DIV/0!</v>
      </c>
      <c r="W59" s="555" t="e">
        <f t="shared" si="11"/>
        <v>#DIV/0!</v>
      </c>
      <c r="X59" s="553"/>
      <c r="Y59" s="555" t="e">
        <f t="shared" si="12"/>
        <v>#DIV/0!</v>
      </c>
      <c r="Z59" s="555" t="e">
        <f t="shared" si="13"/>
        <v>#DIV/0!</v>
      </c>
      <c r="AA59" s="556" t="e">
        <f t="shared" si="14"/>
        <v>#DIV/0!</v>
      </c>
    </row>
    <row r="60" spans="1:27" s="546" customFormat="1" ht="1.5" customHeight="1">
      <c r="A60" s="520"/>
      <c r="B60" s="521" t="s">
        <v>141</v>
      </c>
      <c r="C60" s="522">
        <v>9</v>
      </c>
      <c r="D60" s="552"/>
      <c r="E60" s="552"/>
      <c r="F60" s="552"/>
      <c r="G60" s="553">
        <v>149.69999999999999</v>
      </c>
      <c r="H60" s="553">
        <v>100</v>
      </c>
      <c r="I60" s="553">
        <f t="shared" si="0"/>
        <v>0</v>
      </c>
      <c r="J60" s="553">
        <f t="shared" si="1"/>
        <v>0</v>
      </c>
      <c r="K60" s="553">
        <f t="shared" si="2"/>
        <v>0</v>
      </c>
      <c r="L60" s="555"/>
      <c r="M60" s="555" t="e">
        <f t="shared" si="3"/>
        <v>#DIV/0!</v>
      </c>
      <c r="N60" s="555" t="e">
        <f t="shared" si="4"/>
        <v>#DIV/0!</v>
      </c>
      <c r="O60" s="555" t="e">
        <f t="shared" si="5"/>
        <v>#DIV/0!</v>
      </c>
      <c r="P60" s="553"/>
      <c r="Q60" s="555" t="e">
        <f t="shared" si="6"/>
        <v>#DIV/0!</v>
      </c>
      <c r="R60" s="555" t="e">
        <f t="shared" si="7"/>
        <v>#DIV/0!</v>
      </c>
      <c r="S60" s="555" t="e">
        <f t="shared" si="8"/>
        <v>#DIV/0!</v>
      </c>
      <c r="T60" s="555"/>
      <c r="U60" s="555" t="e">
        <f t="shared" si="9"/>
        <v>#DIV/0!</v>
      </c>
      <c r="V60" s="555" t="e">
        <f t="shared" si="10"/>
        <v>#DIV/0!</v>
      </c>
      <c r="W60" s="555" t="e">
        <f t="shared" si="11"/>
        <v>#DIV/0!</v>
      </c>
      <c r="X60" s="553"/>
      <c r="Y60" s="555" t="e">
        <f t="shared" si="12"/>
        <v>#DIV/0!</v>
      </c>
      <c r="Z60" s="555" t="e">
        <f t="shared" si="13"/>
        <v>#DIV/0!</v>
      </c>
      <c r="AA60" s="556" t="e">
        <f t="shared" si="14"/>
        <v>#DIV/0!</v>
      </c>
    </row>
    <row r="61" spans="1:27" s="546" customFormat="1" ht="1.5" customHeight="1">
      <c r="A61" s="520"/>
      <c r="B61" s="521" t="s">
        <v>141</v>
      </c>
      <c r="C61" s="522">
        <v>10</v>
      </c>
      <c r="D61" s="552"/>
      <c r="E61" s="552"/>
      <c r="F61" s="552"/>
      <c r="G61" s="553">
        <v>149.69999999999999</v>
      </c>
      <c r="H61" s="553">
        <v>100</v>
      </c>
      <c r="I61" s="553">
        <f t="shared" si="0"/>
        <v>0</v>
      </c>
      <c r="J61" s="553">
        <f t="shared" si="1"/>
        <v>0</v>
      </c>
      <c r="K61" s="553">
        <f t="shared" si="2"/>
        <v>0</v>
      </c>
      <c r="L61" s="555"/>
      <c r="M61" s="555" t="e">
        <f t="shared" si="3"/>
        <v>#DIV/0!</v>
      </c>
      <c r="N61" s="555" t="e">
        <f t="shared" si="4"/>
        <v>#DIV/0!</v>
      </c>
      <c r="O61" s="555" t="e">
        <f t="shared" si="5"/>
        <v>#DIV/0!</v>
      </c>
      <c r="P61" s="553"/>
      <c r="Q61" s="555" t="e">
        <f t="shared" si="6"/>
        <v>#DIV/0!</v>
      </c>
      <c r="R61" s="555" t="e">
        <f t="shared" si="7"/>
        <v>#DIV/0!</v>
      </c>
      <c r="S61" s="555" t="e">
        <f t="shared" si="8"/>
        <v>#DIV/0!</v>
      </c>
      <c r="T61" s="555"/>
      <c r="U61" s="555" t="e">
        <f t="shared" si="9"/>
        <v>#DIV/0!</v>
      </c>
      <c r="V61" s="555" t="e">
        <f t="shared" si="10"/>
        <v>#DIV/0!</v>
      </c>
      <c r="W61" s="555" t="e">
        <f t="shared" si="11"/>
        <v>#DIV/0!</v>
      </c>
      <c r="X61" s="553"/>
      <c r="Y61" s="555" t="e">
        <f t="shared" si="12"/>
        <v>#DIV/0!</v>
      </c>
      <c r="Z61" s="555" t="e">
        <f t="shared" si="13"/>
        <v>#DIV/0!</v>
      </c>
      <c r="AA61" s="556" t="e">
        <f t="shared" si="14"/>
        <v>#DIV/0!</v>
      </c>
    </row>
    <row r="62" spans="1:27" s="546" customFormat="1" ht="1.5" customHeight="1">
      <c r="A62" s="520"/>
      <c r="B62" s="521" t="s">
        <v>141</v>
      </c>
      <c r="C62" s="522">
        <v>11</v>
      </c>
      <c r="D62" s="552"/>
      <c r="E62" s="552"/>
      <c r="F62" s="552"/>
      <c r="G62" s="553">
        <v>149.69999999999999</v>
      </c>
      <c r="H62" s="553">
        <v>100</v>
      </c>
      <c r="I62" s="553">
        <f t="shared" si="0"/>
        <v>0</v>
      </c>
      <c r="J62" s="553">
        <f t="shared" si="1"/>
        <v>0</v>
      </c>
      <c r="K62" s="553">
        <f t="shared" si="2"/>
        <v>0</v>
      </c>
      <c r="L62" s="555"/>
      <c r="M62" s="555" t="e">
        <f t="shared" si="3"/>
        <v>#DIV/0!</v>
      </c>
      <c r="N62" s="555" t="e">
        <f t="shared" si="4"/>
        <v>#DIV/0!</v>
      </c>
      <c r="O62" s="555" t="e">
        <f t="shared" si="5"/>
        <v>#DIV/0!</v>
      </c>
      <c r="P62" s="553"/>
      <c r="Q62" s="555" t="e">
        <f t="shared" si="6"/>
        <v>#DIV/0!</v>
      </c>
      <c r="R62" s="555" t="e">
        <f t="shared" si="7"/>
        <v>#DIV/0!</v>
      </c>
      <c r="S62" s="555" t="e">
        <f t="shared" si="8"/>
        <v>#DIV/0!</v>
      </c>
      <c r="T62" s="555"/>
      <c r="U62" s="555" t="e">
        <f t="shared" si="9"/>
        <v>#DIV/0!</v>
      </c>
      <c r="V62" s="555" t="e">
        <f t="shared" si="10"/>
        <v>#DIV/0!</v>
      </c>
      <c r="W62" s="555" t="e">
        <f t="shared" si="11"/>
        <v>#DIV/0!</v>
      </c>
      <c r="X62" s="553"/>
      <c r="Y62" s="555" t="e">
        <f t="shared" si="12"/>
        <v>#DIV/0!</v>
      </c>
      <c r="Z62" s="555" t="e">
        <f t="shared" si="13"/>
        <v>#DIV/0!</v>
      </c>
      <c r="AA62" s="556" t="e">
        <f t="shared" si="14"/>
        <v>#DIV/0!</v>
      </c>
    </row>
    <row r="63" spans="1:27" s="546" customFormat="1">
      <c r="A63" s="524"/>
      <c r="B63" s="525" t="s">
        <v>141</v>
      </c>
      <c r="C63" s="526">
        <v>12</v>
      </c>
      <c r="D63" s="557">
        <v>110.5</v>
      </c>
      <c r="E63" s="557">
        <v>114.7</v>
      </c>
      <c r="F63" s="557">
        <v>116</v>
      </c>
      <c r="G63" s="558">
        <v>149.69999999999999</v>
      </c>
      <c r="H63" s="558">
        <v>100</v>
      </c>
      <c r="I63" s="558">
        <f t="shared" si="0"/>
        <v>110.5</v>
      </c>
      <c r="J63" s="558">
        <f t="shared" si="1"/>
        <v>114.7</v>
      </c>
      <c r="K63" s="558">
        <f t="shared" si="2"/>
        <v>116</v>
      </c>
      <c r="L63" s="659"/>
      <c r="M63" s="663">
        <f t="shared" si="3"/>
        <v>110.5</v>
      </c>
      <c r="N63" s="663">
        <f t="shared" si="4"/>
        <v>114.7</v>
      </c>
      <c r="O63" s="663">
        <f t="shared" si="5"/>
        <v>116</v>
      </c>
      <c r="P63" s="558"/>
      <c r="Q63" s="659" t="e">
        <f t="shared" si="6"/>
        <v>#DIV/0!</v>
      </c>
      <c r="R63" s="659" t="e">
        <f t="shared" si="7"/>
        <v>#DIV/0!</v>
      </c>
      <c r="S63" s="659" t="e">
        <f t="shared" si="8"/>
        <v>#DIV/0!</v>
      </c>
      <c r="T63" s="659"/>
      <c r="U63" s="659">
        <f t="shared" si="9"/>
        <v>110.5</v>
      </c>
      <c r="V63" s="659">
        <f t="shared" si="10"/>
        <v>114.7</v>
      </c>
      <c r="W63" s="659">
        <f t="shared" si="11"/>
        <v>116</v>
      </c>
      <c r="X63" s="558"/>
      <c r="Y63" s="659" t="e">
        <f t="shared" si="12"/>
        <v>#DIV/0!</v>
      </c>
      <c r="Z63" s="659" t="e">
        <f t="shared" si="13"/>
        <v>#DIV/0!</v>
      </c>
      <c r="AA63" s="660" t="e">
        <f t="shared" si="14"/>
        <v>#DIV/0!</v>
      </c>
    </row>
    <row r="64" spans="1:27" s="500" customFormat="1">
      <c r="A64" s="478" t="s">
        <v>574</v>
      </c>
      <c r="B64" s="479">
        <v>98</v>
      </c>
      <c r="C64" s="480">
        <v>1</v>
      </c>
      <c r="D64" s="580">
        <v>98.5</v>
      </c>
      <c r="E64" s="580">
        <v>102</v>
      </c>
      <c r="F64" s="580">
        <v>110</v>
      </c>
      <c r="G64" s="581">
        <v>170</v>
      </c>
      <c r="H64" s="581">
        <v>100</v>
      </c>
      <c r="I64" s="582">
        <f t="shared" ref="I64:I127" si="15">D64-D63</f>
        <v>-12</v>
      </c>
      <c r="J64" s="582">
        <f t="shared" ref="J64:J127" si="16">E64-E63</f>
        <v>-12.700000000000003</v>
      </c>
      <c r="K64" s="582">
        <f t="shared" ref="K64:K127" si="17">F64-F63</f>
        <v>-6</v>
      </c>
      <c r="L64" s="1217"/>
      <c r="M64" s="598">
        <f t="shared" ref="M64:M95" si="18">ROUND(AVERAGE(D62:D64),2)</f>
        <v>104.5</v>
      </c>
      <c r="N64" s="598">
        <f t="shared" ref="N64:N95" si="19">ROUND(AVERAGE(E62:E64),2)</f>
        <v>108.35</v>
      </c>
      <c r="O64" s="598">
        <f t="shared" ref="O64:O95" si="20">ROUND(AVERAGE(F62:F64),2)</f>
        <v>113</v>
      </c>
      <c r="P64" s="582"/>
      <c r="Q64" s="584">
        <f t="shared" si="6"/>
        <v>-6</v>
      </c>
      <c r="R64" s="584">
        <f t="shared" si="7"/>
        <v>-6.3500000000000085</v>
      </c>
      <c r="S64" s="584">
        <f t="shared" si="8"/>
        <v>-3</v>
      </c>
      <c r="T64" s="1217"/>
      <c r="U64" s="584">
        <f t="shared" ref="U64:U95" si="21">ROUND(AVERAGE(D58:D64),2)</f>
        <v>104.5</v>
      </c>
      <c r="V64" s="584">
        <f t="shared" ref="V64:V95" si="22">ROUND(AVERAGE(E58:E64),2)</f>
        <v>108.35</v>
      </c>
      <c r="W64" s="584">
        <f t="shared" ref="W64:W95" si="23">ROUND(AVERAGE(F58:F64),2)</f>
        <v>113</v>
      </c>
      <c r="X64" s="581"/>
      <c r="Y64" s="584">
        <f t="shared" si="12"/>
        <v>-6</v>
      </c>
      <c r="Z64" s="584">
        <f t="shared" si="13"/>
        <v>-6.3500000000000085</v>
      </c>
      <c r="AA64" s="585">
        <f t="shared" si="14"/>
        <v>-3</v>
      </c>
    </row>
    <row r="65" spans="1:27" s="500" customFormat="1">
      <c r="A65" s="482"/>
      <c r="B65" s="483" t="s">
        <v>141</v>
      </c>
      <c r="C65" s="484">
        <v>2</v>
      </c>
      <c r="D65" s="586">
        <v>98.5</v>
      </c>
      <c r="E65" s="586">
        <v>102.5</v>
      </c>
      <c r="F65" s="586">
        <v>110.9</v>
      </c>
      <c r="G65" s="587">
        <v>170</v>
      </c>
      <c r="H65" s="587">
        <v>100</v>
      </c>
      <c r="I65" s="583">
        <f t="shared" si="15"/>
        <v>0</v>
      </c>
      <c r="J65" s="583">
        <f t="shared" si="16"/>
        <v>0.5</v>
      </c>
      <c r="K65" s="583">
        <f t="shared" si="17"/>
        <v>0.90000000000000568</v>
      </c>
      <c r="L65" s="1218"/>
      <c r="M65" s="588">
        <f t="shared" si="18"/>
        <v>102.5</v>
      </c>
      <c r="N65" s="588">
        <f t="shared" si="19"/>
        <v>106.4</v>
      </c>
      <c r="O65" s="588">
        <f t="shared" si="20"/>
        <v>112.3</v>
      </c>
      <c r="P65" s="583"/>
      <c r="Q65" s="588">
        <f t="shared" si="6"/>
        <v>-2</v>
      </c>
      <c r="R65" s="588">
        <f t="shared" si="7"/>
        <v>-1.9499999999999886</v>
      </c>
      <c r="S65" s="588">
        <f t="shared" si="8"/>
        <v>-0.70000000000000284</v>
      </c>
      <c r="T65" s="1218"/>
      <c r="U65" s="588">
        <f t="shared" si="21"/>
        <v>102.5</v>
      </c>
      <c r="V65" s="588">
        <f t="shared" si="22"/>
        <v>106.4</v>
      </c>
      <c r="W65" s="588">
        <f t="shared" si="23"/>
        <v>112.3</v>
      </c>
      <c r="X65" s="587"/>
      <c r="Y65" s="588">
        <f t="shared" si="12"/>
        <v>-2</v>
      </c>
      <c r="Z65" s="588">
        <f t="shared" si="13"/>
        <v>-1.9499999999999886</v>
      </c>
      <c r="AA65" s="589">
        <f t="shared" si="14"/>
        <v>-0.70000000000000284</v>
      </c>
    </row>
    <row r="66" spans="1:27" s="500" customFormat="1">
      <c r="A66" s="482"/>
      <c r="B66" s="483" t="s">
        <v>141</v>
      </c>
      <c r="C66" s="484">
        <v>3</v>
      </c>
      <c r="D66" s="586">
        <v>102</v>
      </c>
      <c r="E66" s="586">
        <v>102.4</v>
      </c>
      <c r="F66" s="586">
        <v>107.4</v>
      </c>
      <c r="G66" s="587">
        <v>170</v>
      </c>
      <c r="H66" s="587">
        <v>100</v>
      </c>
      <c r="I66" s="583">
        <f t="shared" si="15"/>
        <v>3.5</v>
      </c>
      <c r="J66" s="583">
        <f t="shared" si="16"/>
        <v>-9.9999999999994316E-2</v>
      </c>
      <c r="K66" s="583">
        <f t="shared" si="17"/>
        <v>-3.5</v>
      </c>
      <c r="L66" s="1218"/>
      <c r="M66" s="588">
        <f t="shared" si="18"/>
        <v>99.67</v>
      </c>
      <c r="N66" s="588">
        <f t="shared" si="19"/>
        <v>102.3</v>
      </c>
      <c r="O66" s="588">
        <f t="shared" si="20"/>
        <v>109.43</v>
      </c>
      <c r="P66" s="583"/>
      <c r="Q66" s="588">
        <f t="shared" si="6"/>
        <v>-2.8299999999999983</v>
      </c>
      <c r="R66" s="588">
        <f t="shared" si="7"/>
        <v>-4.1000000000000085</v>
      </c>
      <c r="S66" s="588">
        <f t="shared" si="8"/>
        <v>-2.8699999999999903</v>
      </c>
      <c r="T66" s="1218"/>
      <c r="U66" s="588">
        <f t="shared" si="21"/>
        <v>102.38</v>
      </c>
      <c r="V66" s="588">
        <f t="shared" si="22"/>
        <v>105.4</v>
      </c>
      <c r="W66" s="588">
        <f t="shared" si="23"/>
        <v>111.08</v>
      </c>
      <c r="X66" s="587"/>
      <c r="Y66" s="588">
        <f t="shared" si="12"/>
        <v>-0.12000000000000455</v>
      </c>
      <c r="Z66" s="588">
        <f t="shared" si="13"/>
        <v>-1</v>
      </c>
      <c r="AA66" s="589">
        <f t="shared" si="14"/>
        <v>-1.2199999999999989</v>
      </c>
    </row>
    <row r="67" spans="1:27" s="500" customFormat="1">
      <c r="A67" s="482"/>
      <c r="B67" s="483" t="s">
        <v>141</v>
      </c>
      <c r="C67" s="484">
        <v>4</v>
      </c>
      <c r="D67" s="586">
        <v>97.6</v>
      </c>
      <c r="E67" s="586">
        <v>92.8</v>
      </c>
      <c r="F67" s="586">
        <v>100.4</v>
      </c>
      <c r="G67" s="587">
        <v>170</v>
      </c>
      <c r="H67" s="587">
        <v>100</v>
      </c>
      <c r="I67" s="583">
        <f t="shared" si="15"/>
        <v>-4.4000000000000057</v>
      </c>
      <c r="J67" s="583">
        <f t="shared" si="16"/>
        <v>-9.6000000000000085</v>
      </c>
      <c r="K67" s="583">
        <f t="shared" si="17"/>
        <v>-7</v>
      </c>
      <c r="L67" s="1218"/>
      <c r="M67" s="588">
        <f t="shared" si="18"/>
        <v>99.37</v>
      </c>
      <c r="N67" s="588">
        <f t="shared" si="19"/>
        <v>99.23</v>
      </c>
      <c r="O67" s="588">
        <f t="shared" si="20"/>
        <v>106.23</v>
      </c>
      <c r="P67" s="583"/>
      <c r="Q67" s="588">
        <f t="shared" si="6"/>
        <v>-0.29999999999999716</v>
      </c>
      <c r="R67" s="588">
        <f t="shared" si="7"/>
        <v>-3.0699999999999932</v>
      </c>
      <c r="S67" s="588">
        <f t="shared" si="8"/>
        <v>-3.2000000000000028</v>
      </c>
      <c r="T67" s="1218"/>
      <c r="U67" s="588">
        <f t="shared" si="21"/>
        <v>101.42</v>
      </c>
      <c r="V67" s="588">
        <f t="shared" si="22"/>
        <v>102.88</v>
      </c>
      <c r="W67" s="588">
        <f t="shared" si="23"/>
        <v>108.94</v>
      </c>
      <c r="X67" s="587"/>
      <c r="Y67" s="588">
        <f t="shared" si="12"/>
        <v>-0.95999999999999375</v>
      </c>
      <c r="Z67" s="588">
        <f t="shared" si="13"/>
        <v>-2.5200000000000102</v>
      </c>
      <c r="AA67" s="589">
        <f t="shared" si="14"/>
        <v>-2.1400000000000006</v>
      </c>
    </row>
    <row r="68" spans="1:27" s="500" customFormat="1">
      <c r="A68" s="482"/>
      <c r="B68" s="483" t="s">
        <v>141</v>
      </c>
      <c r="C68" s="484">
        <v>5</v>
      </c>
      <c r="D68" s="586">
        <v>94.2</v>
      </c>
      <c r="E68" s="586">
        <v>85.3</v>
      </c>
      <c r="F68" s="586">
        <v>98</v>
      </c>
      <c r="G68" s="587">
        <v>170</v>
      </c>
      <c r="H68" s="587">
        <v>100</v>
      </c>
      <c r="I68" s="583">
        <f t="shared" si="15"/>
        <v>-3.3999999999999915</v>
      </c>
      <c r="J68" s="583">
        <f t="shared" si="16"/>
        <v>-7.5</v>
      </c>
      <c r="K68" s="583">
        <f t="shared" si="17"/>
        <v>-2.4000000000000057</v>
      </c>
      <c r="L68" s="1218"/>
      <c r="M68" s="588">
        <f t="shared" si="18"/>
        <v>97.93</v>
      </c>
      <c r="N68" s="588">
        <f t="shared" si="19"/>
        <v>93.5</v>
      </c>
      <c r="O68" s="588">
        <f t="shared" si="20"/>
        <v>101.93</v>
      </c>
      <c r="P68" s="583"/>
      <c r="Q68" s="588">
        <f t="shared" ref="Q68:Q131" si="24">M68-M67</f>
        <v>-1.4399999999999977</v>
      </c>
      <c r="R68" s="588">
        <f t="shared" ref="R68:R131" si="25">N68-N67</f>
        <v>-5.730000000000004</v>
      </c>
      <c r="S68" s="588">
        <f t="shared" ref="S68:S131" si="26">O68-O67</f>
        <v>-4.2999999999999972</v>
      </c>
      <c r="T68" s="1218"/>
      <c r="U68" s="588">
        <f t="shared" si="21"/>
        <v>100.22</v>
      </c>
      <c r="V68" s="588">
        <f t="shared" si="22"/>
        <v>99.95</v>
      </c>
      <c r="W68" s="588">
        <f t="shared" si="23"/>
        <v>107.12</v>
      </c>
      <c r="X68" s="587"/>
      <c r="Y68" s="588">
        <f t="shared" si="12"/>
        <v>-1.2000000000000028</v>
      </c>
      <c r="Z68" s="588">
        <f t="shared" si="13"/>
        <v>-2.9299999999999926</v>
      </c>
      <c r="AA68" s="589">
        <f t="shared" si="14"/>
        <v>-1.8199999999999932</v>
      </c>
    </row>
    <row r="69" spans="1:27" s="500" customFormat="1">
      <c r="A69" s="482"/>
      <c r="B69" s="483" t="s">
        <v>141</v>
      </c>
      <c r="C69" s="484">
        <v>6</v>
      </c>
      <c r="D69" s="586">
        <v>91.1</v>
      </c>
      <c r="E69" s="586">
        <v>86.6</v>
      </c>
      <c r="F69" s="586">
        <v>96</v>
      </c>
      <c r="G69" s="587">
        <v>170</v>
      </c>
      <c r="H69" s="587">
        <v>100</v>
      </c>
      <c r="I69" s="583">
        <f t="shared" si="15"/>
        <v>-3.1000000000000085</v>
      </c>
      <c r="J69" s="583">
        <f t="shared" si="16"/>
        <v>1.2999999999999972</v>
      </c>
      <c r="K69" s="583">
        <f t="shared" si="17"/>
        <v>-2</v>
      </c>
      <c r="L69" s="1218"/>
      <c r="M69" s="588">
        <f t="shared" si="18"/>
        <v>94.3</v>
      </c>
      <c r="N69" s="588">
        <f t="shared" si="19"/>
        <v>88.23</v>
      </c>
      <c r="O69" s="588">
        <f t="shared" si="20"/>
        <v>98.13</v>
      </c>
      <c r="P69" s="583"/>
      <c r="Q69" s="588">
        <f t="shared" si="24"/>
        <v>-3.6300000000000097</v>
      </c>
      <c r="R69" s="588">
        <f t="shared" si="25"/>
        <v>-5.269999999999996</v>
      </c>
      <c r="S69" s="588">
        <f t="shared" si="26"/>
        <v>-3.8000000000000114</v>
      </c>
      <c r="T69" s="1218"/>
      <c r="U69" s="588">
        <f t="shared" si="21"/>
        <v>98.91</v>
      </c>
      <c r="V69" s="588">
        <f t="shared" si="22"/>
        <v>98.04</v>
      </c>
      <c r="W69" s="588">
        <f t="shared" si="23"/>
        <v>105.53</v>
      </c>
      <c r="X69" s="587"/>
      <c r="Y69" s="588">
        <f t="shared" si="12"/>
        <v>-1.3100000000000023</v>
      </c>
      <c r="Z69" s="588">
        <f t="shared" si="13"/>
        <v>-1.9099999999999966</v>
      </c>
      <c r="AA69" s="589">
        <f t="shared" si="14"/>
        <v>-1.5900000000000034</v>
      </c>
    </row>
    <row r="70" spans="1:27" s="500" customFormat="1">
      <c r="A70" s="482"/>
      <c r="B70" s="483" t="s">
        <v>141</v>
      </c>
      <c r="C70" s="484">
        <v>7</v>
      </c>
      <c r="D70" s="586">
        <v>93.9</v>
      </c>
      <c r="E70" s="586">
        <v>86.6</v>
      </c>
      <c r="F70" s="586">
        <v>95.5</v>
      </c>
      <c r="G70" s="587">
        <v>170</v>
      </c>
      <c r="H70" s="587">
        <v>100</v>
      </c>
      <c r="I70" s="583">
        <f t="shared" si="15"/>
        <v>2.8000000000000114</v>
      </c>
      <c r="J70" s="583">
        <f t="shared" si="16"/>
        <v>0</v>
      </c>
      <c r="K70" s="583">
        <f t="shared" si="17"/>
        <v>-0.5</v>
      </c>
      <c r="L70" s="1218"/>
      <c r="M70" s="588">
        <f t="shared" si="18"/>
        <v>93.07</v>
      </c>
      <c r="N70" s="588">
        <f t="shared" si="19"/>
        <v>86.17</v>
      </c>
      <c r="O70" s="588">
        <f t="shared" si="20"/>
        <v>96.5</v>
      </c>
      <c r="P70" s="583"/>
      <c r="Q70" s="588">
        <f t="shared" si="24"/>
        <v>-1.230000000000004</v>
      </c>
      <c r="R70" s="588">
        <f t="shared" si="25"/>
        <v>-2.0600000000000023</v>
      </c>
      <c r="S70" s="588">
        <f t="shared" si="26"/>
        <v>-1.6299999999999955</v>
      </c>
      <c r="T70" s="1218"/>
      <c r="U70" s="588">
        <f t="shared" si="21"/>
        <v>96.54</v>
      </c>
      <c r="V70" s="588">
        <f t="shared" si="22"/>
        <v>94.03</v>
      </c>
      <c r="W70" s="588">
        <f t="shared" si="23"/>
        <v>102.6</v>
      </c>
      <c r="X70" s="587"/>
      <c r="Y70" s="588">
        <f t="shared" si="12"/>
        <v>-2.3699999999999903</v>
      </c>
      <c r="Z70" s="588">
        <f t="shared" si="13"/>
        <v>-4.0100000000000051</v>
      </c>
      <c r="AA70" s="589">
        <f t="shared" si="14"/>
        <v>-2.9300000000000068</v>
      </c>
    </row>
    <row r="71" spans="1:27" s="500" customFormat="1">
      <c r="A71" s="482"/>
      <c r="B71" s="483" t="s">
        <v>141</v>
      </c>
      <c r="C71" s="484">
        <v>8</v>
      </c>
      <c r="D71" s="586">
        <v>88.6</v>
      </c>
      <c r="E71" s="586">
        <v>76.2</v>
      </c>
      <c r="F71" s="586">
        <v>91.4</v>
      </c>
      <c r="G71" s="587">
        <v>170</v>
      </c>
      <c r="H71" s="587">
        <v>100</v>
      </c>
      <c r="I71" s="583">
        <f t="shared" si="15"/>
        <v>-5.3000000000000114</v>
      </c>
      <c r="J71" s="583">
        <f t="shared" si="16"/>
        <v>-10.399999999999991</v>
      </c>
      <c r="K71" s="583">
        <f t="shared" si="17"/>
        <v>-4.0999999999999943</v>
      </c>
      <c r="L71" s="1218"/>
      <c r="M71" s="588">
        <f t="shared" si="18"/>
        <v>91.2</v>
      </c>
      <c r="N71" s="588">
        <f t="shared" si="19"/>
        <v>83.13</v>
      </c>
      <c r="O71" s="588">
        <f t="shared" si="20"/>
        <v>94.3</v>
      </c>
      <c r="P71" s="583"/>
      <c r="Q71" s="588">
        <f t="shared" si="24"/>
        <v>-1.8699999999999903</v>
      </c>
      <c r="R71" s="588">
        <f t="shared" si="25"/>
        <v>-3.0400000000000063</v>
      </c>
      <c r="S71" s="588">
        <f t="shared" si="26"/>
        <v>-2.2000000000000028</v>
      </c>
      <c r="T71" s="1218"/>
      <c r="U71" s="588">
        <f t="shared" si="21"/>
        <v>95.13</v>
      </c>
      <c r="V71" s="588">
        <f t="shared" si="22"/>
        <v>90.34</v>
      </c>
      <c r="W71" s="588">
        <f t="shared" si="23"/>
        <v>99.94</v>
      </c>
      <c r="X71" s="587"/>
      <c r="Y71" s="588">
        <f t="shared" si="12"/>
        <v>-1.4100000000000108</v>
      </c>
      <c r="Z71" s="588">
        <f t="shared" si="13"/>
        <v>-3.6899999999999977</v>
      </c>
      <c r="AA71" s="589">
        <f t="shared" si="14"/>
        <v>-2.6599999999999966</v>
      </c>
    </row>
    <row r="72" spans="1:27" s="500" customFormat="1">
      <c r="A72" s="482"/>
      <c r="B72" s="483" t="s">
        <v>141</v>
      </c>
      <c r="C72" s="484">
        <v>9</v>
      </c>
      <c r="D72" s="586">
        <v>89.9</v>
      </c>
      <c r="E72" s="586">
        <v>81.599999999999994</v>
      </c>
      <c r="F72" s="586">
        <v>94.7</v>
      </c>
      <c r="G72" s="587">
        <v>170</v>
      </c>
      <c r="H72" s="587">
        <v>100</v>
      </c>
      <c r="I72" s="583">
        <f t="shared" si="15"/>
        <v>1.3000000000000114</v>
      </c>
      <c r="J72" s="583">
        <f t="shared" si="16"/>
        <v>5.3999999999999915</v>
      </c>
      <c r="K72" s="583">
        <f t="shared" si="17"/>
        <v>3.2999999999999972</v>
      </c>
      <c r="L72" s="1218"/>
      <c r="M72" s="588">
        <f t="shared" si="18"/>
        <v>90.8</v>
      </c>
      <c r="N72" s="588">
        <f t="shared" si="19"/>
        <v>81.47</v>
      </c>
      <c r="O72" s="588">
        <f t="shared" si="20"/>
        <v>93.87</v>
      </c>
      <c r="P72" s="583"/>
      <c r="Q72" s="588">
        <f t="shared" si="24"/>
        <v>-0.40000000000000568</v>
      </c>
      <c r="R72" s="588">
        <f t="shared" si="25"/>
        <v>-1.6599999999999966</v>
      </c>
      <c r="S72" s="588">
        <f t="shared" si="26"/>
        <v>-0.42999999999999261</v>
      </c>
      <c r="T72" s="1218"/>
      <c r="U72" s="588">
        <f t="shared" si="21"/>
        <v>93.9</v>
      </c>
      <c r="V72" s="588">
        <f t="shared" si="22"/>
        <v>87.36</v>
      </c>
      <c r="W72" s="588">
        <f t="shared" si="23"/>
        <v>97.63</v>
      </c>
      <c r="X72" s="587"/>
      <c r="Y72" s="588">
        <f t="shared" si="12"/>
        <v>-1.2299999999999898</v>
      </c>
      <c r="Z72" s="588">
        <f t="shared" si="13"/>
        <v>-2.980000000000004</v>
      </c>
      <c r="AA72" s="589">
        <f t="shared" si="14"/>
        <v>-2.3100000000000023</v>
      </c>
    </row>
    <row r="73" spans="1:27" s="500" customFormat="1">
      <c r="A73" s="482"/>
      <c r="B73" s="483" t="s">
        <v>141</v>
      </c>
      <c r="C73" s="484">
        <v>10</v>
      </c>
      <c r="D73" s="586">
        <v>97</v>
      </c>
      <c r="E73" s="586">
        <v>82.9</v>
      </c>
      <c r="F73" s="586">
        <v>91.9</v>
      </c>
      <c r="G73" s="587">
        <v>170</v>
      </c>
      <c r="H73" s="587">
        <v>100</v>
      </c>
      <c r="I73" s="583">
        <f t="shared" si="15"/>
        <v>7.0999999999999943</v>
      </c>
      <c r="J73" s="583">
        <f t="shared" si="16"/>
        <v>1.3000000000000114</v>
      </c>
      <c r="K73" s="583">
        <f t="shared" si="17"/>
        <v>-2.7999999999999972</v>
      </c>
      <c r="L73" s="1218"/>
      <c r="M73" s="588">
        <f t="shared" si="18"/>
        <v>91.83</v>
      </c>
      <c r="N73" s="588">
        <f t="shared" si="19"/>
        <v>80.23</v>
      </c>
      <c r="O73" s="588">
        <f t="shared" si="20"/>
        <v>92.67</v>
      </c>
      <c r="P73" s="583"/>
      <c r="Q73" s="588">
        <f t="shared" si="24"/>
        <v>1.0300000000000011</v>
      </c>
      <c r="R73" s="588">
        <f t="shared" si="25"/>
        <v>-1.2399999999999949</v>
      </c>
      <c r="S73" s="588">
        <f t="shared" si="26"/>
        <v>-1.2000000000000028</v>
      </c>
      <c r="T73" s="1218"/>
      <c r="U73" s="588">
        <f t="shared" si="21"/>
        <v>93.19</v>
      </c>
      <c r="V73" s="588">
        <f t="shared" si="22"/>
        <v>84.57</v>
      </c>
      <c r="W73" s="588">
        <f t="shared" si="23"/>
        <v>95.41</v>
      </c>
      <c r="X73" s="587"/>
      <c r="Y73" s="588">
        <f t="shared" si="12"/>
        <v>-0.71000000000000796</v>
      </c>
      <c r="Z73" s="588">
        <f t="shared" si="13"/>
        <v>-2.7900000000000063</v>
      </c>
      <c r="AA73" s="589">
        <f t="shared" si="14"/>
        <v>-2.2199999999999989</v>
      </c>
    </row>
    <row r="74" spans="1:27" s="500" customFormat="1">
      <c r="A74" s="482"/>
      <c r="B74" s="483" t="s">
        <v>141</v>
      </c>
      <c r="C74" s="484">
        <v>11</v>
      </c>
      <c r="D74" s="586">
        <v>94.2</v>
      </c>
      <c r="E74" s="586">
        <v>82.5</v>
      </c>
      <c r="F74" s="586">
        <v>95.9</v>
      </c>
      <c r="G74" s="587">
        <v>170</v>
      </c>
      <c r="H74" s="587">
        <v>100</v>
      </c>
      <c r="I74" s="583">
        <f t="shared" si="15"/>
        <v>-2.7999999999999972</v>
      </c>
      <c r="J74" s="583">
        <f t="shared" si="16"/>
        <v>-0.40000000000000568</v>
      </c>
      <c r="K74" s="583">
        <f t="shared" si="17"/>
        <v>4</v>
      </c>
      <c r="L74" s="1218"/>
      <c r="M74" s="588">
        <f t="shared" si="18"/>
        <v>93.7</v>
      </c>
      <c r="N74" s="588">
        <f t="shared" si="19"/>
        <v>82.33</v>
      </c>
      <c r="O74" s="588">
        <f t="shared" si="20"/>
        <v>94.17</v>
      </c>
      <c r="P74" s="583"/>
      <c r="Q74" s="588">
        <f t="shared" si="24"/>
        <v>1.8700000000000045</v>
      </c>
      <c r="R74" s="588">
        <f t="shared" si="25"/>
        <v>2.0999999999999943</v>
      </c>
      <c r="S74" s="588">
        <f t="shared" si="26"/>
        <v>1.5</v>
      </c>
      <c r="T74" s="1218"/>
      <c r="U74" s="588">
        <f t="shared" si="21"/>
        <v>92.7</v>
      </c>
      <c r="V74" s="588">
        <f t="shared" si="22"/>
        <v>83.1</v>
      </c>
      <c r="W74" s="588">
        <f t="shared" si="23"/>
        <v>94.77</v>
      </c>
      <c r="X74" s="587"/>
      <c r="Y74" s="588">
        <f t="shared" si="12"/>
        <v>-0.48999999999999488</v>
      </c>
      <c r="Z74" s="588">
        <f t="shared" si="13"/>
        <v>-1.4699999999999989</v>
      </c>
      <c r="AA74" s="589">
        <f t="shared" si="14"/>
        <v>-0.64000000000000057</v>
      </c>
    </row>
    <row r="75" spans="1:27" s="500" customFormat="1">
      <c r="A75" s="486"/>
      <c r="B75" s="487" t="s">
        <v>141</v>
      </c>
      <c r="C75" s="488">
        <v>12</v>
      </c>
      <c r="D75" s="590">
        <v>93.1</v>
      </c>
      <c r="E75" s="590">
        <v>86.1</v>
      </c>
      <c r="F75" s="590">
        <v>96</v>
      </c>
      <c r="G75" s="591">
        <v>170</v>
      </c>
      <c r="H75" s="591">
        <v>100</v>
      </c>
      <c r="I75" s="592">
        <f t="shared" si="15"/>
        <v>-1.1000000000000085</v>
      </c>
      <c r="J75" s="592">
        <f t="shared" si="16"/>
        <v>3.5999999999999943</v>
      </c>
      <c r="K75" s="592">
        <f t="shared" si="17"/>
        <v>9.9999999999994316E-2</v>
      </c>
      <c r="L75" s="1219"/>
      <c r="M75" s="603">
        <f t="shared" si="18"/>
        <v>94.77</v>
      </c>
      <c r="N75" s="603">
        <f t="shared" si="19"/>
        <v>83.83</v>
      </c>
      <c r="O75" s="603">
        <f t="shared" si="20"/>
        <v>94.6</v>
      </c>
      <c r="P75" s="592"/>
      <c r="Q75" s="588">
        <f t="shared" si="24"/>
        <v>1.0699999999999932</v>
      </c>
      <c r="R75" s="588">
        <f t="shared" si="25"/>
        <v>1.5</v>
      </c>
      <c r="S75" s="588">
        <f t="shared" si="26"/>
        <v>0.42999999999999261</v>
      </c>
      <c r="T75" s="1219"/>
      <c r="U75" s="593">
        <f t="shared" si="21"/>
        <v>92.54</v>
      </c>
      <c r="V75" s="593">
        <f t="shared" si="22"/>
        <v>83.21</v>
      </c>
      <c r="W75" s="593">
        <f t="shared" si="23"/>
        <v>94.49</v>
      </c>
      <c r="X75" s="591"/>
      <c r="Y75" s="593">
        <f t="shared" si="12"/>
        <v>-0.15999999999999659</v>
      </c>
      <c r="Z75" s="593">
        <f t="shared" si="13"/>
        <v>0.10999999999999943</v>
      </c>
      <c r="AA75" s="594">
        <f t="shared" si="14"/>
        <v>-0.28000000000000114</v>
      </c>
    </row>
    <row r="76" spans="1:27" s="500" customFormat="1">
      <c r="A76" s="490" t="s">
        <v>575</v>
      </c>
      <c r="B76" s="491">
        <v>99</v>
      </c>
      <c r="C76" s="492">
        <v>1</v>
      </c>
      <c r="D76" s="595">
        <v>89.6</v>
      </c>
      <c r="E76" s="595">
        <v>78.5</v>
      </c>
      <c r="F76" s="595">
        <v>92.7</v>
      </c>
      <c r="G76" s="596">
        <v>170</v>
      </c>
      <c r="H76" s="596">
        <v>100</v>
      </c>
      <c r="I76" s="597">
        <f t="shared" si="15"/>
        <v>-3.5</v>
      </c>
      <c r="J76" s="597">
        <f t="shared" si="16"/>
        <v>-7.5999999999999943</v>
      </c>
      <c r="K76" s="597">
        <f t="shared" si="17"/>
        <v>-3.2999999999999972</v>
      </c>
      <c r="L76" s="1220"/>
      <c r="M76" s="584">
        <f t="shared" si="18"/>
        <v>92.3</v>
      </c>
      <c r="N76" s="584">
        <f t="shared" si="19"/>
        <v>82.37</v>
      </c>
      <c r="O76" s="584">
        <f t="shared" si="20"/>
        <v>94.87</v>
      </c>
      <c r="P76" s="597"/>
      <c r="Q76" s="588">
        <f t="shared" si="24"/>
        <v>-2.4699999999999989</v>
      </c>
      <c r="R76" s="588">
        <f t="shared" si="25"/>
        <v>-1.4599999999999937</v>
      </c>
      <c r="S76" s="588">
        <f t="shared" si="26"/>
        <v>0.27000000000001023</v>
      </c>
      <c r="T76" s="1220"/>
      <c r="U76" s="598">
        <f t="shared" si="21"/>
        <v>92.33</v>
      </c>
      <c r="V76" s="598">
        <f t="shared" si="22"/>
        <v>82.06</v>
      </c>
      <c r="W76" s="598">
        <f t="shared" si="23"/>
        <v>94.01</v>
      </c>
      <c r="X76" s="596"/>
      <c r="Y76" s="598">
        <f t="shared" ref="Y76:Y139" si="27">U76-U75</f>
        <v>-0.21000000000000796</v>
      </c>
      <c r="Z76" s="598">
        <f t="shared" ref="Z76:Z139" si="28">V76-V75</f>
        <v>-1.1499999999999915</v>
      </c>
      <c r="AA76" s="599">
        <f t="shared" ref="AA76:AA139" si="29">W76-W75</f>
        <v>-0.47999999999998977</v>
      </c>
    </row>
    <row r="77" spans="1:27" s="500" customFormat="1">
      <c r="A77" s="482"/>
      <c r="B77" s="483" t="s">
        <v>141</v>
      </c>
      <c r="C77" s="484">
        <v>2</v>
      </c>
      <c r="D77" s="586">
        <v>97.4</v>
      </c>
      <c r="E77" s="586">
        <v>82.2</v>
      </c>
      <c r="F77" s="586">
        <v>92.8</v>
      </c>
      <c r="G77" s="587">
        <v>170</v>
      </c>
      <c r="H77" s="587">
        <v>100</v>
      </c>
      <c r="I77" s="583">
        <f t="shared" si="15"/>
        <v>7.8000000000000114</v>
      </c>
      <c r="J77" s="583">
        <f t="shared" si="16"/>
        <v>3.7000000000000028</v>
      </c>
      <c r="K77" s="583">
        <f t="shared" si="17"/>
        <v>9.9999999999994316E-2</v>
      </c>
      <c r="L77" s="1218"/>
      <c r="M77" s="588">
        <f t="shared" si="18"/>
        <v>93.37</v>
      </c>
      <c r="N77" s="588">
        <f t="shared" si="19"/>
        <v>82.27</v>
      </c>
      <c r="O77" s="588">
        <f t="shared" si="20"/>
        <v>93.83</v>
      </c>
      <c r="P77" s="583"/>
      <c r="Q77" s="588">
        <f t="shared" si="24"/>
        <v>1.0700000000000074</v>
      </c>
      <c r="R77" s="588">
        <f t="shared" si="25"/>
        <v>-0.10000000000000853</v>
      </c>
      <c r="S77" s="588">
        <f t="shared" si="26"/>
        <v>-1.0400000000000063</v>
      </c>
      <c r="T77" s="1218"/>
      <c r="U77" s="588">
        <f t="shared" si="21"/>
        <v>92.83</v>
      </c>
      <c r="V77" s="588">
        <f t="shared" si="22"/>
        <v>81.430000000000007</v>
      </c>
      <c r="W77" s="588">
        <f t="shared" si="23"/>
        <v>93.63</v>
      </c>
      <c r="X77" s="587"/>
      <c r="Y77" s="588">
        <f t="shared" si="27"/>
        <v>0.5</v>
      </c>
      <c r="Z77" s="588">
        <f t="shared" si="28"/>
        <v>-0.62999999999999545</v>
      </c>
      <c r="AA77" s="589">
        <f t="shared" si="29"/>
        <v>-0.38000000000000966</v>
      </c>
    </row>
    <row r="78" spans="1:27" s="500" customFormat="1">
      <c r="A78" s="482"/>
      <c r="B78" s="483" t="s">
        <v>141</v>
      </c>
      <c r="C78" s="484">
        <v>3</v>
      </c>
      <c r="D78" s="586">
        <v>98.1</v>
      </c>
      <c r="E78" s="586">
        <v>93.2</v>
      </c>
      <c r="F78" s="586">
        <v>92</v>
      </c>
      <c r="G78" s="587">
        <v>170</v>
      </c>
      <c r="H78" s="587">
        <v>100</v>
      </c>
      <c r="I78" s="583">
        <f t="shared" si="15"/>
        <v>0.69999999999998863</v>
      </c>
      <c r="J78" s="583">
        <f t="shared" si="16"/>
        <v>11</v>
      </c>
      <c r="K78" s="583">
        <f t="shared" si="17"/>
        <v>-0.79999999999999716</v>
      </c>
      <c r="L78" s="1218"/>
      <c r="M78" s="588">
        <f t="shared" si="18"/>
        <v>95.03</v>
      </c>
      <c r="N78" s="588">
        <f t="shared" si="19"/>
        <v>84.63</v>
      </c>
      <c r="O78" s="588">
        <f t="shared" si="20"/>
        <v>92.5</v>
      </c>
      <c r="P78" s="583"/>
      <c r="Q78" s="588">
        <f t="shared" si="24"/>
        <v>1.6599999999999966</v>
      </c>
      <c r="R78" s="588">
        <f t="shared" si="25"/>
        <v>2.3599999999999994</v>
      </c>
      <c r="S78" s="588">
        <f t="shared" si="26"/>
        <v>-1.3299999999999983</v>
      </c>
      <c r="T78" s="1218"/>
      <c r="U78" s="588">
        <f t="shared" si="21"/>
        <v>94.19</v>
      </c>
      <c r="V78" s="588">
        <f t="shared" si="22"/>
        <v>83.86</v>
      </c>
      <c r="W78" s="588">
        <f t="shared" si="23"/>
        <v>93.71</v>
      </c>
      <c r="X78" s="587"/>
      <c r="Y78" s="588">
        <f t="shared" si="27"/>
        <v>1.3599999999999994</v>
      </c>
      <c r="Z78" s="588">
        <f t="shared" si="28"/>
        <v>2.4299999999999926</v>
      </c>
      <c r="AA78" s="589">
        <f t="shared" si="29"/>
        <v>7.9999999999998295E-2</v>
      </c>
    </row>
    <row r="79" spans="1:27" s="500" customFormat="1">
      <c r="A79" s="482"/>
      <c r="B79" s="483" t="s">
        <v>141</v>
      </c>
      <c r="C79" s="484">
        <v>4</v>
      </c>
      <c r="D79" s="586">
        <v>95.3</v>
      </c>
      <c r="E79" s="586">
        <v>84.7</v>
      </c>
      <c r="F79" s="586">
        <v>92.7</v>
      </c>
      <c r="G79" s="587">
        <v>170</v>
      </c>
      <c r="H79" s="587">
        <v>100</v>
      </c>
      <c r="I79" s="583">
        <f t="shared" si="15"/>
        <v>-2.7999999999999972</v>
      </c>
      <c r="J79" s="583">
        <f t="shared" si="16"/>
        <v>-8.5</v>
      </c>
      <c r="K79" s="583">
        <f t="shared" si="17"/>
        <v>0.70000000000000284</v>
      </c>
      <c r="L79" s="1218"/>
      <c r="M79" s="588">
        <f t="shared" si="18"/>
        <v>96.93</v>
      </c>
      <c r="N79" s="588">
        <f t="shared" si="19"/>
        <v>86.7</v>
      </c>
      <c r="O79" s="588">
        <f t="shared" si="20"/>
        <v>92.5</v>
      </c>
      <c r="P79" s="583"/>
      <c r="Q79" s="588">
        <f t="shared" si="24"/>
        <v>1.9000000000000057</v>
      </c>
      <c r="R79" s="588">
        <f t="shared" si="25"/>
        <v>2.0700000000000074</v>
      </c>
      <c r="S79" s="588">
        <f t="shared" si="26"/>
        <v>0</v>
      </c>
      <c r="T79" s="1218"/>
      <c r="U79" s="588">
        <f t="shared" si="21"/>
        <v>94.96</v>
      </c>
      <c r="V79" s="588">
        <f t="shared" si="22"/>
        <v>84.3</v>
      </c>
      <c r="W79" s="588">
        <f t="shared" si="23"/>
        <v>93.43</v>
      </c>
      <c r="X79" s="587"/>
      <c r="Y79" s="588">
        <f t="shared" si="27"/>
        <v>0.76999999999999602</v>
      </c>
      <c r="Z79" s="588">
        <f t="shared" si="28"/>
        <v>0.43999999999999773</v>
      </c>
      <c r="AA79" s="589">
        <f t="shared" si="29"/>
        <v>-0.27999999999998693</v>
      </c>
    </row>
    <row r="80" spans="1:27" s="500" customFormat="1">
      <c r="A80" s="482"/>
      <c r="B80" s="483" t="s">
        <v>141</v>
      </c>
      <c r="C80" s="484">
        <v>5</v>
      </c>
      <c r="D80" s="586">
        <v>95.1</v>
      </c>
      <c r="E80" s="586">
        <v>83</v>
      </c>
      <c r="F80" s="586">
        <v>89.7</v>
      </c>
      <c r="G80" s="587">
        <v>170</v>
      </c>
      <c r="H80" s="587">
        <v>100</v>
      </c>
      <c r="I80" s="583">
        <f t="shared" si="15"/>
        <v>-0.20000000000000284</v>
      </c>
      <c r="J80" s="583">
        <f t="shared" si="16"/>
        <v>-1.7000000000000028</v>
      </c>
      <c r="K80" s="583">
        <f t="shared" si="17"/>
        <v>-3</v>
      </c>
      <c r="L80" s="1218"/>
      <c r="M80" s="588">
        <f t="shared" si="18"/>
        <v>96.17</v>
      </c>
      <c r="N80" s="588">
        <f t="shared" si="19"/>
        <v>86.97</v>
      </c>
      <c r="O80" s="588">
        <f t="shared" si="20"/>
        <v>91.47</v>
      </c>
      <c r="P80" s="583"/>
      <c r="Q80" s="588">
        <f t="shared" si="24"/>
        <v>-0.76000000000000512</v>
      </c>
      <c r="R80" s="588">
        <f t="shared" si="25"/>
        <v>0.26999999999999602</v>
      </c>
      <c r="S80" s="588">
        <f t="shared" si="26"/>
        <v>-1.0300000000000011</v>
      </c>
      <c r="T80" s="1218"/>
      <c r="U80" s="588">
        <f t="shared" si="21"/>
        <v>94.69</v>
      </c>
      <c r="V80" s="588">
        <f t="shared" si="22"/>
        <v>84.31</v>
      </c>
      <c r="W80" s="588">
        <f t="shared" si="23"/>
        <v>93.11</v>
      </c>
      <c r="X80" s="587"/>
      <c r="Y80" s="588">
        <f t="shared" si="27"/>
        <v>-0.26999999999999602</v>
      </c>
      <c r="Z80" s="588">
        <f t="shared" si="28"/>
        <v>1.0000000000005116E-2</v>
      </c>
      <c r="AA80" s="589">
        <f t="shared" si="29"/>
        <v>-0.32000000000000739</v>
      </c>
    </row>
    <row r="81" spans="1:27" s="500" customFormat="1">
      <c r="A81" s="482"/>
      <c r="B81" s="483" t="s">
        <v>141</v>
      </c>
      <c r="C81" s="484">
        <v>6</v>
      </c>
      <c r="D81" s="586">
        <v>98.4</v>
      </c>
      <c r="E81" s="586">
        <v>88.6</v>
      </c>
      <c r="F81" s="586">
        <v>90.6</v>
      </c>
      <c r="G81" s="587"/>
      <c r="H81" s="587">
        <v>100</v>
      </c>
      <c r="I81" s="583">
        <f t="shared" si="15"/>
        <v>3.3000000000000114</v>
      </c>
      <c r="J81" s="583">
        <f t="shared" si="16"/>
        <v>5.5999999999999943</v>
      </c>
      <c r="K81" s="583">
        <f t="shared" si="17"/>
        <v>0.89999999999999147</v>
      </c>
      <c r="L81" s="1218"/>
      <c r="M81" s="588">
        <f t="shared" si="18"/>
        <v>96.27</v>
      </c>
      <c r="N81" s="588">
        <f t="shared" si="19"/>
        <v>85.43</v>
      </c>
      <c r="O81" s="588">
        <f t="shared" si="20"/>
        <v>91</v>
      </c>
      <c r="P81" s="583"/>
      <c r="Q81" s="588">
        <f t="shared" si="24"/>
        <v>9.9999999999994316E-2</v>
      </c>
      <c r="R81" s="588">
        <f t="shared" si="25"/>
        <v>-1.539999999999992</v>
      </c>
      <c r="S81" s="588">
        <f t="shared" si="26"/>
        <v>-0.46999999999999886</v>
      </c>
      <c r="T81" s="1218"/>
      <c r="U81" s="588">
        <f t="shared" si="21"/>
        <v>95.29</v>
      </c>
      <c r="V81" s="588">
        <f t="shared" si="22"/>
        <v>85.19</v>
      </c>
      <c r="W81" s="588">
        <f t="shared" si="23"/>
        <v>92.36</v>
      </c>
      <c r="X81" s="587"/>
      <c r="Y81" s="588">
        <f t="shared" si="27"/>
        <v>0.60000000000000853</v>
      </c>
      <c r="Z81" s="588">
        <f t="shared" si="28"/>
        <v>0.87999999999999545</v>
      </c>
      <c r="AA81" s="589">
        <f t="shared" si="29"/>
        <v>-0.75</v>
      </c>
    </row>
    <row r="82" spans="1:27" s="500" customFormat="1">
      <c r="A82" s="482"/>
      <c r="B82" s="483" t="s">
        <v>141</v>
      </c>
      <c r="C82" s="484">
        <v>7</v>
      </c>
      <c r="D82" s="586">
        <v>104</v>
      </c>
      <c r="E82" s="586">
        <v>90</v>
      </c>
      <c r="F82" s="586">
        <v>91.3</v>
      </c>
      <c r="G82" s="587"/>
      <c r="H82" s="587">
        <v>100</v>
      </c>
      <c r="I82" s="583">
        <f t="shared" si="15"/>
        <v>5.5999999999999943</v>
      </c>
      <c r="J82" s="583">
        <f t="shared" si="16"/>
        <v>1.4000000000000057</v>
      </c>
      <c r="K82" s="583">
        <f t="shared" si="17"/>
        <v>0.70000000000000284</v>
      </c>
      <c r="L82" s="1218"/>
      <c r="M82" s="588">
        <f t="shared" si="18"/>
        <v>99.17</v>
      </c>
      <c r="N82" s="588">
        <f t="shared" si="19"/>
        <v>87.2</v>
      </c>
      <c r="O82" s="588">
        <f t="shared" si="20"/>
        <v>90.53</v>
      </c>
      <c r="P82" s="583"/>
      <c r="Q82" s="588">
        <f t="shared" si="24"/>
        <v>2.9000000000000057</v>
      </c>
      <c r="R82" s="588">
        <f t="shared" si="25"/>
        <v>1.769999999999996</v>
      </c>
      <c r="S82" s="588">
        <f t="shared" si="26"/>
        <v>-0.46999999999999886</v>
      </c>
      <c r="T82" s="1218"/>
      <c r="U82" s="588">
        <f t="shared" si="21"/>
        <v>96.84</v>
      </c>
      <c r="V82" s="588">
        <f t="shared" si="22"/>
        <v>85.74</v>
      </c>
      <c r="W82" s="588">
        <f t="shared" si="23"/>
        <v>91.69</v>
      </c>
      <c r="X82" s="587"/>
      <c r="Y82" s="588">
        <f t="shared" si="27"/>
        <v>1.5499999999999972</v>
      </c>
      <c r="Z82" s="588">
        <f t="shared" si="28"/>
        <v>0.54999999999999716</v>
      </c>
      <c r="AA82" s="589">
        <f t="shared" si="29"/>
        <v>-0.67000000000000171</v>
      </c>
    </row>
    <row r="83" spans="1:27" s="500" customFormat="1">
      <c r="A83" s="482"/>
      <c r="B83" s="483" t="s">
        <v>141</v>
      </c>
      <c r="C83" s="484">
        <v>8</v>
      </c>
      <c r="D83" s="586">
        <v>101.4</v>
      </c>
      <c r="E83" s="586">
        <v>83.9</v>
      </c>
      <c r="F83" s="586">
        <v>88</v>
      </c>
      <c r="G83" s="587"/>
      <c r="H83" s="587">
        <v>100</v>
      </c>
      <c r="I83" s="583">
        <f t="shared" si="15"/>
        <v>-2.5999999999999943</v>
      </c>
      <c r="J83" s="583">
        <f t="shared" si="16"/>
        <v>-6.0999999999999943</v>
      </c>
      <c r="K83" s="583">
        <f t="shared" si="17"/>
        <v>-3.2999999999999972</v>
      </c>
      <c r="L83" s="1218"/>
      <c r="M83" s="588">
        <f t="shared" si="18"/>
        <v>101.27</v>
      </c>
      <c r="N83" s="588">
        <f t="shared" si="19"/>
        <v>87.5</v>
      </c>
      <c r="O83" s="588">
        <f t="shared" si="20"/>
        <v>89.97</v>
      </c>
      <c r="P83" s="583"/>
      <c r="Q83" s="588">
        <f t="shared" si="24"/>
        <v>2.0999999999999943</v>
      </c>
      <c r="R83" s="588">
        <f t="shared" si="25"/>
        <v>0.29999999999999716</v>
      </c>
      <c r="S83" s="588">
        <f t="shared" si="26"/>
        <v>-0.56000000000000227</v>
      </c>
      <c r="T83" s="1218"/>
      <c r="U83" s="588">
        <f t="shared" si="21"/>
        <v>98.53</v>
      </c>
      <c r="V83" s="588">
        <f t="shared" si="22"/>
        <v>86.51</v>
      </c>
      <c r="W83" s="588">
        <f t="shared" si="23"/>
        <v>91.01</v>
      </c>
      <c r="X83" s="587"/>
      <c r="Y83" s="588">
        <f t="shared" si="27"/>
        <v>1.6899999999999977</v>
      </c>
      <c r="Z83" s="588">
        <f t="shared" si="28"/>
        <v>0.77000000000001023</v>
      </c>
      <c r="AA83" s="589">
        <f t="shared" si="29"/>
        <v>-0.67999999999999261</v>
      </c>
    </row>
    <row r="84" spans="1:27" s="500" customFormat="1">
      <c r="A84" s="482"/>
      <c r="B84" s="483" t="s">
        <v>141</v>
      </c>
      <c r="C84" s="484">
        <v>9</v>
      </c>
      <c r="D84" s="586">
        <v>103.7</v>
      </c>
      <c r="E84" s="586">
        <v>92.3</v>
      </c>
      <c r="F84" s="586">
        <v>91</v>
      </c>
      <c r="G84" s="587"/>
      <c r="H84" s="587">
        <v>100</v>
      </c>
      <c r="I84" s="583">
        <f t="shared" si="15"/>
        <v>2.2999999999999972</v>
      </c>
      <c r="J84" s="583">
        <f t="shared" si="16"/>
        <v>8.3999999999999915</v>
      </c>
      <c r="K84" s="583">
        <f t="shared" si="17"/>
        <v>3</v>
      </c>
      <c r="L84" s="1218"/>
      <c r="M84" s="588">
        <f t="shared" si="18"/>
        <v>103.03</v>
      </c>
      <c r="N84" s="588">
        <f t="shared" si="19"/>
        <v>88.73</v>
      </c>
      <c r="O84" s="588">
        <f t="shared" si="20"/>
        <v>90.1</v>
      </c>
      <c r="P84" s="583"/>
      <c r="Q84" s="588">
        <f t="shared" si="24"/>
        <v>1.7600000000000051</v>
      </c>
      <c r="R84" s="588">
        <f t="shared" si="25"/>
        <v>1.230000000000004</v>
      </c>
      <c r="S84" s="588">
        <f t="shared" si="26"/>
        <v>0.12999999999999545</v>
      </c>
      <c r="T84" s="1218"/>
      <c r="U84" s="588">
        <f t="shared" si="21"/>
        <v>99.43</v>
      </c>
      <c r="V84" s="588">
        <f t="shared" si="22"/>
        <v>87.96</v>
      </c>
      <c r="W84" s="588">
        <f t="shared" si="23"/>
        <v>90.76</v>
      </c>
      <c r="X84" s="587"/>
      <c r="Y84" s="588">
        <f t="shared" si="27"/>
        <v>0.90000000000000568</v>
      </c>
      <c r="Z84" s="588">
        <f t="shared" si="28"/>
        <v>1.4499999999999886</v>
      </c>
      <c r="AA84" s="589">
        <f t="shared" si="29"/>
        <v>-0.25</v>
      </c>
    </row>
    <row r="85" spans="1:27" s="500" customFormat="1">
      <c r="A85" s="482"/>
      <c r="B85" s="483" t="s">
        <v>141</v>
      </c>
      <c r="C85" s="484">
        <v>10</v>
      </c>
      <c r="D85" s="586">
        <v>107</v>
      </c>
      <c r="E85" s="586">
        <v>91.4</v>
      </c>
      <c r="F85" s="586">
        <v>89.3</v>
      </c>
      <c r="G85" s="587"/>
      <c r="H85" s="587">
        <v>100</v>
      </c>
      <c r="I85" s="583">
        <f t="shared" si="15"/>
        <v>3.2999999999999972</v>
      </c>
      <c r="J85" s="583">
        <f t="shared" si="16"/>
        <v>-0.89999999999999147</v>
      </c>
      <c r="K85" s="583">
        <f t="shared" si="17"/>
        <v>-1.7000000000000028</v>
      </c>
      <c r="L85" s="1218"/>
      <c r="M85" s="588">
        <f t="shared" si="18"/>
        <v>104.03</v>
      </c>
      <c r="N85" s="588">
        <f t="shared" si="19"/>
        <v>89.2</v>
      </c>
      <c r="O85" s="588">
        <f t="shared" si="20"/>
        <v>89.43</v>
      </c>
      <c r="P85" s="583"/>
      <c r="Q85" s="588">
        <f t="shared" si="24"/>
        <v>1</v>
      </c>
      <c r="R85" s="588">
        <f t="shared" si="25"/>
        <v>0.46999999999999886</v>
      </c>
      <c r="S85" s="588">
        <f t="shared" si="26"/>
        <v>-0.66999999999998749</v>
      </c>
      <c r="T85" s="1218"/>
      <c r="U85" s="588">
        <f t="shared" si="21"/>
        <v>100.7</v>
      </c>
      <c r="V85" s="588">
        <f t="shared" si="22"/>
        <v>87.7</v>
      </c>
      <c r="W85" s="588">
        <f t="shared" si="23"/>
        <v>90.37</v>
      </c>
      <c r="X85" s="587"/>
      <c r="Y85" s="588">
        <f t="shared" si="27"/>
        <v>1.269999999999996</v>
      </c>
      <c r="Z85" s="588">
        <f t="shared" si="28"/>
        <v>-0.25999999999999091</v>
      </c>
      <c r="AA85" s="589">
        <f t="shared" si="29"/>
        <v>-0.39000000000000057</v>
      </c>
    </row>
    <row r="86" spans="1:27" s="500" customFormat="1">
      <c r="A86" s="482"/>
      <c r="B86" s="483" t="s">
        <v>141</v>
      </c>
      <c r="C86" s="484">
        <v>11</v>
      </c>
      <c r="D86" s="586">
        <v>108</v>
      </c>
      <c r="E86" s="586">
        <v>93.9</v>
      </c>
      <c r="F86" s="586">
        <v>85.2</v>
      </c>
      <c r="G86" s="587"/>
      <c r="H86" s="587">
        <v>100</v>
      </c>
      <c r="I86" s="583">
        <f t="shared" si="15"/>
        <v>1</v>
      </c>
      <c r="J86" s="583">
        <f t="shared" si="16"/>
        <v>2.5</v>
      </c>
      <c r="K86" s="583">
        <f t="shared" si="17"/>
        <v>-4.0999999999999943</v>
      </c>
      <c r="L86" s="1218"/>
      <c r="M86" s="588">
        <f t="shared" si="18"/>
        <v>106.23</v>
      </c>
      <c r="N86" s="588">
        <f t="shared" si="19"/>
        <v>92.53</v>
      </c>
      <c r="O86" s="588">
        <f t="shared" si="20"/>
        <v>88.5</v>
      </c>
      <c r="P86" s="583"/>
      <c r="Q86" s="588">
        <f t="shared" si="24"/>
        <v>2.2000000000000028</v>
      </c>
      <c r="R86" s="588">
        <f t="shared" si="25"/>
        <v>3.3299999999999983</v>
      </c>
      <c r="S86" s="588">
        <f t="shared" si="26"/>
        <v>-0.93000000000000682</v>
      </c>
      <c r="T86" s="1218"/>
      <c r="U86" s="588">
        <f t="shared" si="21"/>
        <v>102.51</v>
      </c>
      <c r="V86" s="588">
        <f t="shared" si="22"/>
        <v>89.01</v>
      </c>
      <c r="W86" s="588">
        <f t="shared" si="23"/>
        <v>89.3</v>
      </c>
      <c r="X86" s="587"/>
      <c r="Y86" s="588">
        <f t="shared" si="27"/>
        <v>1.8100000000000023</v>
      </c>
      <c r="Z86" s="588">
        <f t="shared" si="28"/>
        <v>1.3100000000000023</v>
      </c>
      <c r="AA86" s="589">
        <f t="shared" si="29"/>
        <v>-1.0700000000000074</v>
      </c>
    </row>
    <row r="87" spans="1:27" s="500" customFormat="1">
      <c r="A87" s="494"/>
      <c r="B87" s="495" t="s">
        <v>141</v>
      </c>
      <c r="C87" s="496">
        <v>12</v>
      </c>
      <c r="D87" s="600">
        <v>106.6</v>
      </c>
      <c r="E87" s="600">
        <v>92.1</v>
      </c>
      <c r="F87" s="600">
        <v>83</v>
      </c>
      <c r="G87" s="601"/>
      <c r="H87" s="601">
        <v>100</v>
      </c>
      <c r="I87" s="602">
        <f t="shared" si="15"/>
        <v>-1.4000000000000057</v>
      </c>
      <c r="J87" s="602">
        <f t="shared" si="16"/>
        <v>-1.8000000000000114</v>
      </c>
      <c r="K87" s="602">
        <f t="shared" si="17"/>
        <v>-2.2000000000000028</v>
      </c>
      <c r="L87" s="1221"/>
      <c r="M87" s="593">
        <f t="shared" si="18"/>
        <v>107.2</v>
      </c>
      <c r="N87" s="593">
        <f t="shared" si="19"/>
        <v>92.47</v>
      </c>
      <c r="O87" s="593">
        <f t="shared" si="20"/>
        <v>85.83</v>
      </c>
      <c r="P87" s="602"/>
      <c r="Q87" s="588">
        <f t="shared" si="24"/>
        <v>0.96999999999999886</v>
      </c>
      <c r="R87" s="588">
        <f t="shared" si="25"/>
        <v>-6.0000000000002274E-2</v>
      </c>
      <c r="S87" s="588">
        <f t="shared" si="26"/>
        <v>-2.6700000000000017</v>
      </c>
      <c r="T87" s="1221"/>
      <c r="U87" s="603">
        <f t="shared" si="21"/>
        <v>104.16</v>
      </c>
      <c r="V87" s="603">
        <f t="shared" si="22"/>
        <v>90.31</v>
      </c>
      <c r="W87" s="603">
        <f t="shared" si="23"/>
        <v>88.34</v>
      </c>
      <c r="X87" s="601"/>
      <c r="Y87" s="603">
        <f t="shared" si="27"/>
        <v>1.6499999999999915</v>
      </c>
      <c r="Z87" s="603">
        <f t="shared" si="28"/>
        <v>1.2999999999999972</v>
      </c>
      <c r="AA87" s="604">
        <f t="shared" si="29"/>
        <v>-0.95999999999999375</v>
      </c>
    </row>
    <row r="88" spans="1:27" s="500" customFormat="1">
      <c r="A88" s="478" t="s">
        <v>349</v>
      </c>
      <c r="B88" s="989" t="s">
        <v>653</v>
      </c>
      <c r="C88" s="480">
        <v>1</v>
      </c>
      <c r="D88" s="580">
        <v>106.2</v>
      </c>
      <c r="E88" s="580">
        <v>87.5</v>
      </c>
      <c r="F88" s="580">
        <v>85.7</v>
      </c>
      <c r="G88" s="581"/>
      <c r="H88" s="581">
        <v>100</v>
      </c>
      <c r="I88" s="582">
        <f t="shared" si="15"/>
        <v>-0.39999999999999147</v>
      </c>
      <c r="J88" s="582">
        <f t="shared" si="16"/>
        <v>-4.5999999999999943</v>
      </c>
      <c r="K88" s="582">
        <f t="shared" si="17"/>
        <v>2.7000000000000028</v>
      </c>
      <c r="L88" s="1217"/>
      <c r="M88" s="598">
        <f t="shared" si="18"/>
        <v>106.93</v>
      </c>
      <c r="N88" s="598">
        <f t="shared" si="19"/>
        <v>91.17</v>
      </c>
      <c r="O88" s="598">
        <f t="shared" si="20"/>
        <v>84.63</v>
      </c>
      <c r="P88" s="582"/>
      <c r="Q88" s="588">
        <f t="shared" si="24"/>
        <v>-0.26999999999999602</v>
      </c>
      <c r="R88" s="588">
        <f t="shared" si="25"/>
        <v>-1.2999999999999972</v>
      </c>
      <c r="S88" s="588">
        <f t="shared" si="26"/>
        <v>-1.2000000000000028</v>
      </c>
      <c r="T88" s="1217"/>
      <c r="U88" s="584">
        <f t="shared" si="21"/>
        <v>105.27</v>
      </c>
      <c r="V88" s="584">
        <f t="shared" si="22"/>
        <v>90.16</v>
      </c>
      <c r="W88" s="584">
        <f t="shared" si="23"/>
        <v>87.64</v>
      </c>
      <c r="X88" s="581"/>
      <c r="Y88" s="584">
        <f t="shared" si="27"/>
        <v>1.1099999999999994</v>
      </c>
      <c r="Z88" s="584">
        <f t="shared" si="28"/>
        <v>-0.15000000000000568</v>
      </c>
      <c r="AA88" s="585">
        <f t="shared" si="29"/>
        <v>-0.70000000000000284</v>
      </c>
    </row>
    <row r="89" spans="1:27" s="500" customFormat="1">
      <c r="A89" s="482"/>
      <c r="B89" s="483" t="s">
        <v>141</v>
      </c>
      <c r="C89" s="484">
        <v>2</v>
      </c>
      <c r="D89" s="586">
        <v>113.4</v>
      </c>
      <c r="E89" s="586">
        <v>96.8</v>
      </c>
      <c r="F89" s="586">
        <v>85.7</v>
      </c>
      <c r="G89" s="587"/>
      <c r="H89" s="587">
        <v>100</v>
      </c>
      <c r="I89" s="583">
        <f t="shared" si="15"/>
        <v>7.2000000000000028</v>
      </c>
      <c r="J89" s="583">
        <f t="shared" si="16"/>
        <v>9.2999999999999972</v>
      </c>
      <c r="K89" s="583">
        <f t="shared" si="17"/>
        <v>0</v>
      </c>
      <c r="L89" s="1218"/>
      <c r="M89" s="588">
        <f t="shared" si="18"/>
        <v>108.73</v>
      </c>
      <c r="N89" s="588">
        <f t="shared" si="19"/>
        <v>92.13</v>
      </c>
      <c r="O89" s="588">
        <f t="shared" si="20"/>
        <v>84.8</v>
      </c>
      <c r="P89" s="583"/>
      <c r="Q89" s="588">
        <f t="shared" si="24"/>
        <v>1.7999999999999972</v>
      </c>
      <c r="R89" s="588">
        <f t="shared" si="25"/>
        <v>0.95999999999999375</v>
      </c>
      <c r="S89" s="588">
        <f t="shared" si="26"/>
        <v>0.17000000000000171</v>
      </c>
      <c r="T89" s="1218"/>
      <c r="U89" s="588">
        <f t="shared" si="21"/>
        <v>106.61</v>
      </c>
      <c r="V89" s="588">
        <f t="shared" si="22"/>
        <v>91.13</v>
      </c>
      <c r="W89" s="588">
        <f t="shared" si="23"/>
        <v>86.84</v>
      </c>
      <c r="X89" s="587"/>
      <c r="Y89" s="588">
        <f t="shared" si="27"/>
        <v>1.3400000000000034</v>
      </c>
      <c r="Z89" s="588">
        <f t="shared" si="28"/>
        <v>0.96999999999999886</v>
      </c>
      <c r="AA89" s="589">
        <f t="shared" si="29"/>
        <v>-0.79999999999999716</v>
      </c>
    </row>
    <row r="90" spans="1:27" s="500" customFormat="1">
      <c r="A90" s="482"/>
      <c r="B90" s="483" t="s">
        <v>141</v>
      </c>
      <c r="C90" s="484">
        <v>3</v>
      </c>
      <c r="D90" s="586">
        <v>116.1</v>
      </c>
      <c r="E90" s="586">
        <v>106.2</v>
      </c>
      <c r="F90" s="586">
        <v>85.9</v>
      </c>
      <c r="G90" s="587"/>
      <c r="H90" s="587">
        <v>100</v>
      </c>
      <c r="I90" s="583">
        <f t="shared" si="15"/>
        <v>2.6999999999999886</v>
      </c>
      <c r="J90" s="583">
        <f t="shared" si="16"/>
        <v>9.4000000000000057</v>
      </c>
      <c r="K90" s="583">
        <f t="shared" si="17"/>
        <v>0.20000000000000284</v>
      </c>
      <c r="L90" s="1218"/>
      <c r="M90" s="588">
        <f t="shared" si="18"/>
        <v>111.9</v>
      </c>
      <c r="N90" s="588">
        <f t="shared" si="19"/>
        <v>96.83</v>
      </c>
      <c r="O90" s="588">
        <f t="shared" si="20"/>
        <v>85.77</v>
      </c>
      <c r="P90" s="583"/>
      <c r="Q90" s="588">
        <f t="shared" si="24"/>
        <v>3.1700000000000017</v>
      </c>
      <c r="R90" s="588">
        <f t="shared" si="25"/>
        <v>4.7000000000000028</v>
      </c>
      <c r="S90" s="588">
        <f t="shared" si="26"/>
        <v>0.96999999999999886</v>
      </c>
      <c r="T90" s="1218"/>
      <c r="U90" s="588">
        <f t="shared" si="21"/>
        <v>108.71</v>
      </c>
      <c r="V90" s="588">
        <f t="shared" si="22"/>
        <v>94.31</v>
      </c>
      <c r="W90" s="588">
        <f t="shared" si="23"/>
        <v>86.54</v>
      </c>
      <c r="X90" s="587"/>
      <c r="Y90" s="588">
        <f t="shared" si="27"/>
        <v>2.0999999999999943</v>
      </c>
      <c r="Z90" s="588">
        <f t="shared" si="28"/>
        <v>3.1800000000000068</v>
      </c>
      <c r="AA90" s="589">
        <f t="shared" si="29"/>
        <v>-0.29999999999999716</v>
      </c>
    </row>
    <row r="91" spans="1:27" s="500" customFormat="1">
      <c r="A91" s="482"/>
      <c r="B91" s="483" t="s">
        <v>141</v>
      </c>
      <c r="C91" s="484">
        <v>4</v>
      </c>
      <c r="D91" s="586">
        <v>109.9</v>
      </c>
      <c r="E91" s="586">
        <v>93.6</v>
      </c>
      <c r="F91" s="586">
        <v>87</v>
      </c>
      <c r="G91" s="587"/>
      <c r="H91" s="587">
        <v>100</v>
      </c>
      <c r="I91" s="583">
        <f t="shared" si="15"/>
        <v>-6.1999999999999886</v>
      </c>
      <c r="J91" s="583">
        <f t="shared" si="16"/>
        <v>-12.600000000000009</v>
      </c>
      <c r="K91" s="583">
        <f t="shared" si="17"/>
        <v>1.0999999999999943</v>
      </c>
      <c r="L91" s="1218"/>
      <c r="M91" s="588">
        <f t="shared" si="18"/>
        <v>113.13</v>
      </c>
      <c r="N91" s="588">
        <f t="shared" si="19"/>
        <v>98.87</v>
      </c>
      <c r="O91" s="588">
        <f t="shared" si="20"/>
        <v>86.2</v>
      </c>
      <c r="P91" s="583"/>
      <c r="Q91" s="588">
        <f t="shared" si="24"/>
        <v>1.2299999999999898</v>
      </c>
      <c r="R91" s="588">
        <f t="shared" si="25"/>
        <v>2.0400000000000063</v>
      </c>
      <c r="S91" s="588">
        <f t="shared" si="26"/>
        <v>0.43000000000000682</v>
      </c>
      <c r="T91" s="1218"/>
      <c r="U91" s="588">
        <f t="shared" si="21"/>
        <v>109.6</v>
      </c>
      <c r="V91" s="588">
        <f t="shared" si="22"/>
        <v>94.5</v>
      </c>
      <c r="W91" s="588">
        <f t="shared" si="23"/>
        <v>85.97</v>
      </c>
      <c r="X91" s="587"/>
      <c r="Y91" s="588">
        <f t="shared" si="27"/>
        <v>0.89000000000000057</v>
      </c>
      <c r="Z91" s="588">
        <f t="shared" si="28"/>
        <v>0.18999999999999773</v>
      </c>
      <c r="AA91" s="589">
        <f t="shared" si="29"/>
        <v>-0.57000000000000739</v>
      </c>
    </row>
    <row r="92" spans="1:27" s="500" customFormat="1">
      <c r="A92" s="482"/>
      <c r="B92" s="483" t="s">
        <v>141</v>
      </c>
      <c r="C92" s="484">
        <v>5</v>
      </c>
      <c r="D92" s="586">
        <v>112.1</v>
      </c>
      <c r="E92" s="586">
        <v>102.3</v>
      </c>
      <c r="F92" s="586">
        <v>89.1</v>
      </c>
      <c r="G92" s="587"/>
      <c r="H92" s="587">
        <v>100</v>
      </c>
      <c r="I92" s="583">
        <f t="shared" si="15"/>
        <v>2.1999999999999886</v>
      </c>
      <c r="J92" s="583">
        <f t="shared" si="16"/>
        <v>8.7000000000000028</v>
      </c>
      <c r="K92" s="583">
        <f t="shared" si="17"/>
        <v>2.0999999999999943</v>
      </c>
      <c r="L92" s="1218"/>
      <c r="M92" s="588">
        <f t="shared" si="18"/>
        <v>112.7</v>
      </c>
      <c r="N92" s="588">
        <f t="shared" si="19"/>
        <v>100.7</v>
      </c>
      <c r="O92" s="588">
        <f t="shared" si="20"/>
        <v>87.33</v>
      </c>
      <c r="P92" s="583"/>
      <c r="Q92" s="588">
        <f t="shared" si="24"/>
        <v>-0.42999999999999261</v>
      </c>
      <c r="R92" s="588">
        <f t="shared" si="25"/>
        <v>1.8299999999999983</v>
      </c>
      <c r="S92" s="588">
        <f t="shared" si="26"/>
        <v>1.1299999999999955</v>
      </c>
      <c r="T92" s="1218"/>
      <c r="U92" s="588">
        <f t="shared" si="21"/>
        <v>110.33</v>
      </c>
      <c r="V92" s="588">
        <f t="shared" si="22"/>
        <v>96.06</v>
      </c>
      <c r="W92" s="588">
        <f t="shared" si="23"/>
        <v>85.94</v>
      </c>
      <c r="X92" s="587"/>
      <c r="Y92" s="588">
        <f t="shared" si="27"/>
        <v>0.73000000000000398</v>
      </c>
      <c r="Z92" s="588">
        <f t="shared" si="28"/>
        <v>1.5600000000000023</v>
      </c>
      <c r="AA92" s="589">
        <f t="shared" si="29"/>
        <v>-3.0000000000001137E-2</v>
      </c>
    </row>
    <row r="93" spans="1:27" s="500" customFormat="1">
      <c r="A93" s="482"/>
      <c r="B93" s="483" t="s">
        <v>141</v>
      </c>
      <c r="C93" s="484">
        <v>6</v>
      </c>
      <c r="D93" s="586">
        <v>113.6</v>
      </c>
      <c r="E93" s="586">
        <v>104.8</v>
      </c>
      <c r="F93" s="586">
        <v>88.5</v>
      </c>
      <c r="G93" s="587"/>
      <c r="H93" s="587">
        <v>100</v>
      </c>
      <c r="I93" s="583">
        <f t="shared" si="15"/>
        <v>1.5</v>
      </c>
      <c r="J93" s="583">
        <f t="shared" si="16"/>
        <v>2.5</v>
      </c>
      <c r="K93" s="583">
        <f t="shared" si="17"/>
        <v>-0.59999999999999432</v>
      </c>
      <c r="L93" s="1218"/>
      <c r="M93" s="588">
        <f t="shared" si="18"/>
        <v>111.87</v>
      </c>
      <c r="N93" s="588">
        <f t="shared" si="19"/>
        <v>100.23</v>
      </c>
      <c r="O93" s="588">
        <f t="shared" si="20"/>
        <v>88.2</v>
      </c>
      <c r="P93" s="583"/>
      <c r="Q93" s="588">
        <f t="shared" si="24"/>
        <v>-0.82999999999999829</v>
      </c>
      <c r="R93" s="588">
        <f t="shared" si="25"/>
        <v>-0.46999999999999886</v>
      </c>
      <c r="S93" s="588">
        <f t="shared" si="26"/>
        <v>0.87000000000000455</v>
      </c>
      <c r="T93" s="1218"/>
      <c r="U93" s="588">
        <f t="shared" si="21"/>
        <v>111.13</v>
      </c>
      <c r="V93" s="588">
        <f t="shared" si="22"/>
        <v>97.61</v>
      </c>
      <c r="W93" s="588">
        <f t="shared" si="23"/>
        <v>86.41</v>
      </c>
      <c r="X93" s="587"/>
      <c r="Y93" s="588">
        <f t="shared" si="27"/>
        <v>0.79999999999999716</v>
      </c>
      <c r="Z93" s="588">
        <f t="shared" si="28"/>
        <v>1.5499999999999972</v>
      </c>
      <c r="AA93" s="589">
        <f t="shared" si="29"/>
        <v>0.46999999999999886</v>
      </c>
    </row>
    <row r="94" spans="1:27" s="500" customFormat="1">
      <c r="A94" s="482"/>
      <c r="B94" s="483" t="s">
        <v>141</v>
      </c>
      <c r="C94" s="484">
        <v>7</v>
      </c>
      <c r="D94" s="586">
        <v>111.5</v>
      </c>
      <c r="E94" s="586">
        <v>106.3</v>
      </c>
      <c r="F94" s="586">
        <v>89.4</v>
      </c>
      <c r="G94" s="587"/>
      <c r="H94" s="587">
        <v>100</v>
      </c>
      <c r="I94" s="583">
        <f t="shared" si="15"/>
        <v>-2.0999999999999943</v>
      </c>
      <c r="J94" s="583">
        <f t="shared" si="16"/>
        <v>1.5</v>
      </c>
      <c r="K94" s="583">
        <f t="shared" si="17"/>
        <v>0.90000000000000568</v>
      </c>
      <c r="L94" s="1218"/>
      <c r="M94" s="588">
        <f t="shared" si="18"/>
        <v>112.4</v>
      </c>
      <c r="N94" s="588">
        <f t="shared" si="19"/>
        <v>104.47</v>
      </c>
      <c r="O94" s="588">
        <f t="shared" si="20"/>
        <v>89</v>
      </c>
      <c r="P94" s="583"/>
      <c r="Q94" s="588">
        <f t="shared" si="24"/>
        <v>0.53000000000000114</v>
      </c>
      <c r="R94" s="588">
        <f t="shared" si="25"/>
        <v>4.2399999999999949</v>
      </c>
      <c r="S94" s="588">
        <f t="shared" si="26"/>
        <v>0.79999999999999716</v>
      </c>
      <c r="T94" s="1218"/>
      <c r="U94" s="588">
        <f t="shared" si="21"/>
        <v>111.83</v>
      </c>
      <c r="V94" s="588">
        <f t="shared" si="22"/>
        <v>99.64</v>
      </c>
      <c r="W94" s="588">
        <f t="shared" si="23"/>
        <v>87.33</v>
      </c>
      <c r="X94" s="587"/>
      <c r="Y94" s="588">
        <f t="shared" si="27"/>
        <v>0.70000000000000284</v>
      </c>
      <c r="Z94" s="588">
        <f t="shared" si="28"/>
        <v>2.0300000000000011</v>
      </c>
      <c r="AA94" s="589">
        <f t="shared" si="29"/>
        <v>0.92000000000000171</v>
      </c>
    </row>
    <row r="95" spans="1:27" s="500" customFormat="1">
      <c r="A95" s="482"/>
      <c r="B95" s="483" t="s">
        <v>141</v>
      </c>
      <c r="C95" s="484">
        <v>8</v>
      </c>
      <c r="D95" s="586">
        <v>115.4</v>
      </c>
      <c r="E95" s="586">
        <v>102.3</v>
      </c>
      <c r="F95" s="586">
        <v>88.2</v>
      </c>
      <c r="G95" s="587"/>
      <c r="H95" s="587">
        <v>100</v>
      </c>
      <c r="I95" s="583">
        <f t="shared" si="15"/>
        <v>3.9000000000000057</v>
      </c>
      <c r="J95" s="583">
        <f t="shared" si="16"/>
        <v>-4</v>
      </c>
      <c r="K95" s="583">
        <f t="shared" si="17"/>
        <v>-1.2000000000000028</v>
      </c>
      <c r="L95" s="1218"/>
      <c r="M95" s="588">
        <f t="shared" si="18"/>
        <v>113.5</v>
      </c>
      <c r="N95" s="588">
        <f t="shared" si="19"/>
        <v>104.47</v>
      </c>
      <c r="O95" s="588">
        <f t="shared" si="20"/>
        <v>88.7</v>
      </c>
      <c r="P95" s="583"/>
      <c r="Q95" s="588">
        <f t="shared" si="24"/>
        <v>1.0999999999999943</v>
      </c>
      <c r="R95" s="588">
        <f t="shared" si="25"/>
        <v>0</v>
      </c>
      <c r="S95" s="588">
        <f t="shared" si="26"/>
        <v>-0.29999999999999716</v>
      </c>
      <c r="T95" s="1218"/>
      <c r="U95" s="588">
        <f t="shared" si="21"/>
        <v>113.14</v>
      </c>
      <c r="V95" s="588">
        <f t="shared" si="22"/>
        <v>101.76</v>
      </c>
      <c r="W95" s="588">
        <f t="shared" si="23"/>
        <v>87.69</v>
      </c>
      <c r="X95" s="587"/>
      <c r="Y95" s="588">
        <f t="shared" si="27"/>
        <v>1.3100000000000023</v>
      </c>
      <c r="Z95" s="588">
        <f t="shared" si="28"/>
        <v>2.1200000000000045</v>
      </c>
      <c r="AA95" s="589">
        <f t="shared" si="29"/>
        <v>0.35999999999999943</v>
      </c>
    </row>
    <row r="96" spans="1:27" s="500" customFormat="1">
      <c r="A96" s="482"/>
      <c r="B96" s="483" t="s">
        <v>141</v>
      </c>
      <c r="C96" s="484">
        <v>9</v>
      </c>
      <c r="D96" s="586">
        <v>111.7</v>
      </c>
      <c r="E96" s="586">
        <v>107.8</v>
      </c>
      <c r="F96" s="586">
        <v>88.1</v>
      </c>
      <c r="G96" s="587"/>
      <c r="H96" s="587">
        <v>100</v>
      </c>
      <c r="I96" s="583">
        <f t="shared" si="15"/>
        <v>-3.7000000000000028</v>
      </c>
      <c r="J96" s="583">
        <f t="shared" si="16"/>
        <v>5.5</v>
      </c>
      <c r="K96" s="583">
        <f t="shared" si="17"/>
        <v>-0.10000000000000853</v>
      </c>
      <c r="L96" s="1218"/>
      <c r="M96" s="588">
        <f t="shared" ref="M96:M127" si="30">ROUND(AVERAGE(D94:D96),2)</f>
        <v>112.87</v>
      </c>
      <c r="N96" s="588">
        <f t="shared" ref="N96:N127" si="31">ROUND(AVERAGE(E94:E96),2)</f>
        <v>105.47</v>
      </c>
      <c r="O96" s="588">
        <f t="shared" ref="O96:O127" si="32">ROUND(AVERAGE(F94:F96),2)</f>
        <v>88.57</v>
      </c>
      <c r="P96" s="583"/>
      <c r="Q96" s="588">
        <f t="shared" si="24"/>
        <v>-0.62999999999999545</v>
      </c>
      <c r="R96" s="588">
        <f t="shared" si="25"/>
        <v>1</v>
      </c>
      <c r="S96" s="588">
        <f t="shared" si="26"/>
        <v>-0.13000000000000966</v>
      </c>
      <c r="T96" s="1218"/>
      <c r="U96" s="588">
        <f t="shared" ref="U96:U127" si="33">ROUND(AVERAGE(D90:D96),2)</f>
        <v>112.9</v>
      </c>
      <c r="V96" s="588">
        <f t="shared" ref="V96:V127" si="34">ROUND(AVERAGE(E90:E96),2)</f>
        <v>103.33</v>
      </c>
      <c r="W96" s="588">
        <f t="shared" ref="W96:W127" si="35">ROUND(AVERAGE(F90:F96),2)</f>
        <v>88.03</v>
      </c>
      <c r="X96" s="587"/>
      <c r="Y96" s="588">
        <f t="shared" si="27"/>
        <v>-0.23999999999999488</v>
      </c>
      <c r="Z96" s="588">
        <f t="shared" si="28"/>
        <v>1.5699999999999932</v>
      </c>
      <c r="AA96" s="589">
        <f t="shared" si="29"/>
        <v>0.34000000000000341</v>
      </c>
    </row>
    <row r="97" spans="1:27" s="500" customFormat="1">
      <c r="A97" s="482"/>
      <c r="B97" s="483"/>
      <c r="C97" s="484">
        <v>10</v>
      </c>
      <c r="D97" s="586">
        <v>112.6</v>
      </c>
      <c r="E97" s="586">
        <v>109</v>
      </c>
      <c r="F97" s="586">
        <v>87.8</v>
      </c>
      <c r="G97" s="587"/>
      <c r="H97" s="587">
        <v>100</v>
      </c>
      <c r="I97" s="583">
        <f t="shared" si="15"/>
        <v>0.89999999999999147</v>
      </c>
      <c r="J97" s="583">
        <f t="shared" si="16"/>
        <v>1.2000000000000028</v>
      </c>
      <c r="K97" s="583">
        <f t="shared" si="17"/>
        <v>-0.29999999999999716</v>
      </c>
      <c r="L97" s="1218"/>
      <c r="M97" s="588">
        <f t="shared" si="30"/>
        <v>113.23</v>
      </c>
      <c r="N97" s="588">
        <f t="shared" si="31"/>
        <v>106.37</v>
      </c>
      <c r="O97" s="588">
        <f t="shared" si="32"/>
        <v>88.03</v>
      </c>
      <c r="P97" s="583"/>
      <c r="Q97" s="588">
        <f t="shared" si="24"/>
        <v>0.35999999999999943</v>
      </c>
      <c r="R97" s="588">
        <f t="shared" si="25"/>
        <v>0.90000000000000568</v>
      </c>
      <c r="S97" s="588">
        <f t="shared" si="26"/>
        <v>-0.53999999999999204</v>
      </c>
      <c r="T97" s="1218"/>
      <c r="U97" s="588">
        <f t="shared" si="33"/>
        <v>112.4</v>
      </c>
      <c r="V97" s="588">
        <f t="shared" si="34"/>
        <v>103.73</v>
      </c>
      <c r="W97" s="588">
        <f t="shared" si="35"/>
        <v>88.3</v>
      </c>
      <c r="X97" s="587"/>
      <c r="Y97" s="588">
        <f t="shared" si="27"/>
        <v>-0.5</v>
      </c>
      <c r="Z97" s="588">
        <f t="shared" si="28"/>
        <v>0.40000000000000568</v>
      </c>
      <c r="AA97" s="589">
        <f t="shared" si="29"/>
        <v>0.26999999999999602</v>
      </c>
    </row>
    <row r="98" spans="1:27" s="500" customFormat="1">
      <c r="A98" s="482"/>
      <c r="B98" s="483" t="s">
        <v>141</v>
      </c>
      <c r="C98" s="484">
        <v>11</v>
      </c>
      <c r="D98" s="586">
        <v>117</v>
      </c>
      <c r="E98" s="586">
        <v>110.8</v>
      </c>
      <c r="F98" s="586">
        <v>89.7</v>
      </c>
      <c r="G98" s="587"/>
      <c r="H98" s="587">
        <v>100</v>
      </c>
      <c r="I98" s="583">
        <f t="shared" si="15"/>
        <v>4.4000000000000057</v>
      </c>
      <c r="J98" s="583">
        <f t="shared" si="16"/>
        <v>1.7999999999999972</v>
      </c>
      <c r="K98" s="583">
        <f t="shared" si="17"/>
        <v>1.9000000000000057</v>
      </c>
      <c r="L98" s="1218"/>
      <c r="M98" s="588">
        <f t="shared" si="30"/>
        <v>113.77</v>
      </c>
      <c r="N98" s="588">
        <f t="shared" si="31"/>
        <v>109.2</v>
      </c>
      <c r="O98" s="588">
        <f t="shared" si="32"/>
        <v>88.53</v>
      </c>
      <c r="P98" s="583"/>
      <c r="Q98" s="588">
        <f t="shared" si="24"/>
        <v>0.53999999999999204</v>
      </c>
      <c r="R98" s="588">
        <f t="shared" si="25"/>
        <v>2.8299999999999983</v>
      </c>
      <c r="S98" s="588">
        <f t="shared" si="26"/>
        <v>0.5</v>
      </c>
      <c r="T98" s="1218"/>
      <c r="U98" s="588">
        <f t="shared" si="33"/>
        <v>113.41</v>
      </c>
      <c r="V98" s="588">
        <f t="shared" si="34"/>
        <v>106.19</v>
      </c>
      <c r="W98" s="588">
        <f t="shared" si="35"/>
        <v>88.69</v>
      </c>
      <c r="X98" s="587"/>
      <c r="Y98" s="588">
        <f t="shared" si="27"/>
        <v>1.0099999999999909</v>
      </c>
      <c r="Z98" s="588">
        <f t="shared" si="28"/>
        <v>2.4599999999999937</v>
      </c>
      <c r="AA98" s="589">
        <f t="shared" si="29"/>
        <v>0.39000000000000057</v>
      </c>
    </row>
    <row r="99" spans="1:27" s="500" customFormat="1">
      <c r="A99" s="486"/>
      <c r="B99" s="487" t="s">
        <v>141</v>
      </c>
      <c r="C99" s="488">
        <v>12</v>
      </c>
      <c r="D99" s="590">
        <v>112.7</v>
      </c>
      <c r="E99" s="590">
        <v>110.4</v>
      </c>
      <c r="F99" s="590">
        <v>89.5</v>
      </c>
      <c r="G99" s="591">
        <v>170</v>
      </c>
      <c r="H99" s="591">
        <v>100</v>
      </c>
      <c r="I99" s="592">
        <f t="shared" si="15"/>
        <v>-4.2999999999999972</v>
      </c>
      <c r="J99" s="592">
        <f t="shared" si="16"/>
        <v>-0.39999999999999147</v>
      </c>
      <c r="K99" s="592">
        <f t="shared" si="17"/>
        <v>-0.20000000000000284</v>
      </c>
      <c r="L99" s="1219"/>
      <c r="M99" s="603">
        <f t="shared" si="30"/>
        <v>114.1</v>
      </c>
      <c r="N99" s="603">
        <f t="shared" si="31"/>
        <v>110.07</v>
      </c>
      <c r="O99" s="603">
        <f t="shared" si="32"/>
        <v>89</v>
      </c>
      <c r="P99" s="592"/>
      <c r="Q99" s="588">
        <f t="shared" si="24"/>
        <v>0.32999999999999829</v>
      </c>
      <c r="R99" s="588">
        <f t="shared" si="25"/>
        <v>0.86999999999999034</v>
      </c>
      <c r="S99" s="588">
        <f t="shared" si="26"/>
        <v>0.46999999999999886</v>
      </c>
      <c r="T99" s="1219"/>
      <c r="U99" s="593">
        <f t="shared" si="33"/>
        <v>113.5</v>
      </c>
      <c r="V99" s="593">
        <f t="shared" si="34"/>
        <v>107.34</v>
      </c>
      <c r="W99" s="593">
        <f t="shared" si="35"/>
        <v>88.74</v>
      </c>
      <c r="X99" s="591"/>
      <c r="Y99" s="593">
        <f t="shared" si="27"/>
        <v>9.0000000000003411E-2</v>
      </c>
      <c r="Z99" s="593">
        <f t="shared" si="28"/>
        <v>1.1500000000000057</v>
      </c>
      <c r="AA99" s="594">
        <f t="shared" si="29"/>
        <v>4.9999999999997158E-2</v>
      </c>
    </row>
    <row r="100" spans="1:27" s="500" customFormat="1">
      <c r="A100" s="490">
        <v>13</v>
      </c>
      <c r="B100" s="990" t="s">
        <v>654</v>
      </c>
      <c r="C100" s="492">
        <v>1</v>
      </c>
      <c r="D100" s="595">
        <v>103.7</v>
      </c>
      <c r="E100" s="595">
        <v>106.4</v>
      </c>
      <c r="F100" s="595">
        <v>89.1</v>
      </c>
      <c r="G100" s="596">
        <v>170</v>
      </c>
      <c r="H100" s="596">
        <v>100</v>
      </c>
      <c r="I100" s="597">
        <f t="shared" si="15"/>
        <v>-9</v>
      </c>
      <c r="J100" s="597">
        <f t="shared" si="16"/>
        <v>-4</v>
      </c>
      <c r="K100" s="597">
        <f t="shared" si="17"/>
        <v>-0.40000000000000568</v>
      </c>
      <c r="L100" s="1220"/>
      <c r="M100" s="584">
        <f t="shared" si="30"/>
        <v>111.13</v>
      </c>
      <c r="N100" s="584">
        <f t="shared" si="31"/>
        <v>109.2</v>
      </c>
      <c r="O100" s="584">
        <f t="shared" si="32"/>
        <v>89.43</v>
      </c>
      <c r="P100" s="597"/>
      <c r="Q100" s="588">
        <f t="shared" si="24"/>
        <v>-2.9699999999999989</v>
      </c>
      <c r="R100" s="588">
        <f t="shared" si="25"/>
        <v>-0.86999999999999034</v>
      </c>
      <c r="S100" s="588">
        <f t="shared" si="26"/>
        <v>0.43000000000000682</v>
      </c>
      <c r="T100" s="1220"/>
      <c r="U100" s="598">
        <f t="shared" si="33"/>
        <v>112.09</v>
      </c>
      <c r="V100" s="598">
        <f t="shared" si="34"/>
        <v>107.57</v>
      </c>
      <c r="W100" s="598">
        <f t="shared" si="35"/>
        <v>88.83</v>
      </c>
      <c r="X100" s="596"/>
      <c r="Y100" s="598">
        <f t="shared" si="27"/>
        <v>-1.4099999999999966</v>
      </c>
      <c r="Z100" s="598">
        <f t="shared" si="28"/>
        <v>0.22999999999998977</v>
      </c>
      <c r="AA100" s="599">
        <f t="shared" si="29"/>
        <v>9.0000000000003411E-2</v>
      </c>
    </row>
    <row r="101" spans="1:27" s="500" customFormat="1">
      <c r="A101" s="482"/>
      <c r="B101" s="483" t="s">
        <v>141</v>
      </c>
      <c r="C101" s="484">
        <v>2</v>
      </c>
      <c r="D101" s="586">
        <v>102.5</v>
      </c>
      <c r="E101" s="586">
        <v>107</v>
      </c>
      <c r="F101" s="586">
        <v>89.2</v>
      </c>
      <c r="G101" s="587">
        <v>170</v>
      </c>
      <c r="H101" s="587">
        <v>100</v>
      </c>
      <c r="I101" s="583">
        <f t="shared" si="15"/>
        <v>-1.2000000000000028</v>
      </c>
      <c r="J101" s="583">
        <f t="shared" si="16"/>
        <v>0.59999999999999432</v>
      </c>
      <c r="K101" s="583">
        <f t="shared" si="17"/>
        <v>0.10000000000000853</v>
      </c>
      <c r="L101" s="1218"/>
      <c r="M101" s="588">
        <f t="shared" si="30"/>
        <v>106.3</v>
      </c>
      <c r="N101" s="588">
        <f t="shared" si="31"/>
        <v>107.93</v>
      </c>
      <c r="O101" s="588">
        <f t="shared" si="32"/>
        <v>89.27</v>
      </c>
      <c r="P101" s="583"/>
      <c r="Q101" s="588">
        <f t="shared" si="24"/>
        <v>-4.8299999999999983</v>
      </c>
      <c r="R101" s="588">
        <f t="shared" si="25"/>
        <v>-1.269999999999996</v>
      </c>
      <c r="S101" s="588">
        <f t="shared" si="26"/>
        <v>-0.1600000000000108</v>
      </c>
      <c r="T101" s="1218"/>
      <c r="U101" s="588">
        <f t="shared" si="33"/>
        <v>110.8</v>
      </c>
      <c r="V101" s="588">
        <f t="shared" si="34"/>
        <v>107.67</v>
      </c>
      <c r="W101" s="588">
        <f t="shared" si="35"/>
        <v>88.8</v>
      </c>
      <c r="X101" s="587"/>
      <c r="Y101" s="588">
        <f t="shared" si="27"/>
        <v>-1.2900000000000063</v>
      </c>
      <c r="Z101" s="588">
        <f t="shared" si="28"/>
        <v>0.10000000000000853</v>
      </c>
      <c r="AA101" s="589">
        <f t="shared" si="29"/>
        <v>-3.0000000000001137E-2</v>
      </c>
    </row>
    <row r="102" spans="1:27" s="500" customFormat="1">
      <c r="A102" s="482"/>
      <c r="B102" s="483" t="s">
        <v>141</v>
      </c>
      <c r="C102" s="484">
        <v>3</v>
      </c>
      <c r="D102" s="586">
        <v>100.5</v>
      </c>
      <c r="E102" s="586">
        <v>107</v>
      </c>
      <c r="F102" s="586">
        <v>87.5</v>
      </c>
      <c r="G102" s="587">
        <v>170</v>
      </c>
      <c r="H102" s="587">
        <v>100</v>
      </c>
      <c r="I102" s="583">
        <f t="shared" si="15"/>
        <v>-2</v>
      </c>
      <c r="J102" s="583">
        <f t="shared" si="16"/>
        <v>0</v>
      </c>
      <c r="K102" s="583">
        <f t="shared" si="17"/>
        <v>-1.7000000000000028</v>
      </c>
      <c r="L102" s="1218"/>
      <c r="M102" s="588">
        <f t="shared" si="30"/>
        <v>102.23</v>
      </c>
      <c r="N102" s="588">
        <f t="shared" si="31"/>
        <v>106.8</v>
      </c>
      <c r="O102" s="588">
        <f t="shared" si="32"/>
        <v>88.6</v>
      </c>
      <c r="P102" s="583"/>
      <c r="Q102" s="588">
        <f t="shared" si="24"/>
        <v>-4.0699999999999932</v>
      </c>
      <c r="R102" s="588">
        <f t="shared" si="25"/>
        <v>-1.1300000000000097</v>
      </c>
      <c r="S102" s="588">
        <f t="shared" si="26"/>
        <v>-0.67000000000000171</v>
      </c>
      <c r="T102" s="1218"/>
      <c r="U102" s="588">
        <f t="shared" si="33"/>
        <v>108.67</v>
      </c>
      <c r="V102" s="588">
        <f t="shared" si="34"/>
        <v>108.34</v>
      </c>
      <c r="W102" s="588">
        <f t="shared" si="35"/>
        <v>88.7</v>
      </c>
      <c r="X102" s="587"/>
      <c r="Y102" s="588">
        <f t="shared" si="27"/>
        <v>-2.1299999999999955</v>
      </c>
      <c r="Z102" s="588">
        <f t="shared" si="28"/>
        <v>0.67000000000000171</v>
      </c>
      <c r="AA102" s="589">
        <f t="shared" si="29"/>
        <v>-9.9999999999994316E-2</v>
      </c>
    </row>
    <row r="103" spans="1:27" s="500" customFormat="1">
      <c r="A103" s="482"/>
      <c r="B103" s="483" t="s">
        <v>141</v>
      </c>
      <c r="C103" s="484">
        <v>4</v>
      </c>
      <c r="D103" s="586">
        <v>102.8</v>
      </c>
      <c r="E103" s="586">
        <v>99.8</v>
      </c>
      <c r="F103" s="586">
        <v>86</v>
      </c>
      <c r="G103" s="587">
        <v>170</v>
      </c>
      <c r="H103" s="587">
        <v>100</v>
      </c>
      <c r="I103" s="583">
        <f t="shared" si="15"/>
        <v>2.2999999999999972</v>
      </c>
      <c r="J103" s="583">
        <f t="shared" si="16"/>
        <v>-7.2000000000000028</v>
      </c>
      <c r="K103" s="583">
        <f t="shared" si="17"/>
        <v>-1.5</v>
      </c>
      <c r="L103" s="1218"/>
      <c r="M103" s="588">
        <f t="shared" si="30"/>
        <v>101.93</v>
      </c>
      <c r="N103" s="588">
        <f t="shared" si="31"/>
        <v>104.6</v>
      </c>
      <c r="O103" s="588">
        <f t="shared" si="32"/>
        <v>87.57</v>
      </c>
      <c r="P103" s="583"/>
      <c r="Q103" s="588">
        <f t="shared" si="24"/>
        <v>-0.29999999999999716</v>
      </c>
      <c r="R103" s="588">
        <f t="shared" si="25"/>
        <v>-2.2000000000000028</v>
      </c>
      <c r="S103" s="588">
        <f t="shared" si="26"/>
        <v>-1.0300000000000011</v>
      </c>
      <c r="T103" s="1218"/>
      <c r="U103" s="588">
        <f t="shared" si="33"/>
        <v>107.4</v>
      </c>
      <c r="V103" s="588">
        <f t="shared" si="34"/>
        <v>107.2</v>
      </c>
      <c r="W103" s="588">
        <f t="shared" si="35"/>
        <v>88.4</v>
      </c>
      <c r="X103" s="587"/>
      <c r="Y103" s="588">
        <f t="shared" si="27"/>
        <v>-1.269999999999996</v>
      </c>
      <c r="Z103" s="588">
        <f t="shared" si="28"/>
        <v>-1.1400000000000006</v>
      </c>
      <c r="AA103" s="589">
        <f t="shared" si="29"/>
        <v>-0.29999999999999716</v>
      </c>
    </row>
    <row r="104" spans="1:27" s="500" customFormat="1">
      <c r="A104" s="482"/>
      <c r="B104" s="483" t="s">
        <v>141</v>
      </c>
      <c r="C104" s="484">
        <v>5</v>
      </c>
      <c r="D104" s="586">
        <v>100.9</v>
      </c>
      <c r="E104" s="586">
        <v>96</v>
      </c>
      <c r="F104" s="586">
        <v>87.5</v>
      </c>
      <c r="G104" s="587">
        <v>170</v>
      </c>
      <c r="H104" s="587">
        <v>100</v>
      </c>
      <c r="I104" s="583">
        <f t="shared" si="15"/>
        <v>-1.8999999999999915</v>
      </c>
      <c r="J104" s="583">
        <f t="shared" si="16"/>
        <v>-3.7999999999999972</v>
      </c>
      <c r="K104" s="583">
        <f t="shared" si="17"/>
        <v>1.5</v>
      </c>
      <c r="L104" s="1218"/>
      <c r="M104" s="588">
        <f t="shared" si="30"/>
        <v>101.4</v>
      </c>
      <c r="N104" s="588">
        <f t="shared" si="31"/>
        <v>100.93</v>
      </c>
      <c r="O104" s="588">
        <f t="shared" si="32"/>
        <v>87</v>
      </c>
      <c r="P104" s="583"/>
      <c r="Q104" s="588">
        <f t="shared" si="24"/>
        <v>-0.53000000000000114</v>
      </c>
      <c r="R104" s="588">
        <f t="shared" si="25"/>
        <v>-3.6699999999999875</v>
      </c>
      <c r="S104" s="588">
        <f t="shared" si="26"/>
        <v>-0.56999999999999318</v>
      </c>
      <c r="T104" s="1218"/>
      <c r="U104" s="588">
        <f t="shared" si="33"/>
        <v>105.73</v>
      </c>
      <c r="V104" s="588">
        <f t="shared" si="34"/>
        <v>105.34</v>
      </c>
      <c r="W104" s="588">
        <f t="shared" si="35"/>
        <v>88.36</v>
      </c>
      <c r="X104" s="587"/>
      <c r="Y104" s="588">
        <f t="shared" si="27"/>
        <v>-1.6700000000000017</v>
      </c>
      <c r="Z104" s="588">
        <f t="shared" si="28"/>
        <v>-1.8599999999999994</v>
      </c>
      <c r="AA104" s="589">
        <f t="shared" si="29"/>
        <v>-4.0000000000006253E-2</v>
      </c>
    </row>
    <row r="105" spans="1:27" s="500" customFormat="1">
      <c r="A105" s="482"/>
      <c r="B105" s="483" t="s">
        <v>141</v>
      </c>
      <c r="C105" s="484">
        <v>6</v>
      </c>
      <c r="D105" s="586">
        <v>100.4</v>
      </c>
      <c r="E105" s="586">
        <v>92</v>
      </c>
      <c r="F105" s="586">
        <v>85.4</v>
      </c>
      <c r="G105" s="587">
        <v>170</v>
      </c>
      <c r="H105" s="587">
        <v>100</v>
      </c>
      <c r="I105" s="583">
        <f t="shared" si="15"/>
        <v>-0.5</v>
      </c>
      <c r="J105" s="583">
        <f t="shared" si="16"/>
        <v>-4</v>
      </c>
      <c r="K105" s="583">
        <f t="shared" si="17"/>
        <v>-2.0999999999999943</v>
      </c>
      <c r="L105" s="1218"/>
      <c r="M105" s="588">
        <f t="shared" si="30"/>
        <v>101.37</v>
      </c>
      <c r="N105" s="588">
        <f t="shared" si="31"/>
        <v>95.93</v>
      </c>
      <c r="O105" s="588">
        <f t="shared" si="32"/>
        <v>86.3</v>
      </c>
      <c r="P105" s="583"/>
      <c r="Q105" s="588">
        <f t="shared" si="24"/>
        <v>-3.0000000000001137E-2</v>
      </c>
      <c r="R105" s="588">
        <f t="shared" si="25"/>
        <v>-5</v>
      </c>
      <c r="S105" s="588">
        <f t="shared" si="26"/>
        <v>-0.70000000000000284</v>
      </c>
      <c r="T105" s="1218"/>
      <c r="U105" s="588">
        <f t="shared" si="33"/>
        <v>103.36</v>
      </c>
      <c r="V105" s="588">
        <f t="shared" si="34"/>
        <v>102.66</v>
      </c>
      <c r="W105" s="588">
        <f t="shared" si="35"/>
        <v>87.74</v>
      </c>
      <c r="X105" s="587"/>
      <c r="Y105" s="588">
        <f t="shared" si="27"/>
        <v>-2.3700000000000045</v>
      </c>
      <c r="Z105" s="588">
        <f t="shared" si="28"/>
        <v>-2.6800000000000068</v>
      </c>
      <c r="AA105" s="589">
        <f t="shared" si="29"/>
        <v>-0.62000000000000455</v>
      </c>
    </row>
    <row r="106" spans="1:27" s="500" customFormat="1">
      <c r="A106" s="482"/>
      <c r="B106" s="483" t="s">
        <v>141</v>
      </c>
      <c r="C106" s="484">
        <v>7</v>
      </c>
      <c r="D106" s="586">
        <v>93.3</v>
      </c>
      <c r="E106" s="586">
        <v>81.8</v>
      </c>
      <c r="F106" s="586">
        <v>79.7</v>
      </c>
      <c r="G106" s="587">
        <v>170</v>
      </c>
      <c r="H106" s="587">
        <v>100</v>
      </c>
      <c r="I106" s="583">
        <f t="shared" si="15"/>
        <v>-7.1000000000000085</v>
      </c>
      <c r="J106" s="583">
        <f t="shared" si="16"/>
        <v>-10.200000000000003</v>
      </c>
      <c r="K106" s="583">
        <f t="shared" si="17"/>
        <v>-5.7000000000000028</v>
      </c>
      <c r="L106" s="1218"/>
      <c r="M106" s="588">
        <f t="shared" si="30"/>
        <v>98.2</v>
      </c>
      <c r="N106" s="588">
        <f t="shared" si="31"/>
        <v>89.93</v>
      </c>
      <c r="O106" s="588">
        <f t="shared" si="32"/>
        <v>84.2</v>
      </c>
      <c r="P106" s="583"/>
      <c r="Q106" s="588">
        <f t="shared" si="24"/>
        <v>-3.1700000000000017</v>
      </c>
      <c r="R106" s="588">
        <f t="shared" si="25"/>
        <v>-6</v>
      </c>
      <c r="S106" s="588">
        <f t="shared" si="26"/>
        <v>-2.0999999999999943</v>
      </c>
      <c r="T106" s="1218"/>
      <c r="U106" s="588">
        <f t="shared" si="33"/>
        <v>100.59</v>
      </c>
      <c r="V106" s="588">
        <f t="shared" si="34"/>
        <v>98.57</v>
      </c>
      <c r="W106" s="588">
        <f t="shared" si="35"/>
        <v>86.34</v>
      </c>
      <c r="X106" s="587"/>
      <c r="Y106" s="588">
        <f t="shared" si="27"/>
        <v>-2.769999999999996</v>
      </c>
      <c r="Z106" s="588">
        <f t="shared" si="28"/>
        <v>-4.0900000000000034</v>
      </c>
      <c r="AA106" s="589">
        <f t="shared" si="29"/>
        <v>-1.3999999999999915</v>
      </c>
    </row>
    <row r="107" spans="1:27" s="500" customFormat="1">
      <c r="A107" s="482"/>
      <c r="B107" s="483" t="s">
        <v>141</v>
      </c>
      <c r="C107" s="484">
        <v>8</v>
      </c>
      <c r="D107" s="586">
        <v>86.4</v>
      </c>
      <c r="E107" s="586">
        <v>76.2</v>
      </c>
      <c r="F107" s="586">
        <v>79.400000000000006</v>
      </c>
      <c r="G107" s="587">
        <v>170</v>
      </c>
      <c r="H107" s="587">
        <v>100</v>
      </c>
      <c r="I107" s="583">
        <f t="shared" si="15"/>
        <v>-6.8999999999999915</v>
      </c>
      <c r="J107" s="583">
        <f t="shared" si="16"/>
        <v>-5.5999999999999943</v>
      </c>
      <c r="K107" s="583">
        <f t="shared" si="17"/>
        <v>-0.29999999999999716</v>
      </c>
      <c r="L107" s="1218"/>
      <c r="M107" s="588">
        <f t="shared" si="30"/>
        <v>93.37</v>
      </c>
      <c r="N107" s="588">
        <f t="shared" si="31"/>
        <v>83.33</v>
      </c>
      <c r="O107" s="588">
        <f t="shared" si="32"/>
        <v>81.5</v>
      </c>
      <c r="P107" s="583"/>
      <c r="Q107" s="588">
        <f t="shared" si="24"/>
        <v>-4.8299999999999983</v>
      </c>
      <c r="R107" s="588">
        <f t="shared" si="25"/>
        <v>-6.6000000000000085</v>
      </c>
      <c r="S107" s="588">
        <f t="shared" si="26"/>
        <v>-2.7000000000000028</v>
      </c>
      <c r="T107" s="1218"/>
      <c r="U107" s="588">
        <f t="shared" si="33"/>
        <v>98.11</v>
      </c>
      <c r="V107" s="588">
        <f t="shared" si="34"/>
        <v>94.26</v>
      </c>
      <c r="W107" s="588">
        <f t="shared" si="35"/>
        <v>84.96</v>
      </c>
      <c r="X107" s="587"/>
      <c r="Y107" s="588">
        <f t="shared" si="27"/>
        <v>-2.480000000000004</v>
      </c>
      <c r="Z107" s="588">
        <f t="shared" si="28"/>
        <v>-4.3099999999999881</v>
      </c>
      <c r="AA107" s="589">
        <f t="shared" si="29"/>
        <v>-1.3800000000000097</v>
      </c>
    </row>
    <row r="108" spans="1:27" s="500" customFormat="1">
      <c r="A108" s="482"/>
      <c r="B108" s="483" t="s">
        <v>141</v>
      </c>
      <c r="C108" s="484">
        <v>9</v>
      </c>
      <c r="D108" s="586">
        <v>88.9</v>
      </c>
      <c r="E108" s="586">
        <v>83.5</v>
      </c>
      <c r="F108" s="586">
        <v>79</v>
      </c>
      <c r="G108" s="587">
        <v>170</v>
      </c>
      <c r="H108" s="587">
        <v>100</v>
      </c>
      <c r="I108" s="583">
        <f t="shared" si="15"/>
        <v>2.5</v>
      </c>
      <c r="J108" s="583">
        <f t="shared" si="16"/>
        <v>7.2999999999999972</v>
      </c>
      <c r="K108" s="583">
        <f t="shared" si="17"/>
        <v>-0.40000000000000568</v>
      </c>
      <c r="L108" s="1218"/>
      <c r="M108" s="588">
        <f t="shared" si="30"/>
        <v>89.53</v>
      </c>
      <c r="N108" s="588">
        <f t="shared" si="31"/>
        <v>80.5</v>
      </c>
      <c r="O108" s="588">
        <f t="shared" si="32"/>
        <v>79.37</v>
      </c>
      <c r="P108" s="583"/>
      <c r="Q108" s="588">
        <f t="shared" si="24"/>
        <v>-3.8400000000000034</v>
      </c>
      <c r="R108" s="588">
        <f t="shared" si="25"/>
        <v>-2.8299999999999983</v>
      </c>
      <c r="S108" s="588">
        <f t="shared" si="26"/>
        <v>-2.1299999999999955</v>
      </c>
      <c r="T108" s="1218"/>
      <c r="U108" s="588">
        <f t="shared" si="33"/>
        <v>96.17</v>
      </c>
      <c r="V108" s="588">
        <f t="shared" si="34"/>
        <v>90.9</v>
      </c>
      <c r="W108" s="588">
        <f t="shared" si="35"/>
        <v>83.5</v>
      </c>
      <c r="X108" s="587"/>
      <c r="Y108" s="588">
        <f t="shared" si="27"/>
        <v>-1.9399999999999977</v>
      </c>
      <c r="Z108" s="588">
        <f t="shared" si="28"/>
        <v>-3.3599999999999994</v>
      </c>
      <c r="AA108" s="589">
        <f t="shared" si="29"/>
        <v>-1.4599999999999937</v>
      </c>
    </row>
    <row r="109" spans="1:27" s="500" customFormat="1">
      <c r="A109" s="482"/>
      <c r="B109" s="483" t="s">
        <v>141</v>
      </c>
      <c r="C109" s="484">
        <v>10</v>
      </c>
      <c r="D109" s="586">
        <v>89.1</v>
      </c>
      <c r="E109" s="586">
        <v>75.599999999999994</v>
      </c>
      <c r="F109" s="586">
        <v>76.5</v>
      </c>
      <c r="G109" s="587">
        <v>170</v>
      </c>
      <c r="H109" s="587">
        <v>100</v>
      </c>
      <c r="I109" s="583">
        <f t="shared" si="15"/>
        <v>0.19999999999998863</v>
      </c>
      <c r="J109" s="583">
        <f t="shared" si="16"/>
        <v>-7.9000000000000057</v>
      </c>
      <c r="K109" s="583">
        <f t="shared" si="17"/>
        <v>-2.5</v>
      </c>
      <c r="L109" s="1218"/>
      <c r="M109" s="588">
        <f t="shared" si="30"/>
        <v>88.13</v>
      </c>
      <c r="N109" s="588">
        <f t="shared" si="31"/>
        <v>78.430000000000007</v>
      </c>
      <c r="O109" s="588">
        <f t="shared" si="32"/>
        <v>78.3</v>
      </c>
      <c r="P109" s="583"/>
      <c r="Q109" s="588">
        <f t="shared" si="24"/>
        <v>-1.4000000000000057</v>
      </c>
      <c r="R109" s="588">
        <f t="shared" si="25"/>
        <v>-2.0699999999999932</v>
      </c>
      <c r="S109" s="588">
        <f t="shared" si="26"/>
        <v>-1.0700000000000074</v>
      </c>
      <c r="T109" s="1218"/>
      <c r="U109" s="588">
        <f t="shared" si="33"/>
        <v>94.54</v>
      </c>
      <c r="V109" s="588">
        <f t="shared" si="34"/>
        <v>86.41</v>
      </c>
      <c r="W109" s="588">
        <f t="shared" si="35"/>
        <v>81.93</v>
      </c>
      <c r="X109" s="587"/>
      <c r="Y109" s="588">
        <f t="shared" si="27"/>
        <v>-1.6299999999999955</v>
      </c>
      <c r="Z109" s="588">
        <f t="shared" si="28"/>
        <v>-4.4900000000000091</v>
      </c>
      <c r="AA109" s="589">
        <f t="shared" si="29"/>
        <v>-1.5699999999999932</v>
      </c>
    </row>
    <row r="110" spans="1:27" s="500" customFormat="1">
      <c r="A110" s="482"/>
      <c r="B110" s="483" t="s">
        <v>141</v>
      </c>
      <c r="C110" s="484">
        <v>11</v>
      </c>
      <c r="D110" s="586">
        <v>84.6</v>
      </c>
      <c r="E110" s="586">
        <v>73</v>
      </c>
      <c r="F110" s="586">
        <v>75.3</v>
      </c>
      <c r="G110" s="587">
        <v>170</v>
      </c>
      <c r="H110" s="587">
        <v>100</v>
      </c>
      <c r="I110" s="583">
        <f t="shared" si="15"/>
        <v>-4.5</v>
      </c>
      <c r="J110" s="583">
        <f t="shared" si="16"/>
        <v>-2.5999999999999943</v>
      </c>
      <c r="K110" s="583">
        <f t="shared" si="17"/>
        <v>-1.2000000000000028</v>
      </c>
      <c r="L110" s="1218"/>
      <c r="M110" s="588">
        <f t="shared" si="30"/>
        <v>87.53</v>
      </c>
      <c r="N110" s="588">
        <f t="shared" si="31"/>
        <v>77.37</v>
      </c>
      <c r="O110" s="588">
        <f t="shared" si="32"/>
        <v>76.930000000000007</v>
      </c>
      <c r="P110" s="583"/>
      <c r="Q110" s="588">
        <f t="shared" si="24"/>
        <v>-0.59999999999999432</v>
      </c>
      <c r="R110" s="588">
        <f t="shared" si="25"/>
        <v>-1.0600000000000023</v>
      </c>
      <c r="S110" s="588">
        <f t="shared" si="26"/>
        <v>-1.3699999999999903</v>
      </c>
      <c r="T110" s="1218"/>
      <c r="U110" s="588">
        <f t="shared" si="33"/>
        <v>91.94</v>
      </c>
      <c r="V110" s="588">
        <f t="shared" si="34"/>
        <v>82.59</v>
      </c>
      <c r="W110" s="588">
        <f t="shared" si="35"/>
        <v>80.400000000000006</v>
      </c>
      <c r="X110" s="587"/>
      <c r="Y110" s="588">
        <f t="shared" si="27"/>
        <v>-2.6000000000000085</v>
      </c>
      <c r="Z110" s="588">
        <f t="shared" si="28"/>
        <v>-3.8199999999999932</v>
      </c>
      <c r="AA110" s="589">
        <f t="shared" si="29"/>
        <v>-1.5300000000000011</v>
      </c>
    </row>
    <row r="111" spans="1:27" s="500" customFormat="1">
      <c r="A111" s="494"/>
      <c r="B111" s="495" t="s">
        <v>141</v>
      </c>
      <c r="C111" s="496">
        <v>12</v>
      </c>
      <c r="D111" s="600">
        <v>87.8</v>
      </c>
      <c r="E111" s="600">
        <v>68.7</v>
      </c>
      <c r="F111" s="600">
        <v>76</v>
      </c>
      <c r="G111" s="601">
        <v>170</v>
      </c>
      <c r="H111" s="601">
        <v>100</v>
      </c>
      <c r="I111" s="602">
        <f t="shared" si="15"/>
        <v>3.2000000000000028</v>
      </c>
      <c r="J111" s="602">
        <f t="shared" si="16"/>
        <v>-4.2999999999999972</v>
      </c>
      <c r="K111" s="602">
        <f t="shared" si="17"/>
        <v>0.70000000000000284</v>
      </c>
      <c r="L111" s="1221"/>
      <c r="M111" s="593">
        <f t="shared" si="30"/>
        <v>87.17</v>
      </c>
      <c r="N111" s="593">
        <f t="shared" si="31"/>
        <v>72.430000000000007</v>
      </c>
      <c r="O111" s="593">
        <f t="shared" si="32"/>
        <v>75.930000000000007</v>
      </c>
      <c r="P111" s="602"/>
      <c r="Q111" s="588">
        <f t="shared" si="24"/>
        <v>-0.35999999999999943</v>
      </c>
      <c r="R111" s="588">
        <f t="shared" si="25"/>
        <v>-4.9399999999999977</v>
      </c>
      <c r="S111" s="588">
        <f t="shared" si="26"/>
        <v>-1</v>
      </c>
      <c r="T111" s="1221"/>
      <c r="U111" s="603">
        <f t="shared" si="33"/>
        <v>90.07</v>
      </c>
      <c r="V111" s="603">
        <f t="shared" si="34"/>
        <v>78.69</v>
      </c>
      <c r="W111" s="603">
        <f t="shared" si="35"/>
        <v>78.760000000000005</v>
      </c>
      <c r="X111" s="601"/>
      <c r="Y111" s="603">
        <f t="shared" si="27"/>
        <v>-1.8700000000000045</v>
      </c>
      <c r="Z111" s="603">
        <f t="shared" si="28"/>
        <v>-3.9000000000000057</v>
      </c>
      <c r="AA111" s="604">
        <f t="shared" si="29"/>
        <v>-1.6400000000000006</v>
      </c>
    </row>
    <row r="112" spans="1:27" s="500" customFormat="1">
      <c r="A112" s="478">
        <v>14</v>
      </c>
      <c r="B112" s="989" t="s">
        <v>655</v>
      </c>
      <c r="C112" s="480">
        <v>1</v>
      </c>
      <c r="D112" s="580">
        <v>78.900000000000006</v>
      </c>
      <c r="E112" s="580">
        <v>68.599999999999994</v>
      </c>
      <c r="F112" s="580">
        <v>75.8</v>
      </c>
      <c r="G112" s="581">
        <v>170</v>
      </c>
      <c r="H112" s="581">
        <v>100</v>
      </c>
      <c r="I112" s="582">
        <f t="shared" si="15"/>
        <v>-8.8999999999999915</v>
      </c>
      <c r="J112" s="582">
        <f t="shared" si="16"/>
        <v>-0.10000000000000853</v>
      </c>
      <c r="K112" s="582">
        <f t="shared" si="17"/>
        <v>-0.20000000000000284</v>
      </c>
      <c r="L112" s="1217"/>
      <c r="M112" s="598">
        <f t="shared" si="30"/>
        <v>83.77</v>
      </c>
      <c r="N112" s="598">
        <f t="shared" si="31"/>
        <v>70.099999999999994</v>
      </c>
      <c r="O112" s="598">
        <f t="shared" si="32"/>
        <v>75.7</v>
      </c>
      <c r="P112" s="582"/>
      <c r="Q112" s="588">
        <f t="shared" si="24"/>
        <v>-3.4000000000000057</v>
      </c>
      <c r="R112" s="588">
        <f t="shared" si="25"/>
        <v>-2.3300000000000125</v>
      </c>
      <c r="S112" s="588">
        <f t="shared" si="26"/>
        <v>-0.23000000000000398</v>
      </c>
      <c r="T112" s="1217"/>
      <c r="U112" s="584">
        <f t="shared" si="33"/>
        <v>87</v>
      </c>
      <c r="V112" s="584">
        <f t="shared" si="34"/>
        <v>75.34</v>
      </c>
      <c r="W112" s="584">
        <f t="shared" si="35"/>
        <v>77.39</v>
      </c>
      <c r="X112" s="581"/>
      <c r="Y112" s="584">
        <f t="shared" si="27"/>
        <v>-3.0699999999999932</v>
      </c>
      <c r="Z112" s="584">
        <f t="shared" si="28"/>
        <v>-3.3499999999999943</v>
      </c>
      <c r="AA112" s="585">
        <f t="shared" si="29"/>
        <v>-1.3700000000000045</v>
      </c>
    </row>
    <row r="113" spans="1:27" s="500" customFormat="1">
      <c r="A113" s="482"/>
      <c r="B113" s="483" t="s">
        <v>141</v>
      </c>
      <c r="C113" s="484">
        <v>2</v>
      </c>
      <c r="D113" s="586">
        <v>83.6</v>
      </c>
      <c r="E113" s="586">
        <v>74.099999999999994</v>
      </c>
      <c r="F113" s="586">
        <v>75.400000000000006</v>
      </c>
      <c r="G113" s="587"/>
      <c r="H113" s="587">
        <v>100</v>
      </c>
      <c r="I113" s="583">
        <f t="shared" si="15"/>
        <v>4.6999999999999886</v>
      </c>
      <c r="J113" s="583">
        <f t="shared" si="16"/>
        <v>5.5</v>
      </c>
      <c r="K113" s="583">
        <f t="shared" si="17"/>
        <v>-0.39999999999999147</v>
      </c>
      <c r="L113" s="1218"/>
      <c r="M113" s="588">
        <f t="shared" si="30"/>
        <v>83.43</v>
      </c>
      <c r="N113" s="588">
        <f t="shared" si="31"/>
        <v>70.47</v>
      </c>
      <c r="O113" s="588">
        <f t="shared" si="32"/>
        <v>75.73</v>
      </c>
      <c r="P113" s="583"/>
      <c r="Q113" s="588">
        <f t="shared" si="24"/>
        <v>-0.3399999999999892</v>
      </c>
      <c r="R113" s="588">
        <f t="shared" si="25"/>
        <v>0.37000000000000455</v>
      </c>
      <c r="S113" s="588">
        <f t="shared" si="26"/>
        <v>3.0000000000001137E-2</v>
      </c>
      <c r="T113" s="1218"/>
      <c r="U113" s="588">
        <f t="shared" si="33"/>
        <v>85.61</v>
      </c>
      <c r="V113" s="588">
        <f t="shared" si="34"/>
        <v>74.239999999999995</v>
      </c>
      <c r="W113" s="588">
        <f t="shared" si="35"/>
        <v>76.77</v>
      </c>
      <c r="X113" s="587"/>
      <c r="Y113" s="588">
        <f t="shared" si="27"/>
        <v>-1.3900000000000006</v>
      </c>
      <c r="Z113" s="588">
        <f t="shared" si="28"/>
        <v>-1.1000000000000085</v>
      </c>
      <c r="AA113" s="589">
        <f t="shared" si="29"/>
        <v>-0.62000000000000455</v>
      </c>
    </row>
    <row r="114" spans="1:27" s="500" customFormat="1">
      <c r="A114" s="482"/>
      <c r="B114" s="483" t="s">
        <v>141</v>
      </c>
      <c r="C114" s="484">
        <v>3</v>
      </c>
      <c r="D114" s="586">
        <v>88.5</v>
      </c>
      <c r="E114" s="586">
        <v>82.3</v>
      </c>
      <c r="F114" s="586">
        <v>76.5</v>
      </c>
      <c r="G114" s="587"/>
      <c r="H114" s="587">
        <v>100</v>
      </c>
      <c r="I114" s="583">
        <f t="shared" si="15"/>
        <v>4.9000000000000057</v>
      </c>
      <c r="J114" s="583">
        <f t="shared" si="16"/>
        <v>8.2000000000000028</v>
      </c>
      <c r="K114" s="583">
        <f t="shared" si="17"/>
        <v>1.0999999999999943</v>
      </c>
      <c r="L114" s="1218"/>
      <c r="M114" s="588">
        <f t="shared" si="30"/>
        <v>83.67</v>
      </c>
      <c r="N114" s="588">
        <f t="shared" si="31"/>
        <v>75</v>
      </c>
      <c r="O114" s="588">
        <f t="shared" si="32"/>
        <v>75.900000000000006</v>
      </c>
      <c r="P114" s="583"/>
      <c r="Q114" s="588">
        <f t="shared" si="24"/>
        <v>0.23999999999999488</v>
      </c>
      <c r="R114" s="588">
        <f t="shared" si="25"/>
        <v>4.5300000000000011</v>
      </c>
      <c r="S114" s="588">
        <f t="shared" si="26"/>
        <v>0.17000000000000171</v>
      </c>
      <c r="T114" s="1218"/>
      <c r="U114" s="588">
        <f t="shared" si="33"/>
        <v>85.91</v>
      </c>
      <c r="V114" s="588">
        <f t="shared" si="34"/>
        <v>75.11</v>
      </c>
      <c r="W114" s="588">
        <f t="shared" si="35"/>
        <v>76.36</v>
      </c>
      <c r="X114" s="587"/>
      <c r="Y114" s="588">
        <f t="shared" si="27"/>
        <v>0.29999999999999716</v>
      </c>
      <c r="Z114" s="588">
        <f t="shared" si="28"/>
        <v>0.87000000000000455</v>
      </c>
      <c r="AA114" s="589">
        <f t="shared" si="29"/>
        <v>-0.40999999999999659</v>
      </c>
    </row>
    <row r="115" spans="1:27" s="500" customFormat="1">
      <c r="A115" s="482"/>
      <c r="B115" s="483" t="s">
        <v>141</v>
      </c>
      <c r="C115" s="484">
        <v>4</v>
      </c>
      <c r="D115" s="586">
        <v>87.3</v>
      </c>
      <c r="E115" s="586">
        <v>75.900000000000006</v>
      </c>
      <c r="F115" s="586">
        <v>75.3</v>
      </c>
      <c r="G115" s="587"/>
      <c r="H115" s="587">
        <v>100</v>
      </c>
      <c r="I115" s="583">
        <f t="shared" si="15"/>
        <v>-1.2000000000000028</v>
      </c>
      <c r="J115" s="583">
        <f t="shared" si="16"/>
        <v>-6.3999999999999915</v>
      </c>
      <c r="K115" s="583">
        <f t="shared" si="17"/>
        <v>-1.2000000000000028</v>
      </c>
      <c r="L115" s="1218"/>
      <c r="M115" s="588">
        <f t="shared" si="30"/>
        <v>86.47</v>
      </c>
      <c r="N115" s="588">
        <f t="shared" si="31"/>
        <v>77.430000000000007</v>
      </c>
      <c r="O115" s="588">
        <f t="shared" si="32"/>
        <v>75.73</v>
      </c>
      <c r="P115" s="583"/>
      <c r="Q115" s="588">
        <f t="shared" si="24"/>
        <v>2.7999999999999972</v>
      </c>
      <c r="R115" s="588">
        <f t="shared" si="25"/>
        <v>2.4300000000000068</v>
      </c>
      <c r="S115" s="588">
        <f t="shared" si="26"/>
        <v>-0.17000000000000171</v>
      </c>
      <c r="T115" s="1218"/>
      <c r="U115" s="588">
        <f t="shared" si="33"/>
        <v>85.69</v>
      </c>
      <c r="V115" s="588">
        <f t="shared" si="34"/>
        <v>74.03</v>
      </c>
      <c r="W115" s="588">
        <f t="shared" si="35"/>
        <v>75.83</v>
      </c>
      <c r="X115" s="587"/>
      <c r="Y115" s="588">
        <f t="shared" si="27"/>
        <v>-0.21999999999999886</v>
      </c>
      <c r="Z115" s="588">
        <f t="shared" si="28"/>
        <v>-1.0799999999999983</v>
      </c>
      <c r="AA115" s="589">
        <f t="shared" si="29"/>
        <v>-0.53000000000000114</v>
      </c>
    </row>
    <row r="116" spans="1:27" s="500" customFormat="1">
      <c r="A116" s="482"/>
      <c r="B116" s="483" t="s">
        <v>141</v>
      </c>
      <c r="C116" s="484">
        <v>5</v>
      </c>
      <c r="D116" s="586">
        <v>93.4</v>
      </c>
      <c r="E116" s="586">
        <v>82.2</v>
      </c>
      <c r="F116" s="586">
        <v>77.2</v>
      </c>
      <c r="G116" s="587"/>
      <c r="H116" s="587">
        <v>100</v>
      </c>
      <c r="I116" s="583">
        <f t="shared" si="15"/>
        <v>6.1000000000000085</v>
      </c>
      <c r="J116" s="583">
        <f t="shared" si="16"/>
        <v>6.2999999999999972</v>
      </c>
      <c r="K116" s="583">
        <f t="shared" si="17"/>
        <v>1.9000000000000057</v>
      </c>
      <c r="L116" s="1218"/>
      <c r="M116" s="588">
        <f t="shared" si="30"/>
        <v>89.73</v>
      </c>
      <c r="N116" s="588">
        <f t="shared" si="31"/>
        <v>80.13</v>
      </c>
      <c r="O116" s="588">
        <f t="shared" si="32"/>
        <v>76.33</v>
      </c>
      <c r="P116" s="583"/>
      <c r="Q116" s="588">
        <f t="shared" si="24"/>
        <v>3.2600000000000051</v>
      </c>
      <c r="R116" s="588">
        <f t="shared" si="25"/>
        <v>2.6999999999999886</v>
      </c>
      <c r="S116" s="588">
        <f t="shared" si="26"/>
        <v>0.59999999999999432</v>
      </c>
      <c r="T116" s="1218"/>
      <c r="U116" s="588">
        <f t="shared" si="33"/>
        <v>86.3</v>
      </c>
      <c r="V116" s="588">
        <f t="shared" si="34"/>
        <v>74.97</v>
      </c>
      <c r="W116" s="588">
        <f t="shared" si="35"/>
        <v>75.930000000000007</v>
      </c>
      <c r="X116" s="587"/>
      <c r="Y116" s="588">
        <f t="shared" si="27"/>
        <v>0.60999999999999943</v>
      </c>
      <c r="Z116" s="588">
        <f t="shared" si="28"/>
        <v>0.93999999999999773</v>
      </c>
      <c r="AA116" s="589">
        <f t="shared" si="29"/>
        <v>0.10000000000000853</v>
      </c>
    </row>
    <row r="117" spans="1:27" s="500" customFormat="1">
      <c r="A117" s="482"/>
      <c r="B117" s="483" t="s">
        <v>141</v>
      </c>
      <c r="C117" s="484">
        <v>6</v>
      </c>
      <c r="D117" s="586">
        <v>97.6</v>
      </c>
      <c r="E117" s="586">
        <v>83.1</v>
      </c>
      <c r="F117" s="586">
        <v>76.3</v>
      </c>
      <c r="G117" s="587"/>
      <c r="H117" s="587">
        <v>100</v>
      </c>
      <c r="I117" s="583">
        <f t="shared" si="15"/>
        <v>4.1999999999999886</v>
      </c>
      <c r="J117" s="583">
        <f t="shared" si="16"/>
        <v>0.89999999999999147</v>
      </c>
      <c r="K117" s="583">
        <f t="shared" si="17"/>
        <v>-0.90000000000000568</v>
      </c>
      <c r="L117" s="1218"/>
      <c r="M117" s="588">
        <f t="shared" si="30"/>
        <v>92.77</v>
      </c>
      <c r="N117" s="588">
        <f t="shared" si="31"/>
        <v>80.400000000000006</v>
      </c>
      <c r="O117" s="588">
        <f t="shared" si="32"/>
        <v>76.27</v>
      </c>
      <c r="P117" s="583"/>
      <c r="Q117" s="588">
        <f t="shared" si="24"/>
        <v>3.039999999999992</v>
      </c>
      <c r="R117" s="588">
        <f t="shared" si="25"/>
        <v>0.27000000000001023</v>
      </c>
      <c r="S117" s="588">
        <f t="shared" si="26"/>
        <v>-6.0000000000002274E-2</v>
      </c>
      <c r="T117" s="1218"/>
      <c r="U117" s="588">
        <f t="shared" si="33"/>
        <v>88.16</v>
      </c>
      <c r="V117" s="588">
        <f t="shared" si="34"/>
        <v>76.41</v>
      </c>
      <c r="W117" s="588">
        <f t="shared" si="35"/>
        <v>76.069999999999993</v>
      </c>
      <c r="X117" s="587"/>
      <c r="Y117" s="588">
        <f t="shared" si="27"/>
        <v>1.8599999999999994</v>
      </c>
      <c r="Z117" s="588">
        <f t="shared" si="28"/>
        <v>1.4399999999999977</v>
      </c>
      <c r="AA117" s="589">
        <f t="shared" si="29"/>
        <v>0.13999999999998636</v>
      </c>
    </row>
    <row r="118" spans="1:27" s="500" customFormat="1">
      <c r="A118" s="482"/>
      <c r="B118" s="483" t="s">
        <v>141</v>
      </c>
      <c r="C118" s="484">
        <v>7</v>
      </c>
      <c r="D118" s="586">
        <v>96.9</v>
      </c>
      <c r="E118" s="586">
        <v>85.1</v>
      </c>
      <c r="F118" s="586">
        <v>75</v>
      </c>
      <c r="G118" s="587"/>
      <c r="H118" s="587">
        <v>100</v>
      </c>
      <c r="I118" s="583">
        <f t="shared" si="15"/>
        <v>-0.69999999999998863</v>
      </c>
      <c r="J118" s="583">
        <f t="shared" si="16"/>
        <v>2</v>
      </c>
      <c r="K118" s="583">
        <f t="shared" si="17"/>
        <v>-1.2999999999999972</v>
      </c>
      <c r="L118" s="1218"/>
      <c r="M118" s="588">
        <f t="shared" si="30"/>
        <v>95.97</v>
      </c>
      <c r="N118" s="588">
        <f t="shared" si="31"/>
        <v>83.47</v>
      </c>
      <c r="O118" s="588">
        <f t="shared" si="32"/>
        <v>76.17</v>
      </c>
      <c r="P118" s="583"/>
      <c r="Q118" s="588">
        <f t="shared" si="24"/>
        <v>3.2000000000000028</v>
      </c>
      <c r="R118" s="588">
        <f t="shared" si="25"/>
        <v>3.0699999999999932</v>
      </c>
      <c r="S118" s="588">
        <f t="shared" si="26"/>
        <v>-9.9999999999994316E-2</v>
      </c>
      <c r="T118" s="1218"/>
      <c r="U118" s="588">
        <f t="shared" si="33"/>
        <v>89.46</v>
      </c>
      <c r="V118" s="588">
        <f t="shared" si="34"/>
        <v>78.760000000000005</v>
      </c>
      <c r="W118" s="588">
        <f t="shared" si="35"/>
        <v>75.930000000000007</v>
      </c>
      <c r="X118" s="587"/>
      <c r="Y118" s="588">
        <f t="shared" si="27"/>
        <v>1.2999999999999972</v>
      </c>
      <c r="Z118" s="588">
        <f t="shared" si="28"/>
        <v>2.3500000000000085</v>
      </c>
      <c r="AA118" s="589">
        <f t="shared" si="29"/>
        <v>-0.13999999999998636</v>
      </c>
    </row>
    <row r="119" spans="1:27" s="500" customFormat="1">
      <c r="A119" s="482"/>
      <c r="B119" s="483" t="s">
        <v>141</v>
      </c>
      <c r="C119" s="484">
        <v>8</v>
      </c>
      <c r="D119" s="586">
        <v>95.3</v>
      </c>
      <c r="E119" s="586">
        <v>80.400000000000006</v>
      </c>
      <c r="F119" s="586">
        <v>75.900000000000006</v>
      </c>
      <c r="G119" s="587"/>
      <c r="H119" s="587">
        <v>100</v>
      </c>
      <c r="I119" s="583">
        <f t="shared" si="15"/>
        <v>-1.6000000000000085</v>
      </c>
      <c r="J119" s="583">
        <f t="shared" si="16"/>
        <v>-4.6999999999999886</v>
      </c>
      <c r="K119" s="583">
        <f t="shared" si="17"/>
        <v>0.90000000000000568</v>
      </c>
      <c r="L119" s="1218"/>
      <c r="M119" s="588">
        <f t="shared" si="30"/>
        <v>96.6</v>
      </c>
      <c r="N119" s="588">
        <f t="shared" si="31"/>
        <v>82.87</v>
      </c>
      <c r="O119" s="588">
        <f t="shared" si="32"/>
        <v>75.73</v>
      </c>
      <c r="P119" s="583"/>
      <c r="Q119" s="588">
        <f t="shared" si="24"/>
        <v>0.62999999999999545</v>
      </c>
      <c r="R119" s="588">
        <f t="shared" si="25"/>
        <v>-0.59999999999999432</v>
      </c>
      <c r="S119" s="588">
        <f t="shared" si="26"/>
        <v>-0.43999999999999773</v>
      </c>
      <c r="T119" s="1218"/>
      <c r="U119" s="588">
        <f t="shared" si="33"/>
        <v>91.8</v>
      </c>
      <c r="V119" s="588">
        <f t="shared" si="34"/>
        <v>80.44</v>
      </c>
      <c r="W119" s="588">
        <f t="shared" si="35"/>
        <v>75.94</v>
      </c>
      <c r="X119" s="587"/>
      <c r="Y119" s="588">
        <f t="shared" si="27"/>
        <v>2.3400000000000034</v>
      </c>
      <c r="Z119" s="588">
        <f t="shared" si="28"/>
        <v>1.6799999999999926</v>
      </c>
      <c r="AA119" s="589">
        <f t="shared" si="29"/>
        <v>9.9999999999909051E-3</v>
      </c>
    </row>
    <row r="120" spans="1:27" s="500" customFormat="1">
      <c r="A120" s="482"/>
      <c r="B120" s="483" t="s">
        <v>141</v>
      </c>
      <c r="C120" s="484">
        <v>9</v>
      </c>
      <c r="D120" s="586">
        <v>106.7</v>
      </c>
      <c r="E120" s="586">
        <v>91.5</v>
      </c>
      <c r="F120" s="586">
        <v>76.599999999999994</v>
      </c>
      <c r="G120" s="587"/>
      <c r="H120" s="587">
        <v>100</v>
      </c>
      <c r="I120" s="583">
        <f t="shared" si="15"/>
        <v>11.400000000000006</v>
      </c>
      <c r="J120" s="583">
        <f t="shared" si="16"/>
        <v>11.099999999999994</v>
      </c>
      <c r="K120" s="583">
        <f t="shared" si="17"/>
        <v>0.69999999999998863</v>
      </c>
      <c r="L120" s="1218"/>
      <c r="M120" s="588">
        <f t="shared" si="30"/>
        <v>99.63</v>
      </c>
      <c r="N120" s="588">
        <f t="shared" si="31"/>
        <v>85.67</v>
      </c>
      <c r="O120" s="588">
        <f t="shared" si="32"/>
        <v>75.83</v>
      </c>
      <c r="P120" s="583"/>
      <c r="Q120" s="588">
        <f t="shared" si="24"/>
        <v>3.0300000000000011</v>
      </c>
      <c r="R120" s="588">
        <f t="shared" si="25"/>
        <v>2.7999999999999972</v>
      </c>
      <c r="S120" s="588">
        <f t="shared" si="26"/>
        <v>9.9999999999994316E-2</v>
      </c>
      <c r="T120" s="1218"/>
      <c r="U120" s="588">
        <f t="shared" si="33"/>
        <v>95.1</v>
      </c>
      <c r="V120" s="588">
        <f t="shared" si="34"/>
        <v>82.93</v>
      </c>
      <c r="W120" s="588">
        <f t="shared" si="35"/>
        <v>76.11</v>
      </c>
      <c r="X120" s="587"/>
      <c r="Y120" s="588">
        <f t="shared" si="27"/>
        <v>3.2999999999999972</v>
      </c>
      <c r="Z120" s="588">
        <f t="shared" si="28"/>
        <v>2.4900000000000091</v>
      </c>
      <c r="AA120" s="589">
        <f t="shared" si="29"/>
        <v>0.17000000000000171</v>
      </c>
    </row>
    <row r="121" spans="1:27" s="500" customFormat="1">
      <c r="A121" s="482"/>
      <c r="B121" s="483" t="s">
        <v>141</v>
      </c>
      <c r="C121" s="484">
        <v>10</v>
      </c>
      <c r="D121" s="586">
        <v>105.5</v>
      </c>
      <c r="E121" s="586">
        <v>89.5</v>
      </c>
      <c r="F121" s="586">
        <v>75.2</v>
      </c>
      <c r="G121" s="587"/>
      <c r="H121" s="587">
        <v>100</v>
      </c>
      <c r="I121" s="583">
        <f t="shared" si="15"/>
        <v>-1.2000000000000028</v>
      </c>
      <c r="J121" s="583">
        <f t="shared" si="16"/>
        <v>-2</v>
      </c>
      <c r="K121" s="583">
        <f t="shared" si="17"/>
        <v>-1.3999999999999915</v>
      </c>
      <c r="L121" s="1218"/>
      <c r="M121" s="588">
        <f t="shared" si="30"/>
        <v>102.5</v>
      </c>
      <c r="N121" s="588">
        <f t="shared" si="31"/>
        <v>87.13</v>
      </c>
      <c r="O121" s="588">
        <f t="shared" si="32"/>
        <v>75.900000000000006</v>
      </c>
      <c r="P121" s="583"/>
      <c r="Q121" s="588">
        <f t="shared" si="24"/>
        <v>2.8700000000000045</v>
      </c>
      <c r="R121" s="588">
        <f t="shared" si="25"/>
        <v>1.4599999999999937</v>
      </c>
      <c r="S121" s="588">
        <f t="shared" si="26"/>
        <v>7.000000000000739E-2</v>
      </c>
      <c r="T121" s="1218"/>
      <c r="U121" s="588">
        <f t="shared" si="33"/>
        <v>97.53</v>
      </c>
      <c r="V121" s="588">
        <f t="shared" si="34"/>
        <v>83.96</v>
      </c>
      <c r="W121" s="588">
        <f t="shared" si="35"/>
        <v>75.930000000000007</v>
      </c>
      <c r="X121" s="587"/>
      <c r="Y121" s="588">
        <f t="shared" si="27"/>
        <v>2.4300000000000068</v>
      </c>
      <c r="Z121" s="588">
        <f t="shared" si="28"/>
        <v>1.0299999999999869</v>
      </c>
      <c r="AA121" s="589">
        <f t="shared" si="29"/>
        <v>-0.17999999999999261</v>
      </c>
    </row>
    <row r="122" spans="1:27" s="500" customFormat="1">
      <c r="A122" s="482"/>
      <c r="B122" s="483" t="s">
        <v>141</v>
      </c>
      <c r="C122" s="484">
        <v>11</v>
      </c>
      <c r="D122" s="586">
        <v>109.4</v>
      </c>
      <c r="E122" s="586">
        <v>93.3</v>
      </c>
      <c r="F122" s="586">
        <v>79.2</v>
      </c>
      <c r="G122" s="587"/>
      <c r="H122" s="587">
        <v>100</v>
      </c>
      <c r="I122" s="583">
        <f t="shared" si="15"/>
        <v>3.9000000000000057</v>
      </c>
      <c r="J122" s="583">
        <f t="shared" si="16"/>
        <v>3.7999999999999972</v>
      </c>
      <c r="K122" s="583">
        <f t="shared" si="17"/>
        <v>4</v>
      </c>
      <c r="L122" s="1218"/>
      <c r="M122" s="588">
        <f t="shared" si="30"/>
        <v>107.2</v>
      </c>
      <c r="N122" s="588">
        <f t="shared" si="31"/>
        <v>91.43</v>
      </c>
      <c r="O122" s="588">
        <f t="shared" si="32"/>
        <v>77</v>
      </c>
      <c r="P122" s="583"/>
      <c r="Q122" s="588">
        <f t="shared" si="24"/>
        <v>4.7000000000000028</v>
      </c>
      <c r="R122" s="588">
        <f t="shared" si="25"/>
        <v>4.3000000000000114</v>
      </c>
      <c r="S122" s="588">
        <f t="shared" si="26"/>
        <v>1.0999999999999943</v>
      </c>
      <c r="T122" s="1218"/>
      <c r="U122" s="588">
        <f t="shared" si="33"/>
        <v>100.69</v>
      </c>
      <c r="V122" s="588">
        <f t="shared" si="34"/>
        <v>86.44</v>
      </c>
      <c r="W122" s="588">
        <f t="shared" si="35"/>
        <v>76.489999999999995</v>
      </c>
      <c r="X122" s="587"/>
      <c r="Y122" s="588">
        <f t="shared" si="27"/>
        <v>3.1599999999999966</v>
      </c>
      <c r="Z122" s="588">
        <f t="shared" si="28"/>
        <v>2.480000000000004</v>
      </c>
      <c r="AA122" s="589">
        <f t="shared" si="29"/>
        <v>0.55999999999998806</v>
      </c>
    </row>
    <row r="123" spans="1:27" s="500" customFormat="1">
      <c r="A123" s="486"/>
      <c r="B123" s="487" t="s">
        <v>141</v>
      </c>
      <c r="C123" s="488">
        <v>12</v>
      </c>
      <c r="D123" s="590">
        <v>103</v>
      </c>
      <c r="E123" s="590">
        <v>92.9</v>
      </c>
      <c r="F123" s="590">
        <v>78</v>
      </c>
      <c r="G123" s="591"/>
      <c r="H123" s="591">
        <v>100</v>
      </c>
      <c r="I123" s="592">
        <f t="shared" si="15"/>
        <v>-6.4000000000000057</v>
      </c>
      <c r="J123" s="592">
        <f t="shared" si="16"/>
        <v>-0.39999999999999147</v>
      </c>
      <c r="K123" s="592">
        <f t="shared" si="17"/>
        <v>-1.2000000000000028</v>
      </c>
      <c r="L123" s="1219"/>
      <c r="M123" s="603">
        <f t="shared" si="30"/>
        <v>105.97</v>
      </c>
      <c r="N123" s="603">
        <f t="shared" si="31"/>
        <v>91.9</v>
      </c>
      <c r="O123" s="603">
        <f t="shared" si="32"/>
        <v>77.47</v>
      </c>
      <c r="P123" s="592"/>
      <c r="Q123" s="588">
        <f t="shared" si="24"/>
        <v>-1.230000000000004</v>
      </c>
      <c r="R123" s="588">
        <f t="shared" si="25"/>
        <v>0.46999999999999886</v>
      </c>
      <c r="S123" s="588">
        <f t="shared" si="26"/>
        <v>0.46999999999999886</v>
      </c>
      <c r="T123" s="1219"/>
      <c r="U123" s="593">
        <f t="shared" si="33"/>
        <v>102.06</v>
      </c>
      <c r="V123" s="593">
        <f t="shared" si="34"/>
        <v>87.97</v>
      </c>
      <c r="W123" s="593">
        <f t="shared" si="35"/>
        <v>76.599999999999994</v>
      </c>
      <c r="X123" s="591"/>
      <c r="Y123" s="593">
        <f t="shared" si="27"/>
        <v>1.3700000000000045</v>
      </c>
      <c r="Z123" s="593">
        <f t="shared" si="28"/>
        <v>1.5300000000000011</v>
      </c>
      <c r="AA123" s="594">
        <f t="shared" si="29"/>
        <v>0.10999999999999943</v>
      </c>
    </row>
    <row r="124" spans="1:27" s="500" customFormat="1">
      <c r="A124" s="478">
        <v>15</v>
      </c>
      <c r="B124" s="989" t="s">
        <v>656</v>
      </c>
      <c r="C124" s="480">
        <v>1</v>
      </c>
      <c r="D124" s="595">
        <v>95.4</v>
      </c>
      <c r="E124" s="595">
        <v>92.1</v>
      </c>
      <c r="F124" s="595">
        <v>80.2</v>
      </c>
      <c r="G124" s="596"/>
      <c r="H124" s="596">
        <v>100</v>
      </c>
      <c r="I124" s="597">
        <f t="shared" si="15"/>
        <v>-7.5999999999999943</v>
      </c>
      <c r="J124" s="597">
        <f t="shared" si="16"/>
        <v>-0.80000000000001137</v>
      </c>
      <c r="K124" s="597">
        <f t="shared" si="17"/>
        <v>2.2000000000000028</v>
      </c>
      <c r="L124" s="1220"/>
      <c r="M124" s="584">
        <f t="shared" si="30"/>
        <v>102.6</v>
      </c>
      <c r="N124" s="584">
        <f t="shared" si="31"/>
        <v>92.77</v>
      </c>
      <c r="O124" s="584">
        <f t="shared" si="32"/>
        <v>79.13</v>
      </c>
      <c r="P124" s="597"/>
      <c r="Q124" s="588">
        <f t="shared" si="24"/>
        <v>-3.3700000000000045</v>
      </c>
      <c r="R124" s="588">
        <f t="shared" si="25"/>
        <v>0.86999999999999034</v>
      </c>
      <c r="S124" s="588">
        <f t="shared" si="26"/>
        <v>1.6599999999999966</v>
      </c>
      <c r="T124" s="1220"/>
      <c r="U124" s="598">
        <f t="shared" si="33"/>
        <v>101.74</v>
      </c>
      <c r="V124" s="598">
        <f t="shared" si="34"/>
        <v>89.26</v>
      </c>
      <c r="W124" s="598">
        <f t="shared" si="35"/>
        <v>77.16</v>
      </c>
      <c r="X124" s="596"/>
      <c r="Y124" s="598">
        <f t="shared" si="27"/>
        <v>-0.32000000000000739</v>
      </c>
      <c r="Z124" s="598">
        <f t="shared" si="28"/>
        <v>1.2900000000000063</v>
      </c>
      <c r="AA124" s="599">
        <f t="shared" si="29"/>
        <v>0.56000000000000227</v>
      </c>
    </row>
    <row r="125" spans="1:27" s="500" customFormat="1">
      <c r="A125" s="482"/>
      <c r="B125" s="483" t="s">
        <v>141</v>
      </c>
      <c r="C125" s="484">
        <v>2</v>
      </c>
      <c r="D125" s="586">
        <v>93.9</v>
      </c>
      <c r="E125" s="586">
        <v>92.5</v>
      </c>
      <c r="F125" s="586">
        <v>80.900000000000006</v>
      </c>
      <c r="G125" s="587"/>
      <c r="H125" s="587">
        <v>100</v>
      </c>
      <c r="I125" s="583">
        <f t="shared" si="15"/>
        <v>-1.5</v>
      </c>
      <c r="J125" s="583">
        <f t="shared" si="16"/>
        <v>0.40000000000000568</v>
      </c>
      <c r="K125" s="583">
        <f t="shared" si="17"/>
        <v>0.70000000000000284</v>
      </c>
      <c r="L125" s="1218"/>
      <c r="M125" s="588">
        <f t="shared" si="30"/>
        <v>97.43</v>
      </c>
      <c r="N125" s="588">
        <f t="shared" si="31"/>
        <v>92.5</v>
      </c>
      <c r="O125" s="588">
        <f t="shared" si="32"/>
        <v>79.7</v>
      </c>
      <c r="P125" s="583"/>
      <c r="Q125" s="588">
        <f t="shared" si="24"/>
        <v>-5.1699999999999875</v>
      </c>
      <c r="R125" s="588">
        <f t="shared" si="25"/>
        <v>-0.26999999999999602</v>
      </c>
      <c r="S125" s="588">
        <f t="shared" si="26"/>
        <v>0.57000000000000739</v>
      </c>
      <c r="T125" s="1218"/>
      <c r="U125" s="588">
        <f t="shared" si="33"/>
        <v>101.31</v>
      </c>
      <c r="V125" s="588">
        <f t="shared" si="34"/>
        <v>90.31</v>
      </c>
      <c r="W125" s="588">
        <f t="shared" si="35"/>
        <v>78</v>
      </c>
      <c r="X125" s="587"/>
      <c r="Y125" s="588">
        <f t="shared" si="27"/>
        <v>-0.42999999999999261</v>
      </c>
      <c r="Z125" s="588">
        <f t="shared" si="28"/>
        <v>1.0499999999999972</v>
      </c>
      <c r="AA125" s="589">
        <f t="shared" si="29"/>
        <v>0.84000000000000341</v>
      </c>
    </row>
    <row r="126" spans="1:27" s="500" customFormat="1">
      <c r="A126" s="482"/>
      <c r="B126" s="483" t="s">
        <v>141</v>
      </c>
      <c r="C126" s="484">
        <v>3</v>
      </c>
      <c r="D126" s="586">
        <v>92.4</v>
      </c>
      <c r="E126" s="586">
        <v>98.4</v>
      </c>
      <c r="F126" s="586">
        <v>80.400000000000006</v>
      </c>
      <c r="G126" s="587"/>
      <c r="H126" s="587">
        <v>100</v>
      </c>
      <c r="I126" s="583">
        <f t="shared" si="15"/>
        <v>-1.5</v>
      </c>
      <c r="J126" s="583">
        <f t="shared" si="16"/>
        <v>5.9000000000000057</v>
      </c>
      <c r="K126" s="583">
        <f t="shared" si="17"/>
        <v>-0.5</v>
      </c>
      <c r="L126" s="1218"/>
      <c r="M126" s="588">
        <f t="shared" si="30"/>
        <v>93.9</v>
      </c>
      <c r="N126" s="588">
        <f t="shared" si="31"/>
        <v>94.33</v>
      </c>
      <c r="O126" s="588">
        <f t="shared" si="32"/>
        <v>80.5</v>
      </c>
      <c r="P126" s="583"/>
      <c r="Q126" s="588">
        <f t="shared" si="24"/>
        <v>-3.5300000000000011</v>
      </c>
      <c r="R126" s="588">
        <f t="shared" si="25"/>
        <v>1.8299999999999983</v>
      </c>
      <c r="S126" s="588">
        <f t="shared" si="26"/>
        <v>0.79999999999999716</v>
      </c>
      <c r="T126" s="1218"/>
      <c r="U126" s="588">
        <f t="shared" si="33"/>
        <v>100.9</v>
      </c>
      <c r="V126" s="588">
        <f t="shared" si="34"/>
        <v>92.89</v>
      </c>
      <c r="W126" s="588">
        <f t="shared" si="35"/>
        <v>78.64</v>
      </c>
      <c r="X126" s="587"/>
      <c r="Y126" s="588">
        <f t="shared" si="27"/>
        <v>-0.40999999999999659</v>
      </c>
      <c r="Z126" s="588">
        <f t="shared" si="28"/>
        <v>2.5799999999999983</v>
      </c>
      <c r="AA126" s="589">
        <f t="shared" si="29"/>
        <v>0.64000000000000057</v>
      </c>
    </row>
    <row r="127" spans="1:27" s="500" customFormat="1">
      <c r="A127" s="482"/>
      <c r="B127" s="483" t="s">
        <v>141</v>
      </c>
      <c r="C127" s="484">
        <v>4</v>
      </c>
      <c r="D127" s="586">
        <v>93</v>
      </c>
      <c r="E127" s="586">
        <v>92.8</v>
      </c>
      <c r="F127" s="586">
        <v>79.400000000000006</v>
      </c>
      <c r="G127" s="587"/>
      <c r="H127" s="587">
        <v>100</v>
      </c>
      <c r="I127" s="583">
        <f t="shared" si="15"/>
        <v>0.59999999999999432</v>
      </c>
      <c r="J127" s="583">
        <f t="shared" si="16"/>
        <v>-5.6000000000000085</v>
      </c>
      <c r="K127" s="583">
        <f t="shared" si="17"/>
        <v>-1</v>
      </c>
      <c r="L127" s="1218"/>
      <c r="M127" s="588">
        <f t="shared" si="30"/>
        <v>93.1</v>
      </c>
      <c r="N127" s="588">
        <f t="shared" si="31"/>
        <v>94.57</v>
      </c>
      <c r="O127" s="588">
        <f t="shared" si="32"/>
        <v>80.23</v>
      </c>
      <c r="P127" s="583"/>
      <c r="Q127" s="588">
        <f t="shared" si="24"/>
        <v>-0.80000000000001137</v>
      </c>
      <c r="R127" s="588">
        <f t="shared" si="25"/>
        <v>0.23999999999999488</v>
      </c>
      <c r="S127" s="588">
        <f t="shared" si="26"/>
        <v>-0.26999999999999602</v>
      </c>
      <c r="T127" s="1218"/>
      <c r="U127" s="588">
        <f t="shared" si="33"/>
        <v>98.94</v>
      </c>
      <c r="V127" s="588">
        <f t="shared" si="34"/>
        <v>93.07</v>
      </c>
      <c r="W127" s="588">
        <f t="shared" si="35"/>
        <v>79.040000000000006</v>
      </c>
      <c r="X127" s="587"/>
      <c r="Y127" s="588">
        <f t="shared" si="27"/>
        <v>-1.960000000000008</v>
      </c>
      <c r="Z127" s="588">
        <f t="shared" si="28"/>
        <v>0.17999999999999261</v>
      </c>
      <c r="AA127" s="589">
        <f t="shared" si="29"/>
        <v>0.40000000000000568</v>
      </c>
    </row>
    <row r="128" spans="1:27" s="500" customFormat="1">
      <c r="A128" s="482"/>
      <c r="B128" s="483" t="s">
        <v>141</v>
      </c>
      <c r="C128" s="484">
        <v>5</v>
      </c>
      <c r="D128" s="586">
        <v>94.2</v>
      </c>
      <c r="E128" s="586">
        <v>97.9</v>
      </c>
      <c r="F128" s="586">
        <v>77.7</v>
      </c>
      <c r="G128" s="587"/>
      <c r="H128" s="587">
        <v>100</v>
      </c>
      <c r="I128" s="583">
        <f t="shared" ref="I128:I191" si="36">D128-D127</f>
        <v>1.2000000000000028</v>
      </c>
      <c r="J128" s="583">
        <f t="shared" ref="J128:J191" si="37">E128-E127</f>
        <v>5.1000000000000085</v>
      </c>
      <c r="K128" s="583">
        <f t="shared" ref="K128:K191" si="38">F128-F127</f>
        <v>-1.7000000000000028</v>
      </c>
      <c r="L128" s="1218"/>
      <c r="M128" s="588">
        <f t="shared" ref="M128:M159" si="39">ROUND(AVERAGE(D126:D128),2)</f>
        <v>93.2</v>
      </c>
      <c r="N128" s="588">
        <f t="shared" ref="N128:N159" si="40">ROUND(AVERAGE(E126:E128),2)</f>
        <v>96.37</v>
      </c>
      <c r="O128" s="588">
        <f t="shared" ref="O128:O159" si="41">ROUND(AVERAGE(F126:F128),2)</f>
        <v>79.17</v>
      </c>
      <c r="P128" s="583"/>
      <c r="Q128" s="588">
        <f t="shared" si="24"/>
        <v>0.10000000000000853</v>
      </c>
      <c r="R128" s="588">
        <f t="shared" si="25"/>
        <v>1.8000000000000114</v>
      </c>
      <c r="S128" s="588">
        <f t="shared" si="26"/>
        <v>-1.0600000000000023</v>
      </c>
      <c r="T128" s="1218"/>
      <c r="U128" s="588">
        <f t="shared" ref="U128:U159" si="42">ROUND(AVERAGE(D122:D128),2)</f>
        <v>97.33</v>
      </c>
      <c r="V128" s="588">
        <f t="shared" ref="V128:V159" si="43">ROUND(AVERAGE(E122:E128),2)</f>
        <v>94.27</v>
      </c>
      <c r="W128" s="588">
        <f t="shared" ref="W128:W159" si="44">ROUND(AVERAGE(F122:F128),2)</f>
        <v>79.400000000000006</v>
      </c>
      <c r="X128" s="587"/>
      <c r="Y128" s="588">
        <f t="shared" si="27"/>
        <v>-1.6099999999999994</v>
      </c>
      <c r="Z128" s="588">
        <f t="shared" si="28"/>
        <v>1.2000000000000028</v>
      </c>
      <c r="AA128" s="589">
        <f t="shared" si="29"/>
        <v>0.35999999999999943</v>
      </c>
    </row>
    <row r="129" spans="1:27" s="500" customFormat="1">
      <c r="A129" s="482"/>
      <c r="B129" s="483" t="s">
        <v>141</v>
      </c>
      <c r="C129" s="484">
        <v>6</v>
      </c>
      <c r="D129" s="586">
        <v>95.2</v>
      </c>
      <c r="E129" s="586">
        <v>101.1</v>
      </c>
      <c r="F129" s="586">
        <v>81.599999999999994</v>
      </c>
      <c r="G129" s="587"/>
      <c r="H129" s="587">
        <v>100</v>
      </c>
      <c r="I129" s="583">
        <f t="shared" si="36"/>
        <v>1</v>
      </c>
      <c r="J129" s="583">
        <f t="shared" si="37"/>
        <v>3.1999999999999886</v>
      </c>
      <c r="K129" s="583">
        <f t="shared" si="38"/>
        <v>3.8999999999999915</v>
      </c>
      <c r="L129" s="1218"/>
      <c r="M129" s="588">
        <f t="shared" si="39"/>
        <v>94.13</v>
      </c>
      <c r="N129" s="588">
        <f t="shared" si="40"/>
        <v>97.27</v>
      </c>
      <c r="O129" s="588">
        <f t="shared" si="41"/>
        <v>79.569999999999993</v>
      </c>
      <c r="P129" s="583"/>
      <c r="Q129" s="588">
        <f t="shared" si="24"/>
        <v>0.92999999999999261</v>
      </c>
      <c r="R129" s="588">
        <f t="shared" si="25"/>
        <v>0.89999999999999147</v>
      </c>
      <c r="S129" s="588">
        <f t="shared" si="26"/>
        <v>0.39999999999999147</v>
      </c>
      <c r="T129" s="1218"/>
      <c r="U129" s="588">
        <f t="shared" si="42"/>
        <v>95.3</v>
      </c>
      <c r="V129" s="588">
        <f t="shared" si="43"/>
        <v>95.39</v>
      </c>
      <c r="W129" s="588">
        <f t="shared" si="44"/>
        <v>79.739999999999995</v>
      </c>
      <c r="X129" s="587"/>
      <c r="Y129" s="588">
        <f t="shared" si="27"/>
        <v>-2.0300000000000011</v>
      </c>
      <c r="Z129" s="588">
        <f t="shared" si="28"/>
        <v>1.1200000000000045</v>
      </c>
      <c r="AA129" s="589">
        <f t="shared" si="29"/>
        <v>0.3399999999999892</v>
      </c>
    </row>
    <row r="130" spans="1:27" s="500" customFormat="1">
      <c r="A130" s="482"/>
      <c r="B130" s="483" t="s">
        <v>141</v>
      </c>
      <c r="C130" s="484">
        <v>7</v>
      </c>
      <c r="D130" s="586">
        <v>96.5</v>
      </c>
      <c r="E130" s="586">
        <v>102.4</v>
      </c>
      <c r="F130" s="586">
        <v>85.2</v>
      </c>
      <c r="G130" s="587"/>
      <c r="H130" s="587">
        <v>100</v>
      </c>
      <c r="I130" s="583">
        <f t="shared" si="36"/>
        <v>1.2999999999999972</v>
      </c>
      <c r="J130" s="583">
        <f t="shared" si="37"/>
        <v>1.3000000000000114</v>
      </c>
      <c r="K130" s="583">
        <f t="shared" si="38"/>
        <v>3.6000000000000085</v>
      </c>
      <c r="L130" s="1218"/>
      <c r="M130" s="588">
        <f t="shared" si="39"/>
        <v>95.3</v>
      </c>
      <c r="N130" s="588">
        <f t="shared" si="40"/>
        <v>100.47</v>
      </c>
      <c r="O130" s="588">
        <f t="shared" si="41"/>
        <v>81.5</v>
      </c>
      <c r="P130" s="583"/>
      <c r="Q130" s="588">
        <f t="shared" si="24"/>
        <v>1.1700000000000017</v>
      </c>
      <c r="R130" s="588">
        <f t="shared" si="25"/>
        <v>3.2000000000000028</v>
      </c>
      <c r="S130" s="588">
        <f t="shared" si="26"/>
        <v>1.9300000000000068</v>
      </c>
      <c r="T130" s="1218"/>
      <c r="U130" s="588">
        <f t="shared" si="42"/>
        <v>94.37</v>
      </c>
      <c r="V130" s="588">
        <f t="shared" si="43"/>
        <v>96.74</v>
      </c>
      <c r="W130" s="588">
        <f t="shared" si="44"/>
        <v>80.77</v>
      </c>
      <c r="X130" s="587"/>
      <c r="Y130" s="588">
        <f t="shared" si="27"/>
        <v>-0.92999999999999261</v>
      </c>
      <c r="Z130" s="588">
        <f t="shared" si="28"/>
        <v>1.3499999999999943</v>
      </c>
      <c r="AA130" s="589">
        <f t="shared" si="29"/>
        <v>1.0300000000000011</v>
      </c>
    </row>
    <row r="131" spans="1:27" s="500" customFormat="1">
      <c r="A131" s="482"/>
      <c r="B131" s="483" t="s">
        <v>141</v>
      </c>
      <c r="C131" s="484">
        <v>8</v>
      </c>
      <c r="D131" s="586">
        <v>98.4</v>
      </c>
      <c r="E131" s="586">
        <v>103.6</v>
      </c>
      <c r="F131" s="586">
        <v>83.2</v>
      </c>
      <c r="G131" s="587"/>
      <c r="H131" s="587">
        <v>100</v>
      </c>
      <c r="I131" s="583">
        <f t="shared" si="36"/>
        <v>1.9000000000000057</v>
      </c>
      <c r="J131" s="583">
        <f t="shared" si="37"/>
        <v>1.1999999999999886</v>
      </c>
      <c r="K131" s="583">
        <f t="shared" si="38"/>
        <v>-2</v>
      </c>
      <c r="L131" s="1218"/>
      <c r="M131" s="588">
        <f t="shared" si="39"/>
        <v>96.7</v>
      </c>
      <c r="N131" s="588">
        <f t="shared" si="40"/>
        <v>102.37</v>
      </c>
      <c r="O131" s="588">
        <f t="shared" si="41"/>
        <v>83.33</v>
      </c>
      <c r="P131" s="583"/>
      <c r="Q131" s="588">
        <f t="shared" si="24"/>
        <v>1.4000000000000057</v>
      </c>
      <c r="R131" s="588">
        <f t="shared" si="25"/>
        <v>1.9000000000000057</v>
      </c>
      <c r="S131" s="588">
        <f t="shared" si="26"/>
        <v>1.8299999999999983</v>
      </c>
      <c r="T131" s="1218"/>
      <c r="U131" s="588">
        <f t="shared" si="42"/>
        <v>94.8</v>
      </c>
      <c r="V131" s="588">
        <f t="shared" si="43"/>
        <v>98.39</v>
      </c>
      <c r="W131" s="588">
        <f t="shared" si="44"/>
        <v>81.2</v>
      </c>
      <c r="X131" s="587"/>
      <c r="Y131" s="588">
        <f t="shared" si="27"/>
        <v>0.42999999999999261</v>
      </c>
      <c r="Z131" s="588">
        <f t="shared" si="28"/>
        <v>1.6500000000000057</v>
      </c>
      <c r="AA131" s="589">
        <f t="shared" si="29"/>
        <v>0.43000000000000682</v>
      </c>
    </row>
    <row r="132" spans="1:27" s="500" customFormat="1">
      <c r="A132" s="482"/>
      <c r="B132" s="483" t="s">
        <v>141</v>
      </c>
      <c r="C132" s="484">
        <v>9</v>
      </c>
      <c r="D132" s="586">
        <v>102.1</v>
      </c>
      <c r="E132" s="586">
        <v>108.5</v>
      </c>
      <c r="F132" s="586">
        <v>84.3</v>
      </c>
      <c r="G132" s="587"/>
      <c r="H132" s="587">
        <v>100</v>
      </c>
      <c r="I132" s="583">
        <f t="shared" si="36"/>
        <v>3.6999999999999886</v>
      </c>
      <c r="J132" s="583">
        <f t="shared" si="37"/>
        <v>4.9000000000000057</v>
      </c>
      <c r="K132" s="583">
        <f t="shared" si="38"/>
        <v>1.0999999999999943</v>
      </c>
      <c r="L132" s="1218"/>
      <c r="M132" s="588">
        <f t="shared" si="39"/>
        <v>99</v>
      </c>
      <c r="N132" s="588">
        <f t="shared" si="40"/>
        <v>104.83</v>
      </c>
      <c r="O132" s="588">
        <f t="shared" si="41"/>
        <v>84.23</v>
      </c>
      <c r="P132" s="583"/>
      <c r="Q132" s="588">
        <f t="shared" ref="Q132:Q195" si="45">M132-M131</f>
        <v>2.2999999999999972</v>
      </c>
      <c r="R132" s="588">
        <f t="shared" ref="R132:R195" si="46">N132-N131</f>
        <v>2.4599999999999937</v>
      </c>
      <c r="S132" s="588">
        <f t="shared" ref="S132:S195" si="47">O132-O131</f>
        <v>0.90000000000000568</v>
      </c>
      <c r="T132" s="1218"/>
      <c r="U132" s="588">
        <f t="shared" si="42"/>
        <v>95.97</v>
      </c>
      <c r="V132" s="588">
        <f t="shared" si="43"/>
        <v>100.67</v>
      </c>
      <c r="W132" s="588">
        <f t="shared" si="44"/>
        <v>81.69</v>
      </c>
      <c r="X132" s="587"/>
      <c r="Y132" s="588">
        <f t="shared" si="27"/>
        <v>1.1700000000000017</v>
      </c>
      <c r="Z132" s="588">
        <f t="shared" si="28"/>
        <v>2.2800000000000011</v>
      </c>
      <c r="AA132" s="589">
        <f t="shared" si="29"/>
        <v>0.48999999999999488</v>
      </c>
    </row>
    <row r="133" spans="1:27" s="500" customFormat="1">
      <c r="A133" s="482"/>
      <c r="B133" s="483" t="s">
        <v>141</v>
      </c>
      <c r="C133" s="484">
        <v>10</v>
      </c>
      <c r="D133" s="586">
        <v>106.1</v>
      </c>
      <c r="E133" s="586">
        <v>111.2</v>
      </c>
      <c r="F133" s="586">
        <v>84.5</v>
      </c>
      <c r="G133" s="587"/>
      <c r="H133" s="587">
        <v>100</v>
      </c>
      <c r="I133" s="583">
        <f t="shared" si="36"/>
        <v>4</v>
      </c>
      <c r="J133" s="583">
        <f t="shared" si="37"/>
        <v>2.7000000000000028</v>
      </c>
      <c r="K133" s="583">
        <f t="shared" si="38"/>
        <v>0.20000000000000284</v>
      </c>
      <c r="L133" s="1218"/>
      <c r="M133" s="588">
        <f t="shared" si="39"/>
        <v>102.2</v>
      </c>
      <c r="N133" s="588">
        <f t="shared" si="40"/>
        <v>107.77</v>
      </c>
      <c r="O133" s="588">
        <f t="shared" si="41"/>
        <v>84</v>
      </c>
      <c r="P133" s="583"/>
      <c r="Q133" s="588">
        <f t="shared" si="45"/>
        <v>3.2000000000000028</v>
      </c>
      <c r="R133" s="588">
        <f t="shared" si="46"/>
        <v>2.9399999999999977</v>
      </c>
      <c r="S133" s="588">
        <f t="shared" si="47"/>
        <v>-0.23000000000000398</v>
      </c>
      <c r="T133" s="1218"/>
      <c r="U133" s="588">
        <f t="shared" si="42"/>
        <v>97.93</v>
      </c>
      <c r="V133" s="588">
        <f t="shared" si="43"/>
        <v>102.5</v>
      </c>
      <c r="W133" s="588">
        <f t="shared" si="44"/>
        <v>82.27</v>
      </c>
      <c r="X133" s="587"/>
      <c r="Y133" s="588">
        <f t="shared" si="27"/>
        <v>1.960000000000008</v>
      </c>
      <c r="Z133" s="588">
        <f t="shared" si="28"/>
        <v>1.8299999999999983</v>
      </c>
      <c r="AA133" s="589">
        <f t="shared" si="29"/>
        <v>0.57999999999999829</v>
      </c>
    </row>
    <row r="134" spans="1:27" s="500" customFormat="1">
      <c r="A134" s="482"/>
      <c r="B134" s="483" t="s">
        <v>141</v>
      </c>
      <c r="C134" s="484">
        <v>11</v>
      </c>
      <c r="D134" s="586">
        <v>106.5</v>
      </c>
      <c r="E134" s="586">
        <v>113</v>
      </c>
      <c r="F134" s="586">
        <v>84.8</v>
      </c>
      <c r="G134" s="587"/>
      <c r="H134" s="587">
        <v>100</v>
      </c>
      <c r="I134" s="583">
        <f t="shared" si="36"/>
        <v>0.40000000000000568</v>
      </c>
      <c r="J134" s="583">
        <f t="shared" si="37"/>
        <v>1.7999999999999972</v>
      </c>
      <c r="K134" s="583">
        <f t="shared" si="38"/>
        <v>0.29999999999999716</v>
      </c>
      <c r="L134" s="1218"/>
      <c r="M134" s="588">
        <f t="shared" si="39"/>
        <v>104.9</v>
      </c>
      <c r="N134" s="588">
        <f t="shared" si="40"/>
        <v>110.9</v>
      </c>
      <c r="O134" s="588">
        <f t="shared" si="41"/>
        <v>84.53</v>
      </c>
      <c r="P134" s="583"/>
      <c r="Q134" s="588">
        <f t="shared" si="45"/>
        <v>2.7000000000000028</v>
      </c>
      <c r="R134" s="588">
        <f t="shared" si="46"/>
        <v>3.1300000000000097</v>
      </c>
      <c r="S134" s="588">
        <f t="shared" si="47"/>
        <v>0.53000000000000114</v>
      </c>
      <c r="T134" s="1218"/>
      <c r="U134" s="588">
        <f t="shared" si="42"/>
        <v>99.86</v>
      </c>
      <c r="V134" s="588">
        <f t="shared" si="43"/>
        <v>105.39</v>
      </c>
      <c r="W134" s="588">
        <f t="shared" si="44"/>
        <v>83.04</v>
      </c>
      <c r="X134" s="587"/>
      <c r="Y134" s="588">
        <f t="shared" si="27"/>
        <v>1.9299999999999926</v>
      </c>
      <c r="Z134" s="588">
        <f t="shared" si="28"/>
        <v>2.8900000000000006</v>
      </c>
      <c r="AA134" s="589">
        <f t="shared" si="29"/>
        <v>0.77000000000001023</v>
      </c>
    </row>
    <row r="135" spans="1:27" s="500" customFormat="1">
      <c r="A135" s="486"/>
      <c r="B135" s="487" t="s">
        <v>141</v>
      </c>
      <c r="C135" s="488">
        <v>12</v>
      </c>
      <c r="D135" s="600">
        <v>110.8</v>
      </c>
      <c r="E135" s="600">
        <v>114.2</v>
      </c>
      <c r="F135" s="600">
        <v>85.7</v>
      </c>
      <c r="G135" s="601"/>
      <c r="H135" s="601">
        <v>100</v>
      </c>
      <c r="I135" s="602">
        <f t="shared" si="36"/>
        <v>4.2999999999999972</v>
      </c>
      <c r="J135" s="602">
        <f t="shared" si="37"/>
        <v>1.2000000000000028</v>
      </c>
      <c r="K135" s="602">
        <f t="shared" si="38"/>
        <v>0.90000000000000568</v>
      </c>
      <c r="L135" s="1221"/>
      <c r="M135" s="593">
        <f t="shared" si="39"/>
        <v>107.8</v>
      </c>
      <c r="N135" s="593">
        <f t="shared" si="40"/>
        <v>112.8</v>
      </c>
      <c r="O135" s="593">
        <f t="shared" si="41"/>
        <v>85</v>
      </c>
      <c r="P135" s="602"/>
      <c r="Q135" s="588">
        <f t="shared" si="45"/>
        <v>2.8999999999999915</v>
      </c>
      <c r="R135" s="588">
        <f t="shared" si="46"/>
        <v>1.8999999999999915</v>
      </c>
      <c r="S135" s="588">
        <f t="shared" si="47"/>
        <v>0.46999999999999886</v>
      </c>
      <c r="T135" s="1221"/>
      <c r="U135" s="603">
        <f t="shared" si="42"/>
        <v>102.23</v>
      </c>
      <c r="V135" s="603">
        <f t="shared" si="43"/>
        <v>107.71</v>
      </c>
      <c r="W135" s="603">
        <f t="shared" si="44"/>
        <v>84.19</v>
      </c>
      <c r="X135" s="601"/>
      <c r="Y135" s="603">
        <f t="shared" si="27"/>
        <v>2.3700000000000045</v>
      </c>
      <c r="Z135" s="603">
        <f t="shared" si="28"/>
        <v>2.3199999999999932</v>
      </c>
      <c r="AA135" s="604">
        <f t="shared" si="29"/>
        <v>1.1499999999999915</v>
      </c>
    </row>
    <row r="136" spans="1:27" s="500" customFormat="1">
      <c r="A136" s="478">
        <v>16</v>
      </c>
      <c r="B136" s="989" t="s">
        <v>657</v>
      </c>
      <c r="C136" s="480">
        <v>1</v>
      </c>
      <c r="D136" s="580">
        <v>110.9</v>
      </c>
      <c r="E136" s="580">
        <v>110.6</v>
      </c>
      <c r="F136" s="580">
        <v>86.8</v>
      </c>
      <c r="G136" s="581"/>
      <c r="H136" s="581">
        <v>100</v>
      </c>
      <c r="I136" s="582">
        <f t="shared" si="36"/>
        <v>0.10000000000000853</v>
      </c>
      <c r="J136" s="582">
        <f t="shared" si="37"/>
        <v>-3.6000000000000085</v>
      </c>
      <c r="K136" s="582">
        <f t="shared" si="38"/>
        <v>1.0999999999999943</v>
      </c>
      <c r="L136" s="1217"/>
      <c r="M136" s="598">
        <f t="shared" si="39"/>
        <v>109.4</v>
      </c>
      <c r="N136" s="598">
        <f t="shared" si="40"/>
        <v>112.6</v>
      </c>
      <c r="O136" s="598">
        <f t="shared" si="41"/>
        <v>85.77</v>
      </c>
      <c r="P136" s="582"/>
      <c r="Q136" s="588">
        <f t="shared" si="45"/>
        <v>1.6000000000000085</v>
      </c>
      <c r="R136" s="588">
        <f t="shared" si="46"/>
        <v>-0.20000000000000284</v>
      </c>
      <c r="S136" s="588">
        <f t="shared" si="47"/>
        <v>0.76999999999999602</v>
      </c>
      <c r="T136" s="1217"/>
      <c r="U136" s="584">
        <f t="shared" si="42"/>
        <v>104.47</v>
      </c>
      <c r="V136" s="584">
        <f t="shared" si="43"/>
        <v>109.07</v>
      </c>
      <c r="W136" s="584">
        <f t="shared" si="44"/>
        <v>84.93</v>
      </c>
      <c r="X136" s="581"/>
      <c r="Y136" s="584">
        <f t="shared" si="27"/>
        <v>2.2399999999999949</v>
      </c>
      <c r="Z136" s="584">
        <f t="shared" si="28"/>
        <v>1.3599999999999994</v>
      </c>
      <c r="AA136" s="585">
        <f t="shared" si="29"/>
        <v>0.74000000000000909</v>
      </c>
    </row>
    <row r="137" spans="1:27" s="500" customFormat="1">
      <c r="A137" s="482"/>
      <c r="B137" s="483" t="s">
        <v>141</v>
      </c>
      <c r="C137" s="484">
        <v>2</v>
      </c>
      <c r="D137" s="586">
        <v>109.8</v>
      </c>
      <c r="E137" s="586">
        <v>111.4</v>
      </c>
      <c r="F137" s="586">
        <v>87.2</v>
      </c>
      <c r="G137" s="587"/>
      <c r="H137" s="587">
        <v>100</v>
      </c>
      <c r="I137" s="583">
        <f t="shared" si="36"/>
        <v>-1.1000000000000085</v>
      </c>
      <c r="J137" s="583">
        <f t="shared" si="37"/>
        <v>0.80000000000001137</v>
      </c>
      <c r="K137" s="583">
        <f t="shared" si="38"/>
        <v>0.40000000000000568</v>
      </c>
      <c r="L137" s="1218"/>
      <c r="M137" s="588">
        <f t="shared" si="39"/>
        <v>110.5</v>
      </c>
      <c r="N137" s="588">
        <f t="shared" si="40"/>
        <v>112.07</v>
      </c>
      <c r="O137" s="588">
        <f t="shared" si="41"/>
        <v>86.57</v>
      </c>
      <c r="P137" s="583"/>
      <c r="Q137" s="588">
        <f t="shared" si="45"/>
        <v>1.0999999999999943</v>
      </c>
      <c r="R137" s="588">
        <f t="shared" si="46"/>
        <v>-0.53000000000000114</v>
      </c>
      <c r="S137" s="588">
        <f t="shared" si="47"/>
        <v>0.79999999999999716</v>
      </c>
      <c r="T137" s="1218"/>
      <c r="U137" s="588">
        <f t="shared" si="42"/>
        <v>106.37</v>
      </c>
      <c r="V137" s="588">
        <f t="shared" si="43"/>
        <v>110.36</v>
      </c>
      <c r="W137" s="588">
        <f t="shared" si="44"/>
        <v>85.21</v>
      </c>
      <c r="X137" s="587"/>
      <c r="Y137" s="588">
        <f t="shared" si="27"/>
        <v>1.9000000000000057</v>
      </c>
      <c r="Z137" s="588">
        <f t="shared" si="28"/>
        <v>1.2900000000000063</v>
      </c>
      <c r="AA137" s="589">
        <f t="shared" si="29"/>
        <v>0.27999999999998693</v>
      </c>
    </row>
    <row r="138" spans="1:27" s="500" customFormat="1">
      <c r="A138" s="482"/>
      <c r="B138" s="483" t="s">
        <v>141</v>
      </c>
      <c r="C138" s="484">
        <v>3</v>
      </c>
      <c r="D138" s="586">
        <v>108.6</v>
      </c>
      <c r="E138" s="586">
        <v>112.7</v>
      </c>
      <c r="F138" s="586">
        <v>88.8</v>
      </c>
      <c r="G138" s="587"/>
      <c r="H138" s="587">
        <v>100</v>
      </c>
      <c r="I138" s="583">
        <f t="shared" si="36"/>
        <v>-1.2000000000000028</v>
      </c>
      <c r="J138" s="583">
        <f t="shared" si="37"/>
        <v>1.2999999999999972</v>
      </c>
      <c r="K138" s="583">
        <f t="shared" si="38"/>
        <v>1.5999999999999943</v>
      </c>
      <c r="L138" s="1218"/>
      <c r="M138" s="588">
        <f t="shared" si="39"/>
        <v>109.77</v>
      </c>
      <c r="N138" s="588">
        <f t="shared" si="40"/>
        <v>111.57</v>
      </c>
      <c r="O138" s="588">
        <f t="shared" si="41"/>
        <v>87.6</v>
      </c>
      <c r="P138" s="583"/>
      <c r="Q138" s="588">
        <f t="shared" si="45"/>
        <v>-0.73000000000000398</v>
      </c>
      <c r="R138" s="588">
        <f t="shared" si="46"/>
        <v>-0.5</v>
      </c>
      <c r="S138" s="588">
        <f t="shared" si="47"/>
        <v>1.0300000000000011</v>
      </c>
      <c r="T138" s="1218"/>
      <c r="U138" s="588">
        <f t="shared" si="42"/>
        <v>107.83</v>
      </c>
      <c r="V138" s="588">
        <f t="shared" si="43"/>
        <v>111.66</v>
      </c>
      <c r="W138" s="588">
        <f t="shared" si="44"/>
        <v>86.01</v>
      </c>
      <c r="X138" s="587"/>
      <c r="Y138" s="588">
        <f t="shared" si="27"/>
        <v>1.4599999999999937</v>
      </c>
      <c r="Z138" s="588">
        <f t="shared" si="28"/>
        <v>1.2999999999999972</v>
      </c>
      <c r="AA138" s="589">
        <f t="shared" si="29"/>
        <v>0.80000000000001137</v>
      </c>
    </row>
    <row r="139" spans="1:27" s="500" customFormat="1">
      <c r="A139" s="482"/>
      <c r="B139" s="483" t="s">
        <v>141</v>
      </c>
      <c r="C139" s="484">
        <v>4</v>
      </c>
      <c r="D139" s="586">
        <v>110.8</v>
      </c>
      <c r="E139" s="586">
        <v>113.2</v>
      </c>
      <c r="F139" s="586">
        <v>88.8</v>
      </c>
      <c r="G139" s="587"/>
      <c r="H139" s="587">
        <v>100</v>
      </c>
      <c r="I139" s="583">
        <f t="shared" si="36"/>
        <v>2.2000000000000028</v>
      </c>
      <c r="J139" s="583">
        <f t="shared" si="37"/>
        <v>0.5</v>
      </c>
      <c r="K139" s="583">
        <f t="shared" si="38"/>
        <v>0</v>
      </c>
      <c r="L139" s="1218"/>
      <c r="M139" s="588">
        <f t="shared" si="39"/>
        <v>109.73</v>
      </c>
      <c r="N139" s="588">
        <f t="shared" si="40"/>
        <v>112.43</v>
      </c>
      <c r="O139" s="588">
        <f t="shared" si="41"/>
        <v>88.27</v>
      </c>
      <c r="P139" s="583"/>
      <c r="Q139" s="588">
        <f t="shared" si="45"/>
        <v>-3.9999999999992042E-2</v>
      </c>
      <c r="R139" s="588">
        <f t="shared" si="46"/>
        <v>0.86000000000001364</v>
      </c>
      <c r="S139" s="588">
        <f t="shared" si="47"/>
        <v>0.67000000000000171</v>
      </c>
      <c r="T139" s="1218"/>
      <c r="U139" s="588">
        <f t="shared" si="42"/>
        <v>109.07</v>
      </c>
      <c r="V139" s="588">
        <f t="shared" si="43"/>
        <v>112.33</v>
      </c>
      <c r="W139" s="588">
        <f t="shared" si="44"/>
        <v>86.66</v>
      </c>
      <c r="X139" s="587"/>
      <c r="Y139" s="588">
        <f t="shared" si="27"/>
        <v>1.2399999999999949</v>
      </c>
      <c r="Z139" s="588">
        <f t="shared" si="28"/>
        <v>0.67000000000000171</v>
      </c>
      <c r="AA139" s="589">
        <f t="shared" si="29"/>
        <v>0.64999999999999147</v>
      </c>
    </row>
    <row r="140" spans="1:27" s="500" customFormat="1">
      <c r="A140" s="482"/>
      <c r="B140" s="483" t="s">
        <v>141</v>
      </c>
      <c r="C140" s="484">
        <v>5</v>
      </c>
      <c r="D140" s="586">
        <v>108.8</v>
      </c>
      <c r="E140" s="586">
        <v>113.2</v>
      </c>
      <c r="F140" s="586">
        <v>90.2</v>
      </c>
      <c r="G140" s="587"/>
      <c r="H140" s="587">
        <v>100</v>
      </c>
      <c r="I140" s="583">
        <f t="shared" si="36"/>
        <v>-2</v>
      </c>
      <c r="J140" s="583">
        <f t="shared" si="37"/>
        <v>0</v>
      </c>
      <c r="K140" s="583">
        <f t="shared" si="38"/>
        <v>1.4000000000000057</v>
      </c>
      <c r="L140" s="1218"/>
      <c r="M140" s="588">
        <f t="shared" si="39"/>
        <v>109.4</v>
      </c>
      <c r="N140" s="588">
        <f t="shared" si="40"/>
        <v>113.03</v>
      </c>
      <c r="O140" s="588">
        <f t="shared" si="41"/>
        <v>89.27</v>
      </c>
      <c r="P140" s="583"/>
      <c r="Q140" s="588">
        <f t="shared" si="45"/>
        <v>-0.32999999999999829</v>
      </c>
      <c r="R140" s="588">
        <f t="shared" si="46"/>
        <v>0.59999999999999432</v>
      </c>
      <c r="S140" s="588">
        <f t="shared" si="47"/>
        <v>1</v>
      </c>
      <c r="T140" s="1218"/>
      <c r="U140" s="588">
        <f t="shared" si="42"/>
        <v>109.46</v>
      </c>
      <c r="V140" s="588">
        <f t="shared" si="43"/>
        <v>112.61</v>
      </c>
      <c r="W140" s="588">
        <f t="shared" si="44"/>
        <v>87.47</v>
      </c>
      <c r="X140" s="587"/>
      <c r="Y140" s="588">
        <f t="shared" ref="Y140:Y195" si="48">U140-U139</f>
        <v>0.39000000000000057</v>
      </c>
      <c r="Z140" s="588">
        <f t="shared" ref="Z140:Z195" si="49">V140-V139</f>
        <v>0.28000000000000114</v>
      </c>
      <c r="AA140" s="589">
        <f t="shared" ref="AA140:AA195" si="50">W140-W139</f>
        <v>0.81000000000000227</v>
      </c>
    </row>
    <row r="141" spans="1:27" s="500" customFormat="1">
      <c r="A141" s="482"/>
      <c r="B141" s="483" t="s">
        <v>141</v>
      </c>
      <c r="C141" s="484">
        <v>6</v>
      </c>
      <c r="D141" s="586">
        <v>110.1</v>
      </c>
      <c r="E141" s="586">
        <v>113.4</v>
      </c>
      <c r="F141" s="586">
        <v>89.7</v>
      </c>
      <c r="G141" s="587"/>
      <c r="H141" s="587">
        <v>100</v>
      </c>
      <c r="I141" s="583">
        <f t="shared" si="36"/>
        <v>1.2999999999999972</v>
      </c>
      <c r="J141" s="583">
        <f t="shared" si="37"/>
        <v>0.20000000000000284</v>
      </c>
      <c r="K141" s="583">
        <f t="shared" si="38"/>
        <v>-0.5</v>
      </c>
      <c r="L141" s="1218"/>
      <c r="M141" s="588">
        <f t="shared" si="39"/>
        <v>109.9</v>
      </c>
      <c r="N141" s="588">
        <f t="shared" si="40"/>
        <v>113.27</v>
      </c>
      <c r="O141" s="588">
        <f t="shared" si="41"/>
        <v>89.57</v>
      </c>
      <c r="P141" s="583"/>
      <c r="Q141" s="588">
        <f t="shared" si="45"/>
        <v>0.5</v>
      </c>
      <c r="R141" s="588">
        <f t="shared" si="46"/>
        <v>0.23999999999999488</v>
      </c>
      <c r="S141" s="588">
        <f t="shared" si="47"/>
        <v>0.29999999999999716</v>
      </c>
      <c r="T141" s="1218"/>
      <c r="U141" s="588">
        <f t="shared" si="42"/>
        <v>109.97</v>
      </c>
      <c r="V141" s="588">
        <f t="shared" si="43"/>
        <v>112.67</v>
      </c>
      <c r="W141" s="588">
        <f t="shared" si="44"/>
        <v>88.17</v>
      </c>
      <c r="X141" s="587"/>
      <c r="Y141" s="588">
        <f t="shared" si="48"/>
        <v>0.51000000000000512</v>
      </c>
      <c r="Z141" s="588">
        <f t="shared" si="49"/>
        <v>6.0000000000002274E-2</v>
      </c>
      <c r="AA141" s="589">
        <f t="shared" si="50"/>
        <v>0.70000000000000284</v>
      </c>
    </row>
    <row r="142" spans="1:27" s="500" customFormat="1">
      <c r="A142" s="482"/>
      <c r="B142" s="483" t="s">
        <v>141</v>
      </c>
      <c r="C142" s="484">
        <v>7</v>
      </c>
      <c r="D142" s="586">
        <v>112.5</v>
      </c>
      <c r="E142" s="586">
        <v>116.3</v>
      </c>
      <c r="F142" s="586">
        <v>91.3</v>
      </c>
      <c r="G142" s="587"/>
      <c r="H142" s="587">
        <v>100</v>
      </c>
      <c r="I142" s="583">
        <f t="shared" si="36"/>
        <v>2.4000000000000057</v>
      </c>
      <c r="J142" s="583">
        <f t="shared" si="37"/>
        <v>2.8999999999999915</v>
      </c>
      <c r="K142" s="583">
        <f t="shared" si="38"/>
        <v>1.5999999999999943</v>
      </c>
      <c r="L142" s="1218"/>
      <c r="M142" s="588">
        <f t="shared" si="39"/>
        <v>110.47</v>
      </c>
      <c r="N142" s="588">
        <f t="shared" si="40"/>
        <v>114.3</v>
      </c>
      <c r="O142" s="588">
        <f t="shared" si="41"/>
        <v>90.4</v>
      </c>
      <c r="P142" s="583"/>
      <c r="Q142" s="588">
        <f t="shared" si="45"/>
        <v>0.56999999999999318</v>
      </c>
      <c r="R142" s="588">
        <f t="shared" si="46"/>
        <v>1.0300000000000011</v>
      </c>
      <c r="S142" s="588">
        <f t="shared" si="47"/>
        <v>0.83000000000001251</v>
      </c>
      <c r="T142" s="1218"/>
      <c r="U142" s="588">
        <f t="shared" si="42"/>
        <v>110.21</v>
      </c>
      <c r="V142" s="588">
        <f t="shared" si="43"/>
        <v>112.97</v>
      </c>
      <c r="W142" s="588">
        <f t="shared" si="44"/>
        <v>88.97</v>
      </c>
      <c r="X142" s="587"/>
      <c r="Y142" s="588">
        <f t="shared" si="48"/>
        <v>0.23999999999999488</v>
      </c>
      <c r="Z142" s="588">
        <f t="shared" si="49"/>
        <v>0.29999999999999716</v>
      </c>
      <c r="AA142" s="589">
        <f t="shared" si="50"/>
        <v>0.79999999999999716</v>
      </c>
    </row>
    <row r="143" spans="1:27" s="500" customFormat="1">
      <c r="A143" s="482"/>
      <c r="B143" s="483" t="s">
        <v>141</v>
      </c>
      <c r="C143" s="484">
        <v>8</v>
      </c>
      <c r="D143" s="586">
        <v>114.9</v>
      </c>
      <c r="E143" s="586">
        <v>116.7</v>
      </c>
      <c r="F143" s="586">
        <v>91.7</v>
      </c>
      <c r="G143" s="587"/>
      <c r="H143" s="587">
        <v>100</v>
      </c>
      <c r="I143" s="583">
        <f t="shared" si="36"/>
        <v>2.4000000000000057</v>
      </c>
      <c r="J143" s="583">
        <f t="shared" si="37"/>
        <v>0.40000000000000568</v>
      </c>
      <c r="K143" s="583">
        <f t="shared" si="38"/>
        <v>0.40000000000000568</v>
      </c>
      <c r="L143" s="1218"/>
      <c r="M143" s="588">
        <f t="shared" si="39"/>
        <v>112.5</v>
      </c>
      <c r="N143" s="588">
        <f t="shared" si="40"/>
        <v>115.47</v>
      </c>
      <c r="O143" s="588">
        <f t="shared" si="41"/>
        <v>90.9</v>
      </c>
      <c r="P143" s="583"/>
      <c r="Q143" s="588">
        <f t="shared" si="45"/>
        <v>2.0300000000000011</v>
      </c>
      <c r="R143" s="588">
        <f t="shared" si="46"/>
        <v>1.1700000000000017</v>
      </c>
      <c r="S143" s="588">
        <f t="shared" si="47"/>
        <v>0.5</v>
      </c>
      <c r="T143" s="1218"/>
      <c r="U143" s="588">
        <f t="shared" si="42"/>
        <v>110.79</v>
      </c>
      <c r="V143" s="588">
        <f t="shared" si="43"/>
        <v>113.84</v>
      </c>
      <c r="W143" s="588">
        <f t="shared" si="44"/>
        <v>89.67</v>
      </c>
      <c r="X143" s="587"/>
      <c r="Y143" s="588">
        <f t="shared" si="48"/>
        <v>0.58000000000001251</v>
      </c>
      <c r="Z143" s="588">
        <f t="shared" si="49"/>
        <v>0.87000000000000455</v>
      </c>
      <c r="AA143" s="589">
        <f t="shared" si="50"/>
        <v>0.70000000000000284</v>
      </c>
    </row>
    <row r="144" spans="1:27" s="500" customFormat="1">
      <c r="A144" s="482"/>
      <c r="B144" s="483" t="s">
        <v>141</v>
      </c>
      <c r="C144" s="484">
        <v>9</v>
      </c>
      <c r="D144" s="586">
        <v>114.9</v>
      </c>
      <c r="E144" s="586">
        <v>115.8</v>
      </c>
      <c r="F144" s="586">
        <v>92.2</v>
      </c>
      <c r="G144" s="587"/>
      <c r="H144" s="587">
        <v>100</v>
      </c>
      <c r="I144" s="583">
        <f t="shared" si="36"/>
        <v>0</v>
      </c>
      <c r="J144" s="583">
        <f t="shared" si="37"/>
        <v>-0.90000000000000568</v>
      </c>
      <c r="K144" s="583">
        <f t="shared" si="38"/>
        <v>0.5</v>
      </c>
      <c r="L144" s="1218"/>
      <c r="M144" s="588">
        <f t="shared" si="39"/>
        <v>114.1</v>
      </c>
      <c r="N144" s="588">
        <f t="shared" si="40"/>
        <v>116.27</v>
      </c>
      <c r="O144" s="588">
        <f t="shared" si="41"/>
        <v>91.73</v>
      </c>
      <c r="P144" s="583"/>
      <c r="Q144" s="588">
        <f t="shared" si="45"/>
        <v>1.5999999999999943</v>
      </c>
      <c r="R144" s="588">
        <f t="shared" si="46"/>
        <v>0.79999999999999716</v>
      </c>
      <c r="S144" s="588">
        <f t="shared" si="47"/>
        <v>0.82999999999999829</v>
      </c>
      <c r="T144" s="1218"/>
      <c r="U144" s="588">
        <f t="shared" si="42"/>
        <v>111.51</v>
      </c>
      <c r="V144" s="588">
        <f t="shared" si="43"/>
        <v>114.47</v>
      </c>
      <c r="W144" s="588">
        <f t="shared" si="44"/>
        <v>90.39</v>
      </c>
      <c r="X144" s="587"/>
      <c r="Y144" s="588">
        <f t="shared" si="48"/>
        <v>0.71999999999999886</v>
      </c>
      <c r="Z144" s="588">
        <f t="shared" si="49"/>
        <v>0.62999999999999545</v>
      </c>
      <c r="AA144" s="589">
        <f t="shared" si="50"/>
        <v>0.71999999999999886</v>
      </c>
    </row>
    <row r="145" spans="1:27" s="500" customFormat="1">
      <c r="A145" s="482"/>
      <c r="B145" s="483" t="s">
        <v>141</v>
      </c>
      <c r="C145" s="484">
        <v>10</v>
      </c>
      <c r="D145" s="586">
        <v>109.7</v>
      </c>
      <c r="E145" s="586">
        <v>110.5</v>
      </c>
      <c r="F145" s="586">
        <v>91.7</v>
      </c>
      <c r="G145" s="587"/>
      <c r="H145" s="587">
        <v>100</v>
      </c>
      <c r="I145" s="583">
        <f t="shared" si="36"/>
        <v>-5.2000000000000028</v>
      </c>
      <c r="J145" s="583">
        <f t="shared" si="37"/>
        <v>-5.2999999999999972</v>
      </c>
      <c r="K145" s="583">
        <f t="shared" si="38"/>
        <v>-0.5</v>
      </c>
      <c r="L145" s="1218"/>
      <c r="M145" s="588">
        <f t="shared" si="39"/>
        <v>113.17</v>
      </c>
      <c r="N145" s="588">
        <f t="shared" si="40"/>
        <v>114.33</v>
      </c>
      <c r="O145" s="588">
        <f t="shared" si="41"/>
        <v>91.87</v>
      </c>
      <c r="P145" s="583"/>
      <c r="Q145" s="588">
        <f t="shared" si="45"/>
        <v>-0.92999999999999261</v>
      </c>
      <c r="R145" s="588">
        <f t="shared" si="46"/>
        <v>-1.9399999999999977</v>
      </c>
      <c r="S145" s="588">
        <f t="shared" si="47"/>
        <v>0.14000000000000057</v>
      </c>
      <c r="T145" s="1218"/>
      <c r="U145" s="588">
        <f t="shared" si="42"/>
        <v>111.67</v>
      </c>
      <c r="V145" s="588">
        <f t="shared" si="43"/>
        <v>114.16</v>
      </c>
      <c r="W145" s="588">
        <f t="shared" si="44"/>
        <v>90.8</v>
      </c>
      <c r="X145" s="587"/>
      <c r="Y145" s="588">
        <f t="shared" si="48"/>
        <v>0.15999999999999659</v>
      </c>
      <c r="Z145" s="588">
        <f t="shared" si="49"/>
        <v>-0.31000000000000227</v>
      </c>
      <c r="AA145" s="589">
        <f t="shared" si="50"/>
        <v>0.40999999999999659</v>
      </c>
    </row>
    <row r="146" spans="1:27" s="500" customFormat="1">
      <c r="A146" s="482"/>
      <c r="B146" s="483" t="s">
        <v>141</v>
      </c>
      <c r="C146" s="484">
        <v>11</v>
      </c>
      <c r="D146" s="586">
        <v>109.9</v>
      </c>
      <c r="E146" s="586">
        <v>111.5</v>
      </c>
      <c r="F146" s="586">
        <v>89.6</v>
      </c>
      <c r="G146" s="587"/>
      <c r="H146" s="587">
        <v>100</v>
      </c>
      <c r="I146" s="583">
        <f t="shared" si="36"/>
        <v>0.20000000000000284</v>
      </c>
      <c r="J146" s="583">
        <f t="shared" si="37"/>
        <v>1</v>
      </c>
      <c r="K146" s="583">
        <f t="shared" si="38"/>
        <v>-2.1000000000000085</v>
      </c>
      <c r="L146" s="1218"/>
      <c r="M146" s="588">
        <f t="shared" si="39"/>
        <v>111.5</v>
      </c>
      <c r="N146" s="588">
        <f t="shared" si="40"/>
        <v>112.6</v>
      </c>
      <c r="O146" s="588">
        <f t="shared" si="41"/>
        <v>91.17</v>
      </c>
      <c r="P146" s="583"/>
      <c r="Q146" s="588">
        <f t="shared" si="45"/>
        <v>-1.6700000000000017</v>
      </c>
      <c r="R146" s="588">
        <f t="shared" si="46"/>
        <v>-1.730000000000004</v>
      </c>
      <c r="S146" s="588">
        <f t="shared" si="47"/>
        <v>-0.70000000000000284</v>
      </c>
      <c r="T146" s="1218"/>
      <c r="U146" s="588">
        <f t="shared" si="42"/>
        <v>111.54</v>
      </c>
      <c r="V146" s="588">
        <f t="shared" si="43"/>
        <v>113.91</v>
      </c>
      <c r="W146" s="588">
        <f t="shared" si="44"/>
        <v>90.91</v>
      </c>
      <c r="X146" s="587"/>
      <c r="Y146" s="588">
        <f t="shared" si="48"/>
        <v>-0.12999999999999545</v>
      </c>
      <c r="Z146" s="588">
        <f t="shared" si="49"/>
        <v>-0.25</v>
      </c>
      <c r="AA146" s="589">
        <f t="shared" si="50"/>
        <v>0.10999999999999943</v>
      </c>
    </row>
    <row r="147" spans="1:27" s="500" customFormat="1">
      <c r="A147" s="486"/>
      <c r="B147" s="487" t="s">
        <v>141</v>
      </c>
      <c r="C147" s="488">
        <v>12</v>
      </c>
      <c r="D147" s="590">
        <v>109.6</v>
      </c>
      <c r="E147" s="590">
        <v>113.1</v>
      </c>
      <c r="F147" s="590">
        <v>91.4</v>
      </c>
      <c r="G147" s="591"/>
      <c r="H147" s="591">
        <v>100</v>
      </c>
      <c r="I147" s="592">
        <f t="shared" si="36"/>
        <v>-0.30000000000001137</v>
      </c>
      <c r="J147" s="592">
        <f t="shared" si="37"/>
        <v>1.5999999999999943</v>
      </c>
      <c r="K147" s="592">
        <f t="shared" si="38"/>
        <v>1.8000000000000114</v>
      </c>
      <c r="L147" s="1219"/>
      <c r="M147" s="603">
        <f t="shared" si="39"/>
        <v>109.73</v>
      </c>
      <c r="N147" s="603">
        <f t="shared" si="40"/>
        <v>111.7</v>
      </c>
      <c r="O147" s="603">
        <f t="shared" si="41"/>
        <v>90.9</v>
      </c>
      <c r="P147" s="592"/>
      <c r="Q147" s="588">
        <f t="shared" si="45"/>
        <v>-1.769999999999996</v>
      </c>
      <c r="R147" s="588">
        <f t="shared" si="46"/>
        <v>-0.89999999999999147</v>
      </c>
      <c r="S147" s="588">
        <f t="shared" si="47"/>
        <v>-0.26999999999999602</v>
      </c>
      <c r="T147" s="1219"/>
      <c r="U147" s="593">
        <f t="shared" si="42"/>
        <v>111.66</v>
      </c>
      <c r="V147" s="593">
        <f t="shared" si="43"/>
        <v>113.9</v>
      </c>
      <c r="W147" s="593">
        <f t="shared" si="44"/>
        <v>91.09</v>
      </c>
      <c r="X147" s="591"/>
      <c r="Y147" s="593">
        <f t="shared" si="48"/>
        <v>0.11999999999999034</v>
      </c>
      <c r="Z147" s="593">
        <f t="shared" si="49"/>
        <v>-9.9999999999909051E-3</v>
      </c>
      <c r="AA147" s="594">
        <f t="shared" si="50"/>
        <v>0.18000000000000682</v>
      </c>
    </row>
    <row r="148" spans="1:27" s="500" customFormat="1">
      <c r="A148" s="490">
        <v>17</v>
      </c>
      <c r="B148" s="990" t="s">
        <v>658</v>
      </c>
      <c r="C148" s="492">
        <v>1</v>
      </c>
      <c r="D148" s="595">
        <v>109.7</v>
      </c>
      <c r="E148" s="595">
        <v>112.5</v>
      </c>
      <c r="F148" s="595">
        <v>93.1</v>
      </c>
      <c r="G148" s="596"/>
      <c r="H148" s="596">
        <v>100</v>
      </c>
      <c r="I148" s="597">
        <f t="shared" si="36"/>
        <v>0.10000000000000853</v>
      </c>
      <c r="J148" s="597">
        <f t="shared" si="37"/>
        <v>-0.59999999999999432</v>
      </c>
      <c r="K148" s="597">
        <f t="shared" si="38"/>
        <v>1.6999999999999886</v>
      </c>
      <c r="L148" s="1220"/>
      <c r="M148" s="584">
        <f t="shared" si="39"/>
        <v>109.73</v>
      </c>
      <c r="N148" s="584">
        <f t="shared" si="40"/>
        <v>112.37</v>
      </c>
      <c r="O148" s="584">
        <f t="shared" si="41"/>
        <v>91.37</v>
      </c>
      <c r="P148" s="597"/>
      <c r="Q148" s="588">
        <f t="shared" si="45"/>
        <v>0</v>
      </c>
      <c r="R148" s="588">
        <f t="shared" si="46"/>
        <v>0.67000000000000171</v>
      </c>
      <c r="S148" s="588">
        <f t="shared" si="47"/>
        <v>0.46999999999999886</v>
      </c>
      <c r="T148" s="1220"/>
      <c r="U148" s="598">
        <f t="shared" si="42"/>
        <v>111.6</v>
      </c>
      <c r="V148" s="598">
        <f t="shared" si="43"/>
        <v>113.77</v>
      </c>
      <c r="W148" s="598">
        <f t="shared" si="44"/>
        <v>91.57</v>
      </c>
      <c r="X148" s="596"/>
      <c r="Y148" s="598">
        <f t="shared" si="48"/>
        <v>-6.0000000000002274E-2</v>
      </c>
      <c r="Z148" s="598">
        <f t="shared" si="49"/>
        <v>-0.13000000000000966</v>
      </c>
      <c r="AA148" s="599">
        <f t="shared" si="50"/>
        <v>0.47999999999998977</v>
      </c>
    </row>
    <row r="149" spans="1:27" s="500" customFormat="1">
      <c r="A149" s="482"/>
      <c r="B149" s="483" t="s">
        <v>141</v>
      </c>
      <c r="C149" s="484">
        <v>2</v>
      </c>
      <c r="D149" s="586">
        <v>105.7</v>
      </c>
      <c r="E149" s="586">
        <v>111.9</v>
      </c>
      <c r="F149" s="586">
        <v>89.5</v>
      </c>
      <c r="G149" s="587"/>
      <c r="H149" s="587">
        <v>100</v>
      </c>
      <c r="I149" s="583">
        <f t="shared" si="36"/>
        <v>-4</v>
      </c>
      <c r="J149" s="583">
        <f t="shared" si="37"/>
        <v>-0.59999999999999432</v>
      </c>
      <c r="K149" s="583">
        <f t="shared" si="38"/>
        <v>-3.5999999999999943</v>
      </c>
      <c r="L149" s="1218"/>
      <c r="M149" s="588">
        <f t="shared" si="39"/>
        <v>108.33</v>
      </c>
      <c r="N149" s="588">
        <f t="shared" si="40"/>
        <v>112.5</v>
      </c>
      <c r="O149" s="588">
        <f t="shared" si="41"/>
        <v>91.33</v>
      </c>
      <c r="P149" s="583"/>
      <c r="Q149" s="588">
        <f t="shared" si="45"/>
        <v>-1.4000000000000057</v>
      </c>
      <c r="R149" s="588">
        <f t="shared" si="46"/>
        <v>0.12999999999999545</v>
      </c>
      <c r="S149" s="588">
        <f t="shared" si="47"/>
        <v>-4.0000000000006253E-2</v>
      </c>
      <c r="T149" s="1218"/>
      <c r="U149" s="588">
        <f t="shared" si="42"/>
        <v>110.63</v>
      </c>
      <c r="V149" s="588">
        <f t="shared" si="43"/>
        <v>113.14</v>
      </c>
      <c r="W149" s="588">
        <f t="shared" si="44"/>
        <v>91.31</v>
      </c>
      <c r="X149" s="587"/>
      <c r="Y149" s="588">
        <f t="shared" si="48"/>
        <v>-0.96999999999999886</v>
      </c>
      <c r="Z149" s="588">
        <f t="shared" si="49"/>
        <v>-0.62999999999999545</v>
      </c>
      <c r="AA149" s="589">
        <f t="shared" si="50"/>
        <v>-0.25999999999999091</v>
      </c>
    </row>
    <row r="150" spans="1:27" s="500" customFormat="1">
      <c r="A150" s="482"/>
      <c r="B150" s="483" t="s">
        <v>141</v>
      </c>
      <c r="C150" s="484">
        <v>3</v>
      </c>
      <c r="D150" s="586">
        <v>104.6</v>
      </c>
      <c r="E150" s="586">
        <v>109</v>
      </c>
      <c r="F150" s="586">
        <v>90.3</v>
      </c>
      <c r="G150" s="587"/>
      <c r="H150" s="587">
        <v>100</v>
      </c>
      <c r="I150" s="583">
        <f t="shared" si="36"/>
        <v>-1.1000000000000085</v>
      </c>
      <c r="J150" s="583">
        <f t="shared" si="37"/>
        <v>-2.9000000000000057</v>
      </c>
      <c r="K150" s="583">
        <f t="shared" si="38"/>
        <v>0.79999999999999716</v>
      </c>
      <c r="L150" s="1218"/>
      <c r="M150" s="588">
        <f t="shared" si="39"/>
        <v>106.67</v>
      </c>
      <c r="N150" s="588">
        <f t="shared" si="40"/>
        <v>111.13</v>
      </c>
      <c r="O150" s="588">
        <f t="shared" si="41"/>
        <v>90.97</v>
      </c>
      <c r="P150" s="583"/>
      <c r="Q150" s="588">
        <f t="shared" si="45"/>
        <v>-1.6599999999999966</v>
      </c>
      <c r="R150" s="588">
        <f t="shared" si="46"/>
        <v>-1.3700000000000045</v>
      </c>
      <c r="S150" s="588">
        <f t="shared" si="47"/>
        <v>-0.35999999999999943</v>
      </c>
      <c r="T150" s="1218"/>
      <c r="U150" s="588">
        <f t="shared" si="42"/>
        <v>109.16</v>
      </c>
      <c r="V150" s="588">
        <f t="shared" si="43"/>
        <v>112.04</v>
      </c>
      <c r="W150" s="588">
        <f t="shared" si="44"/>
        <v>91.11</v>
      </c>
      <c r="X150" s="587"/>
      <c r="Y150" s="588">
        <f t="shared" si="48"/>
        <v>-1.4699999999999989</v>
      </c>
      <c r="Z150" s="588">
        <f t="shared" si="49"/>
        <v>-1.0999999999999943</v>
      </c>
      <c r="AA150" s="589">
        <f t="shared" si="50"/>
        <v>-0.20000000000000284</v>
      </c>
    </row>
    <row r="151" spans="1:27" s="500" customFormat="1">
      <c r="A151" s="482"/>
      <c r="B151" s="483" t="s">
        <v>141</v>
      </c>
      <c r="C151" s="484">
        <v>4</v>
      </c>
      <c r="D151" s="586">
        <v>102.9</v>
      </c>
      <c r="E151" s="586">
        <v>107.1</v>
      </c>
      <c r="F151" s="586">
        <v>90.9</v>
      </c>
      <c r="G151" s="587"/>
      <c r="H151" s="587">
        <v>100</v>
      </c>
      <c r="I151" s="583">
        <f t="shared" si="36"/>
        <v>-1.6999999999999886</v>
      </c>
      <c r="J151" s="583">
        <f t="shared" si="37"/>
        <v>-1.9000000000000057</v>
      </c>
      <c r="K151" s="583">
        <f t="shared" si="38"/>
        <v>0.60000000000000853</v>
      </c>
      <c r="L151" s="1218"/>
      <c r="M151" s="588">
        <f t="shared" si="39"/>
        <v>104.4</v>
      </c>
      <c r="N151" s="588">
        <f t="shared" si="40"/>
        <v>109.33</v>
      </c>
      <c r="O151" s="588">
        <f t="shared" si="41"/>
        <v>90.23</v>
      </c>
      <c r="P151" s="583"/>
      <c r="Q151" s="588">
        <f t="shared" si="45"/>
        <v>-2.269999999999996</v>
      </c>
      <c r="R151" s="588">
        <f t="shared" si="46"/>
        <v>-1.7999999999999972</v>
      </c>
      <c r="S151" s="588">
        <f t="shared" si="47"/>
        <v>-0.73999999999999488</v>
      </c>
      <c r="T151" s="1218"/>
      <c r="U151" s="588">
        <f t="shared" si="42"/>
        <v>107.44</v>
      </c>
      <c r="V151" s="588">
        <f t="shared" si="43"/>
        <v>110.8</v>
      </c>
      <c r="W151" s="588">
        <f t="shared" si="44"/>
        <v>90.93</v>
      </c>
      <c r="X151" s="587"/>
      <c r="Y151" s="588">
        <f t="shared" si="48"/>
        <v>-1.7199999999999989</v>
      </c>
      <c r="Z151" s="588">
        <f t="shared" si="49"/>
        <v>-1.2400000000000091</v>
      </c>
      <c r="AA151" s="589">
        <f t="shared" si="50"/>
        <v>-0.17999999999999261</v>
      </c>
    </row>
    <row r="152" spans="1:27" s="500" customFormat="1">
      <c r="A152" s="482"/>
      <c r="B152" s="483" t="s">
        <v>141</v>
      </c>
      <c r="C152" s="484">
        <v>5</v>
      </c>
      <c r="D152" s="586">
        <v>106.1</v>
      </c>
      <c r="E152" s="586">
        <v>111.6</v>
      </c>
      <c r="F152" s="586">
        <v>91</v>
      </c>
      <c r="G152" s="587"/>
      <c r="H152" s="587">
        <v>100</v>
      </c>
      <c r="I152" s="583">
        <f t="shared" si="36"/>
        <v>3.1999999999999886</v>
      </c>
      <c r="J152" s="583">
        <f t="shared" si="37"/>
        <v>4.5</v>
      </c>
      <c r="K152" s="583">
        <f t="shared" si="38"/>
        <v>9.9999999999994316E-2</v>
      </c>
      <c r="L152" s="1218"/>
      <c r="M152" s="588">
        <f t="shared" si="39"/>
        <v>104.53</v>
      </c>
      <c r="N152" s="588">
        <f t="shared" si="40"/>
        <v>109.23</v>
      </c>
      <c r="O152" s="588">
        <f t="shared" si="41"/>
        <v>90.73</v>
      </c>
      <c r="P152" s="583"/>
      <c r="Q152" s="588">
        <f t="shared" si="45"/>
        <v>0.12999999999999545</v>
      </c>
      <c r="R152" s="588">
        <f t="shared" si="46"/>
        <v>-9.9999999999994316E-2</v>
      </c>
      <c r="S152" s="588">
        <f t="shared" si="47"/>
        <v>0.5</v>
      </c>
      <c r="T152" s="1218"/>
      <c r="U152" s="588">
        <f t="shared" si="42"/>
        <v>106.93</v>
      </c>
      <c r="V152" s="588">
        <f t="shared" si="43"/>
        <v>110.96</v>
      </c>
      <c r="W152" s="588">
        <f t="shared" si="44"/>
        <v>90.83</v>
      </c>
      <c r="X152" s="587"/>
      <c r="Y152" s="588">
        <f t="shared" si="48"/>
        <v>-0.50999999999999091</v>
      </c>
      <c r="Z152" s="588">
        <f t="shared" si="49"/>
        <v>0.15999999999999659</v>
      </c>
      <c r="AA152" s="589">
        <f t="shared" si="50"/>
        <v>-0.10000000000000853</v>
      </c>
    </row>
    <row r="153" spans="1:27" s="500" customFormat="1">
      <c r="A153" s="482"/>
      <c r="B153" s="483" t="s">
        <v>141</v>
      </c>
      <c r="C153" s="484">
        <v>6</v>
      </c>
      <c r="D153" s="586">
        <v>104.7</v>
      </c>
      <c r="E153" s="586">
        <v>109.9</v>
      </c>
      <c r="F153" s="586">
        <v>90.7</v>
      </c>
      <c r="G153" s="587"/>
      <c r="H153" s="587">
        <v>100</v>
      </c>
      <c r="I153" s="583">
        <f t="shared" si="36"/>
        <v>-1.3999999999999915</v>
      </c>
      <c r="J153" s="583">
        <f t="shared" si="37"/>
        <v>-1.6999999999999886</v>
      </c>
      <c r="K153" s="583">
        <f t="shared" si="38"/>
        <v>-0.29999999999999716</v>
      </c>
      <c r="L153" s="1218"/>
      <c r="M153" s="588">
        <f t="shared" si="39"/>
        <v>104.57</v>
      </c>
      <c r="N153" s="588">
        <f t="shared" si="40"/>
        <v>109.53</v>
      </c>
      <c r="O153" s="588">
        <f t="shared" si="41"/>
        <v>90.87</v>
      </c>
      <c r="P153" s="583"/>
      <c r="Q153" s="588">
        <f t="shared" si="45"/>
        <v>3.9999999999992042E-2</v>
      </c>
      <c r="R153" s="588">
        <f t="shared" si="46"/>
        <v>0.29999999999999716</v>
      </c>
      <c r="S153" s="588">
        <f t="shared" si="47"/>
        <v>0.14000000000000057</v>
      </c>
      <c r="T153" s="1218"/>
      <c r="U153" s="588">
        <f t="shared" si="42"/>
        <v>106.19</v>
      </c>
      <c r="V153" s="588">
        <f t="shared" si="43"/>
        <v>110.73</v>
      </c>
      <c r="W153" s="588">
        <f t="shared" si="44"/>
        <v>90.99</v>
      </c>
      <c r="X153" s="587"/>
      <c r="Y153" s="588">
        <f t="shared" si="48"/>
        <v>-0.74000000000000909</v>
      </c>
      <c r="Z153" s="588">
        <f t="shared" si="49"/>
        <v>-0.22999999999998977</v>
      </c>
      <c r="AA153" s="589">
        <f t="shared" si="50"/>
        <v>0.15999999999999659</v>
      </c>
    </row>
    <row r="154" spans="1:27" s="500" customFormat="1">
      <c r="A154" s="482"/>
      <c r="B154" s="483" t="s">
        <v>141</v>
      </c>
      <c r="C154" s="484">
        <v>7</v>
      </c>
      <c r="D154" s="586">
        <v>104.5</v>
      </c>
      <c r="E154" s="586">
        <v>108.6</v>
      </c>
      <c r="F154" s="586">
        <v>90.3</v>
      </c>
      <c r="G154" s="587"/>
      <c r="H154" s="587">
        <v>100</v>
      </c>
      <c r="I154" s="583">
        <f t="shared" si="36"/>
        <v>-0.20000000000000284</v>
      </c>
      <c r="J154" s="583">
        <f t="shared" si="37"/>
        <v>-1.3000000000000114</v>
      </c>
      <c r="K154" s="583">
        <f t="shared" si="38"/>
        <v>-0.40000000000000568</v>
      </c>
      <c r="L154" s="1218"/>
      <c r="M154" s="588">
        <f t="shared" si="39"/>
        <v>105.1</v>
      </c>
      <c r="N154" s="588">
        <f t="shared" si="40"/>
        <v>110.03</v>
      </c>
      <c r="O154" s="588">
        <f t="shared" si="41"/>
        <v>90.67</v>
      </c>
      <c r="P154" s="583"/>
      <c r="Q154" s="588">
        <f t="shared" si="45"/>
        <v>0.53000000000000114</v>
      </c>
      <c r="R154" s="588">
        <f t="shared" si="46"/>
        <v>0.5</v>
      </c>
      <c r="S154" s="588">
        <f t="shared" si="47"/>
        <v>-0.20000000000000284</v>
      </c>
      <c r="T154" s="1218"/>
      <c r="U154" s="588">
        <f t="shared" si="42"/>
        <v>105.46</v>
      </c>
      <c r="V154" s="588">
        <f t="shared" si="43"/>
        <v>110.09</v>
      </c>
      <c r="W154" s="588">
        <f t="shared" si="44"/>
        <v>90.83</v>
      </c>
      <c r="X154" s="587"/>
      <c r="Y154" s="588">
        <f t="shared" si="48"/>
        <v>-0.73000000000000398</v>
      </c>
      <c r="Z154" s="588">
        <f t="shared" si="49"/>
        <v>-0.64000000000000057</v>
      </c>
      <c r="AA154" s="589">
        <f t="shared" si="50"/>
        <v>-0.15999999999999659</v>
      </c>
    </row>
    <row r="155" spans="1:27" s="500" customFormat="1">
      <c r="A155" s="482"/>
      <c r="B155" s="483" t="s">
        <v>141</v>
      </c>
      <c r="C155" s="484">
        <v>8</v>
      </c>
      <c r="D155" s="586">
        <v>107.9</v>
      </c>
      <c r="E155" s="586">
        <v>114</v>
      </c>
      <c r="F155" s="586">
        <v>90.9</v>
      </c>
      <c r="G155" s="587"/>
      <c r="H155" s="587">
        <v>100</v>
      </c>
      <c r="I155" s="583">
        <f t="shared" si="36"/>
        <v>3.4000000000000057</v>
      </c>
      <c r="J155" s="583">
        <f t="shared" si="37"/>
        <v>5.4000000000000057</v>
      </c>
      <c r="K155" s="583">
        <f t="shared" si="38"/>
        <v>0.60000000000000853</v>
      </c>
      <c r="L155" s="1218"/>
      <c r="M155" s="588">
        <f t="shared" si="39"/>
        <v>105.7</v>
      </c>
      <c r="N155" s="588">
        <f t="shared" si="40"/>
        <v>110.83</v>
      </c>
      <c r="O155" s="588">
        <f t="shared" si="41"/>
        <v>90.63</v>
      </c>
      <c r="P155" s="583"/>
      <c r="Q155" s="588">
        <f t="shared" si="45"/>
        <v>0.60000000000000853</v>
      </c>
      <c r="R155" s="588">
        <f t="shared" si="46"/>
        <v>0.79999999999999716</v>
      </c>
      <c r="S155" s="588">
        <f t="shared" si="47"/>
        <v>-4.0000000000006253E-2</v>
      </c>
      <c r="T155" s="1218"/>
      <c r="U155" s="588">
        <f t="shared" si="42"/>
        <v>105.2</v>
      </c>
      <c r="V155" s="588">
        <f t="shared" si="43"/>
        <v>110.3</v>
      </c>
      <c r="W155" s="588">
        <f t="shared" si="44"/>
        <v>90.51</v>
      </c>
      <c r="X155" s="587"/>
      <c r="Y155" s="588">
        <f t="shared" si="48"/>
        <v>-0.25999999999999091</v>
      </c>
      <c r="Z155" s="588">
        <f t="shared" si="49"/>
        <v>0.20999999999999375</v>
      </c>
      <c r="AA155" s="589">
        <f t="shared" si="50"/>
        <v>-0.31999999999999318</v>
      </c>
    </row>
    <row r="156" spans="1:27" s="500" customFormat="1">
      <c r="A156" s="482"/>
      <c r="B156" s="483" t="s">
        <v>141</v>
      </c>
      <c r="C156" s="484">
        <v>9</v>
      </c>
      <c r="D156" s="586">
        <v>111.3</v>
      </c>
      <c r="E156" s="586">
        <v>112.2</v>
      </c>
      <c r="F156" s="586">
        <v>90.6</v>
      </c>
      <c r="G156" s="587"/>
      <c r="H156" s="587">
        <v>100</v>
      </c>
      <c r="I156" s="583">
        <f t="shared" si="36"/>
        <v>3.3999999999999915</v>
      </c>
      <c r="J156" s="583">
        <f t="shared" si="37"/>
        <v>-1.7999999999999972</v>
      </c>
      <c r="K156" s="583">
        <f t="shared" si="38"/>
        <v>-0.30000000000001137</v>
      </c>
      <c r="L156" s="1218"/>
      <c r="M156" s="588">
        <f t="shared" si="39"/>
        <v>107.9</v>
      </c>
      <c r="N156" s="588">
        <f t="shared" si="40"/>
        <v>111.6</v>
      </c>
      <c r="O156" s="588">
        <f t="shared" si="41"/>
        <v>90.6</v>
      </c>
      <c r="P156" s="583"/>
      <c r="Q156" s="588">
        <f t="shared" si="45"/>
        <v>2.2000000000000028</v>
      </c>
      <c r="R156" s="588">
        <f t="shared" si="46"/>
        <v>0.76999999999999602</v>
      </c>
      <c r="S156" s="588">
        <f t="shared" si="47"/>
        <v>-3.0000000000001137E-2</v>
      </c>
      <c r="T156" s="1218"/>
      <c r="U156" s="588">
        <f t="shared" si="42"/>
        <v>106</v>
      </c>
      <c r="V156" s="588">
        <f t="shared" si="43"/>
        <v>110.34</v>
      </c>
      <c r="W156" s="588">
        <f t="shared" si="44"/>
        <v>90.67</v>
      </c>
      <c r="X156" s="587"/>
      <c r="Y156" s="588">
        <f t="shared" si="48"/>
        <v>0.79999999999999716</v>
      </c>
      <c r="Z156" s="588">
        <f t="shared" si="49"/>
        <v>4.0000000000006253E-2</v>
      </c>
      <c r="AA156" s="589">
        <f t="shared" si="50"/>
        <v>0.15999999999999659</v>
      </c>
    </row>
    <row r="157" spans="1:27" s="500" customFormat="1">
      <c r="A157" s="482"/>
      <c r="B157" s="483" t="s">
        <v>141</v>
      </c>
      <c r="C157" s="484">
        <v>10</v>
      </c>
      <c r="D157" s="586">
        <v>111.8</v>
      </c>
      <c r="E157" s="586">
        <v>117.9</v>
      </c>
      <c r="F157" s="586">
        <v>91.3</v>
      </c>
      <c r="G157" s="587"/>
      <c r="H157" s="587">
        <v>100</v>
      </c>
      <c r="I157" s="583">
        <f t="shared" si="36"/>
        <v>0.5</v>
      </c>
      <c r="J157" s="583">
        <f t="shared" si="37"/>
        <v>5.7000000000000028</v>
      </c>
      <c r="K157" s="583">
        <f t="shared" si="38"/>
        <v>0.70000000000000284</v>
      </c>
      <c r="L157" s="1218"/>
      <c r="M157" s="588">
        <f t="shared" si="39"/>
        <v>110.33</v>
      </c>
      <c r="N157" s="588">
        <f t="shared" si="40"/>
        <v>114.7</v>
      </c>
      <c r="O157" s="588">
        <f t="shared" si="41"/>
        <v>90.93</v>
      </c>
      <c r="P157" s="583"/>
      <c r="Q157" s="588">
        <f t="shared" si="45"/>
        <v>2.4299999999999926</v>
      </c>
      <c r="R157" s="588">
        <f t="shared" si="46"/>
        <v>3.1000000000000085</v>
      </c>
      <c r="S157" s="588">
        <f t="shared" si="47"/>
        <v>0.33000000000001251</v>
      </c>
      <c r="T157" s="1218"/>
      <c r="U157" s="588">
        <f t="shared" si="42"/>
        <v>107.03</v>
      </c>
      <c r="V157" s="588">
        <f t="shared" si="43"/>
        <v>111.61</v>
      </c>
      <c r="W157" s="588">
        <f t="shared" si="44"/>
        <v>90.81</v>
      </c>
      <c r="X157" s="587"/>
      <c r="Y157" s="588">
        <f t="shared" si="48"/>
        <v>1.0300000000000011</v>
      </c>
      <c r="Z157" s="588">
        <f t="shared" si="49"/>
        <v>1.269999999999996</v>
      </c>
      <c r="AA157" s="589">
        <f t="shared" si="50"/>
        <v>0.14000000000000057</v>
      </c>
    </row>
    <row r="158" spans="1:27" s="500" customFormat="1">
      <c r="A158" s="482"/>
      <c r="B158" s="483" t="s">
        <v>141</v>
      </c>
      <c r="C158" s="484">
        <v>11</v>
      </c>
      <c r="D158" s="586">
        <v>115.9</v>
      </c>
      <c r="E158" s="586">
        <v>122.6</v>
      </c>
      <c r="F158" s="586">
        <v>91.5</v>
      </c>
      <c r="G158" s="587"/>
      <c r="H158" s="587">
        <v>100</v>
      </c>
      <c r="I158" s="583">
        <f t="shared" si="36"/>
        <v>4.1000000000000085</v>
      </c>
      <c r="J158" s="583">
        <f t="shared" si="37"/>
        <v>4.6999999999999886</v>
      </c>
      <c r="K158" s="583">
        <f t="shared" si="38"/>
        <v>0.20000000000000284</v>
      </c>
      <c r="L158" s="1218"/>
      <c r="M158" s="588">
        <f t="shared" si="39"/>
        <v>113</v>
      </c>
      <c r="N158" s="588">
        <f t="shared" si="40"/>
        <v>117.57</v>
      </c>
      <c r="O158" s="588">
        <f t="shared" si="41"/>
        <v>91.13</v>
      </c>
      <c r="P158" s="583"/>
      <c r="Q158" s="588">
        <f t="shared" si="45"/>
        <v>2.6700000000000017</v>
      </c>
      <c r="R158" s="588">
        <f t="shared" si="46"/>
        <v>2.8699999999999903</v>
      </c>
      <c r="S158" s="588">
        <f t="shared" si="47"/>
        <v>0.19999999999998863</v>
      </c>
      <c r="T158" s="1218"/>
      <c r="U158" s="588">
        <f t="shared" si="42"/>
        <v>108.89</v>
      </c>
      <c r="V158" s="588">
        <f t="shared" si="43"/>
        <v>113.83</v>
      </c>
      <c r="W158" s="588">
        <f t="shared" si="44"/>
        <v>90.9</v>
      </c>
      <c r="X158" s="587"/>
      <c r="Y158" s="588">
        <f t="shared" si="48"/>
        <v>1.8599999999999994</v>
      </c>
      <c r="Z158" s="588">
        <f t="shared" si="49"/>
        <v>2.2199999999999989</v>
      </c>
      <c r="AA158" s="589">
        <f t="shared" si="50"/>
        <v>9.0000000000003411E-2</v>
      </c>
    </row>
    <row r="159" spans="1:27" s="500" customFormat="1">
      <c r="A159" s="494"/>
      <c r="B159" s="495" t="s">
        <v>141</v>
      </c>
      <c r="C159" s="496">
        <v>12</v>
      </c>
      <c r="D159" s="600">
        <v>116.9</v>
      </c>
      <c r="E159" s="600">
        <v>122.2</v>
      </c>
      <c r="F159" s="600">
        <v>91.8</v>
      </c>
      <c r="G159" s="601"/>
      <c r="H159" s="601">
        <v>100</v>
      </c>
      <c r="I159" s="602">
        <f t="shared" si="36"/>
        <v>1</v>
      </c>
      <c r="J159" s="602">
        <f t="shared" si="37"/>
        <v>-0.39999999999999147</v>
      </c>
      <c r="K159" s="602">
        <f t="shared" si="38"/>
        <v>0.29999999999999716</v>
      </c>
      <c r="L159" s="1221"/>
      <c r="M159" s="593">
        <f t="shared" si="39"/>
        <v>114.87</v>
      </c>
      <c r="N159" s="593">
        <f t="shared" si="40"/>
        <v>120.9</v>
      </c>
      <c r="O159" s="593">
        <f t="shared" si="41"/>
        <v>91.53</v>
      </c>
      <c r="P159" s="602"/>
      <c r="Q159" s="588">
        <f t="shared" si="45"/>
        <v>1.8700000000000045</v>
      </c>
      <c r="R159" s="588">
        <f t="shared" si="46"/>
        <v>3.3300000000000125</v>
      </c>
      <c r="S159" s="588">
        <f t="shared" si="47"/>
        <v>0.40000000000000568</v>
      </c>
      <c r="T159" s="1221"/>
      <c r="U159" s="603">
        <f t="shared" si="42"/>
        <v>110.43</v>
      </c>
      <c r="V159" s="603">
        <f t="shared" si="43"/>
        <v>115.34</v>
      </c>
      <c r="W159" s="603">
        <f t="shared" si="44"/>
        <v>91.01</v>
      </c>
      <c r="X159" s="601"/>
      <c r="Y159" s="603">
        <f t="shared" si="48"/>
        <v>1.5400000000000063</v>
      </c>
      <c r="Z159" s="603">
        <f t="shared" si="49"/>
        <v>1.5100000000000051</v>
      </c>
      <c r="AA159" s="604">
        <f t="shared" si="50"/>
        <v>0.10999999999999943</v>
      </c>
    </row>
    <row r="160" spans="1:27" s="500" customFormat="1">
      <c r="A160" s="478">
        <v>18</v>
      </c>
      <c r="B160" s="989" t="s">
        <v>659</v>
      </c>
      <c r="C160" s="480">
        <v>1</v>
      </c>
      <c r="D160" s="580">
        <v>122.5</v>
      </c>
      <c r="E160" s="580">
        <v>125.6</v>
      </c>
      <c r="F160" s="580">
        <v>93.2</v>
      </c>
      <c r="G160" s="581"/>
      <c r="H160" s="581">
        <v>100</v>
      </c>
      <c r="I160" s="582">
        <f t="shared" si="36"/>
        <v>5.5999999999999943</v>
      </c>
      <c r="J160" s="582">
        <f t="shared" si="37"/>
        <v>3.3999999999999915</v>
      </c>
      <c r="K160" s="582">
        <f t="shared" si="38"/>
        <v>1.4000000000000057</v>
      </c>
      <c r="L160" s="1217"/>
      <c r="M160" s="598">
        <f t="shared" ref="M160:M191" si="51">ROUND(AVERAGE(D158:D160),2)</f>
        <v>118.43</v>
      </c>
      <c r="N160" s="598">
        <f t="shared" ref="N160:N191" si="52">ROUND(AVERAGE(E158:E160),2)</f>
        <v>123.47</v>
      </c>
      <c r="O160" s="598">
        <f t="shared" ref="O160:O191" si="53">ROUND(AVERAGE(F158:F160),2)</f>
        <v>92.17</v>
      </c>
      <c r="P160" s="582"/>
      <c r="Q160" s="588">
        <f t="shared" si="45"/>
        <v>3.5600000000000023</v>
      </c>
      <c r="R160" s="588">
        <f t="shared" si="46"/>
        <v>2.5699999999999932</v>
      </c>
      <c r="S160" s="588">
        <f t="shared" si="47"/>
        <v>0.64000000000000057</v>
      </c>
      <c r="T160" s="1217"/>
      <c r="U160" s="584">
        <f t="shared" ref="U160:U191" si="54">ROUND(AVERAGE(D154:D160),2)</f>
        <v>112.97</v>
      </c>
      <c r="V160" s="584">
        <f t="shared" ref="V160:V191" si="55">ROUND(AVERAGE(E154:E160),2)</f>
        <v>117.59</v>
      </c>
      <c r="W160" s="584">
        <f t="shared" ref="W160:W191" si="56">ROUND(AVERAGE(F154:F160),2)</f>
        <v>91.37</v>
      </c>
      <c r="X160" s="581"/>
      <c r="Y160" s="584">
        <f t="shared" si="48"/>
        <v>2.539999999999992</v>
      </c>
      <c r="Z160" s="584">
        <f t="shared" si="49"/>
        <v>2.25</v>
      </c>
      <c r="AA160" s="585">
        <f t="shared" si="50"/>
        <v>0.35999999999999943</v>
      </c>
    </row>
    <row r="161" spans="1:27" s="500" customFormat="1">
      <c r="A161" s="482"/>
      <c r="B161" s="483" t="s">
        <v>141</v>
      </c>
      <c r="C161" s="484">
        <v>2</v>
      </c>
      <c r="D161" s="586">
        <v>117.8</v>
      </c>
      <c r="E161" s="586">
        <v>126.9</v>
      </c>
      <c r="F161" s="586">
        <v>94.2</v>
      </c>
      <c r="G161" s="587"/>
      <c r="H161" s="587">
        <v>100</v>
      </c>
      <c r="I161" s="583">
        <f t="shared" si="36"/>
        <v>-4.7000000000000028</v>
      </c>
      <c r="J161" s="583">
        <f t="shared" si="37"/>
        <v>1.3000000000000114</v>
      </c>
      <c r="K161" s="583">
        <f t="shared" si="38"/>
        <v>1</v>
      </c>
      <c r="L161" s="1218"/>
      <c r="M161" s="588">
        <f t="shared" si="51"/>
        <v>119.07</v>
      </c>
      <c r="N161" s="588">
        <f t="shared" si="52"/>
        <v>124.9</v>
      </c>
      <c r="O161" s="588">
        <f t="shared" si="53"/>
        <v>93.07</v>
      </c>
      <c r="P161" s="583"/>
      <c r="Q161" s="588">
        <f t="shared" si="45"/>
        <v>0.63999999999998636</v>
      </c>
      <c r="R161" s="588">
        <f t="shared" si="46"/>
        <v>1.4300000000000068</v>
      </c>
      <c r="S161" s="588">
        <f t="shared" si="47"/>
        <v>0.89999999999999147</v>
      </c>
      <c r="T161" s="1218"/>
      <c r="U161" s="588">
        <f t="shared" si="54"/>
        <v>114.87</v>
      </c>
      <c r="V161" s="588">
        <f t="shared" si="55"/>
        <v>120.2</v>
      </c>
      <c r="W161" s="588">
        <f t="shared" si="56"/>
        <v>91.93</v>
      </c>
      <c r="X161" s="587"/>
      <c r="Y161" s="588">
        <f t="shared" si="48"/>
        <v>1.9000000000000057</v>
      </c>
      <c r="Z161" s="588">
        <f t="shared" si="49"/>
        <v>2.6099999999999994</v>
      </c>
      <c r="AA161" s="589">
        <f t="shared" si="50"/>
        <v>0.56000000000000227</v>
      </c>
    </row>
    <row r="162" spans="1:27" s="500" customFormat="1">
      <c r="A162" s="482"/>
      <c r="B162" s="483" t="s">
        <v>141</v>
      </c>
      <c r="C162" s="484">
        <v>3</v>
      </c>
      <c r="D162" s="586">
        <v>119.1</v>
      </c>
      <c r="E162" s="586">
        <v>127.8</v>
      </c>
      <c r="F162" s="586">
        <v>96.4</v>
      </c>
      <c r="G162" s="587"/>
      <c r="H162" s="587">
        <v>100</v>
      </c>
      <c r="I162" s="583">
        <f t="shared" si="36"/>
        <v>1.2999999999999972</v>
      </c>
      <c r="J162" s="583">
        <f t="shared" si="37"/>
        <v>0.89999999999999147</v>
      </c>
      <c r="K162" s="583">
        <f t="shared" si="38"/>
        <v>2.2000000000000028</v>
      </c>
      <c r="L162" s="1218"/>
      <c r="M162" s="588">
        <f t="shared" si="51"/>
        <v>119.8</v>
      </c>
      <c r="N162" s="588">
        <f t="shared" si="52"/>
        <v>126.77</v>
      </c>
      <c r="O162" s="588">
        <f t="shared" si="53"/>
        <v>94.6</v>
      </c>
      <c r="P162" s="583"/>
      <c r="Q162" s="588">
        <f t="shared" si="45"/>
        <v>0.73000000000000398</v>
      </c>
      <c r="R162" s="588">
        <f t="shared" si="46"/>
        <v>1.8699999999999903</v>
      </c>
      <c r="S162" s="588">
        <f t="shared" si="47"/>
        <v>1.5300000000000011</v>
      </c>
      <c r="T162" s="1218"/>
      <c r="U162" s="588">
        <f t="shared" si="54"/>
        <v>116.47</v>
      </c>
      <c r="V162" s="588">
        <f t="shared" si="55"/>
        <v>122.17</v>
      </c>
      <c r="W162" s="588">
        <f t="shared" si="56"/>
        <v>92.71</v>
      </c>
      <c r="X162" s="587"/>
      <c r="Y162" s="588">
        <f t="shared" si="48"/>
        <v>1.5999999999999943</v>
      </c>
      <c r="Z162" s="588">
        <f t="shared" si="49"/>
        <v>1.9699999999999989</v>
      </c>
      <c r="AA162" s="589">
        <f t="shared" si="50"/>
        <v>0.77999999999998693</v>
      </c>
    </row>
    <row r="163" spans="1:27" s="500" customFormat="1">
      <c r="A163" s="482"/>
      <c r="B163" s="483" t="s">
        <v>141</v>
      </c>
      <c r="C163" s="484">
        <v>4</v>
      </c>
      <c r="D163" s="586">
        <v>120.6</v>
      </c>
      <c r="E163" s="586">
        <v>132.80000000000001</v>
      </c>
      <c r="F163" s="586">
        <v>97.2</v>
      </c>
      <c r="G163" s="587"/>
      <c r="H163" s="587">
        <v>100</v>
      </c>
      <c r="I163" s="583">
        <f t="shared" si="36"/>
        <v>1.5</v>
      </c>
      <c r="J163" s="583">
        <f t="shared" si="37"/>
        <v>5.0000000000000142</v>
      </c>
      <c r="K163" s="583">
        <f t="shared" si="38"/>
        <v>0.79999999999999716</v>
      </c>
      <c r="L163" s="1218"/>
      <c r="M163" s="588">
        <f t="shared" si="51"/>
        <v>119.17</v>
      </c>
      <c r="N163" s="588">
        <f t="shared" si="52"/>
        <v>129.16999999999999</v>
      </c>
      <c r="O163" s="588">
        <f t="shared" si="53"/>
        <v>95.93</v>
      </c>
      <c r="P163" s="583"/>
      <c r="Q163" s="588">
        <f t="shared" si="45"/>
        <v>-0.62999999999999545</v>
      </c>
      <c r="R163" s="588">
        <f t="shared" si="46"/>
        <v>2.3999999999999915</v>
      </c>
      <c r="S163" s="588">
        <f t="shared" si="47"/>
        <v>1.3300000000000125</v>
      </c>
      <c r="T163" s="1218"/>
      <c r="U163" s="588">
        <f t="shared" si="54"/>
        <v>117.8</v>
      </c>
      <c r="V163" s="588">
        <f t="shared" si="55"/>
        <v>125.11</v>
      </c>
      <c r="W163" s="588">
        <f t="shared" si="56"/>
        <v>93.66</v>
      </c>
      <c r="X163" s="587"/>
      <c r="Y163" s="588">
        <f t="shared" si="48"/>
        <v>1.3299999999999983</v>
      </c>
      <c r="Z163" s="588">
        <f t="shared" si="49"/>
        <v>2.9399999999999977</v>
      </c>
      <c r="AA163" s="589">
        <f t="shared" si="50"/>
        <v>0.95000000000000284</v>
      </c>
    </row>
    <row r="164" spans="1:27" s="500" customFormat="1">
      <c r="A164" s="482"/>
      <c r="B164" s="483" t="s">
        <v>141</v>
      </c>
      <c r="C164" s="484">
        <v>5</v>
      </c>
      <c r="D164" s="586">
        <v>121.5</v>
      </c>
      <c r="E164" s="586">
        <v>130.5</v>
      </c>
      <c r="F164" s="586">
        <v>97.5</v>
      </c>
      <c r="G164" s="587"/>
      <c r="H164" s="587">
        <v>100</v>
      </c>
      <c r="I164" s="583">
        <f t="shared" si="36"/>
        <v>0.90000000000000568</v>
      </c>
      <c r="J164" s="583">
        <f t="shared" si="37"/>
        <v>-2.3000000000000114</v>
      </c>
      <c r="K164" s="583">
        <f t="shared" si="38"/>
        <v>0.29999999999999716</v>
      </c>
      <c r="L164" s="1218"/>
      <c r="M164" s="588">
        <f t="shared" si="51"/>
        <v>120.4</v>
      </c>
      <c r="N164" s="588">
        <f t="shared" si="52"/>
        <v>130.37</v>
      </c>
      <c r="O164" s="588">
        <f t="shared" si="53"/>
        <v>97.03</v>
      </c>
      <c r="P164" s="583"/>
      <c r="Q164" s="588">
        <f t="shared" si="45"/>
        <v>1.230000000000004</v>
      </c>
      <c r="R164" s="588">
        <f t="shared" si="46"/>
        <v>1.2000000000000171</v>
      </c>
      <c r="S164" s="588">
        <f t="shared" si="47"/>
        <v>1.0999999999999943</v>
      </c>
      <c r="T164" s="1218"/>
      <c r="U164" s="588">
        <f t="shared" si="54"/>
        <v>119.19</v>
      </c>
      <c r="V164" s="588">
        <f t="shared" si="55"/>
        <v>126.91</v>
      </c>
      <c r="W164" s="588">
        <f t="shared" si="56"/>
        <v>94.54</v>
      </c>
      <c r="X164" s="587"/>
      <c r="Y164" s="588">
        <f t="shared" si="48"/>
        <v>1.3900000000000006</v>
      </c>
      <c r="Z164" s="588">
        <f t="shared" si="49"/>
        <v>1.7999999999999972</v>
      </c>
      <c r="AA164" s="589">
        <f t="shared" si="50"/>
        <v>0.88000000000000966</v>
      </c>
    </row>
    <row r="165" spans="1:27" s="500" customFormat="1">
      <c r="A165" s="482"/>
      <c r="B165" s="483" t="s">
        <v>141</v>
      </c>
      <c r="C165" s="484">
        <v>6</v>
      </c>
      <c r="D165" s="586">
        <v>123.3</v>
      </c>
      <c r="E165" s="586">
        <v>133.9</v>
      </c>
      <c r="F165" s="586">
        <v>95.5</v>
      </c>
      <c r="G165" s="587"/>
      <c r="H165" s="587">
        <v>100</v>
      </c>
      <c r="I165" s="583">
        <f t="shared" si="36"/>
        <v>1.7999999999999972</v>
      </c>
      <c r="J165" s="583">
        <f t="shared" si="37"/>
        <v>3.4000000000000057</v>
      </c>
      <c r="K165" s="583">
        <f t="shared" si="38"/>
        <v>-2</v>
      </c>
      <c r="L165" s="1218"/>
      <c r="M165" s="588">
        <f t="shared" si="51"/>
        <v>121.8</v>
      </c>
      <c r="N165" s="588">
        <f t="shared" si="52"/>
        <v>132.4</v>
      </c>
      <c r="O165" s="588">
        <f t="shared" si="53"/>
        <v>96.73</v>
      </c>
      <c r="P165" s="583"/>
      <c r="Q165" s="588">
        <f t="shared" si="45"/>
        <v>1.3999999999999915</v>
      </c>
      <c r="R165" s="588">
        <f t="shared" si="46"/>
        <v>2.0300000000000011</v>
      </c>
      <c r="S165" s="588">
        <f t="shared" si="47"/>
        <v>-0.29999999999999716</v>
      </c>
      <c r="T165" s="1218"/>
      <c r="U165" s="588">
        <f t="shared" si="54"/>
        <v>120.24</v>
      </c>
      <c r="V165" s="588">
        <f t="shared" si="55"/>
        <v>128.53</v>
      </c>
      <c r="W165" s="588">
        <f t="shared" si="56"/>
        <v>95.11</v>
      </c>
      <c r="X165" s="587"/>
      <c r="Y165" s="588">
        <f t="shared" si="48"/>
        <v>1.0499999999999972</v>
      </c>
      <c r="Z165" s="588">
        <f t="shared" si="49"/>
        <v>1.6200000000000045</v>
      </c>
      <c r="AA165" s="589">
        <f t="shared" si="50"/>
        <v>0.56999999999999318</v>
      </c>
    </row>
    <row r="166" spans="1:27" s="500" customFormat="1">
      <c r="A166" s="482"/>
      <c r="B166" s="483" t="s">
        <v>141</v>
      </c>
      <c r="C166" s="484">
        <v>7</v>
      </c>
      <c r="D166" s="586">
        <v>123.9</v>
      </c>
      <c r="E166" s="586">
        <v>136</v>
      </c>
      <c r="F166" s="586">
        <v>95.9</v>
      </c>
      <c r="G166" s="587"/>
      <c r="H166" s="587">
        <v>100</v>
      </c>
      <c r="I166" s="583">
        <f t="shared" si="36"/>
        <v>0.60000000000000853</v>
      </c>
      <c r="J166" s="583">
        <f t="shared" si="37"/>
        <v>2.0999999999999943</v>
      </c>
      <c r="K166" s="583">
        <f t="shared" si="38"/>
        <v>0.40000000000000568</v>
      </c>
      <c r="L166" s="1218"/>
      <c r="M166" s="588">
        <f t="shared" si="51"/>
        <v>122.9</v>
      </c>
      <c r="N166" s="588">
        <f t="shared" si="52"/>
        <v>133.47</v>
      </c>
      <c r="O166" s="588">
        <f t="shared" si="53"/>
        <v>96.3</v>
      </c>
      <c r="P166" s="583"/>
      <c r="Q166" s="588">
        <f t="shared" si="45"/>
        <v>1.1000000000000085</v>
      </c>
      <c r="R166" s="588">
        <f t="shared" si="46"/>
        <v>1.0699999999999932</v>
      </c>
      <c r="S166" s="588">
        <f t="shared" si="47"/>
        <v>-0.43000000000000682</v>
      </c>
      <c r="T166" s="1218"/>
      <c r="U166" s="588">
        <f t="shared" si="54"/>
        <v>121.24</v>
      </c>
      <c r="V166" s="588">
        <f t="shared" si="55"/>
        <v>130.5</v>
      </c>
      <c r="W166" s="588">
        <f t="shared" si="56"/>
        <v>95.7</v>
      </c>
      <c r="X166" s="587"/>
      <c r="Y166" s="588">
        <f t="shared" si="48"/>
        <v>1</v>
      </c>
      <c r="Z166" s="588">
        <f t="shared" si="49"/>
        <v>1.9699999999999989</v>
      </c>
      <c r="AA166" s="589">
        <f t="shared" si="50"/>
        <v>0.59000000000000341</v>
      </c>
    </row>
    <row r="167" spans="1:27" s="500" customFormat="1">
      <c r="A167" s="482"/>
      <c r="B167" s="483" t="s">
        <v>141</v>
      </c>
      <c r="C167" s="484">
        <v>8</v>
      </c>
      <c r="D167" s="586">
        <v>123.5</v>
      </c>
      <c r="E167" s="586">
        <v>133.80000000000001</v>
      </c>
      <c r="F167" s="586">
        <v>97.2</v>
      </c>
      <c r="G167" s="587"/>
      <c r="H167" s="587">
        <v>100</v>
      </c>
      <c r="I167" s="583">
        <f t="shared" si="36"/>
        <v>-0.40000000000000568</v>
      </c>
      <c r="J167" s="583">
        <f t="shared" si="37"/>
        <v>-2.1999999999999886</v>
      </c>
      <c r="K167" s="583">
        <f t="shared" si="38"/>
        <v>1.2999999999999972</v>
      </c>
      <c r="L167" s="1218"/>
      <c r="M167" s="588">
        <f t="shared" si="51"/>
        <v>123.57</v>
      </c>
      <c r="N167" s="588">
        <f t="shared" si="52"/>
        <v>134.57</v>
      </c>
      <c r="O167" s="588">
        <f t="shared" si="53"/>
        <v>96.2</v>
      </c>
      <c r="P167" s="583"/>
      <c r="Q167" s="588">
        <f t="shared" si="45"/>
        <v>0.66999999999998749</v>
      </c>
      <c r="R167" s="588">
        <f t="shared" si="46"/>
        <v>1.0999999999999943</v>
      </c>
      <c r="S167" s="588">
        <f t="shared" si="47"/>
        <v>-9.9999999999994316E-2</v>
      </c>
      <c r="T167" s="1218"/>
      <c r="U167" s="588">
        <f t="shared" si="54"/>
        <v>121.39</v>
      </c>
      <c r="V167" s="588">
        <f t="shared" si="55"/>
        <v>131.66999999999999</v>
      </c>
      <c r="W167" s="588">
        <f t="shared" si="56"/>
        <v>96.27</v>
      </c>
      <c r="X167" s="587"/>
      <c r="Y167" s="588">
        <f t="shared" si="48"/>
        <v>0.15000000000000568</v>
      </c>
      <c r="Z167" s="588">
        <f t="shared" si="49"/>
        <v>1.1699999999999875</v>
      </c>
      <c r="AA167" s="589">
        <f t="shared" si="50"/>
        <v>0.56999999999999318</v>
      </c>
    </row>
    <row r="168" spans="1:27" s="500" customFormat="1">
      <c r="A168" s="482"/>
      <c r="B168" s="483" t="s">
        <v>141</v>
      </c>
      <c r="C168" s="484">
        <v>9</v>
      </c>
      <c r="D168" s="586">
        <v>123</v>
      </c>
      <c r="E168" s="586">
        <v>133.6</v>
      </c>
      <c r="F168" s="586">
        <v>99.5</v>
      </c>
      <c r="G168" s="587"/>
      <c r="H168" s="587">
        <v>100</v>
      </c>
      <c r="I168" s="583">
        <f t="shared" si="36"/>
        <v>-0.5</v>
      </c>
      <c r="J168" s="583">
        <f t="shared" si="37"/>
        <v>-0.20000000000001705</v>
      </c>
      <c r="K168" s="583">
        <f t="shared" si="38"/>
        <v>2.2999999999999972</v>
      </c>
      <c r="L168" s="1218"/>
      <c r="M168" s="588">
        <f t="shared" si="51"/>
        <v>123.47</v>
      </c>
      <c r="N168" s="588">
        <f t="shared" si="52"/>
        <v>134.47</v>
      </c>
      <c r="O168" s="588">
        <f t="shared" si="53"/>
        <v>97.53</v>
      </c>
      <c r="P168" s="583"/>
      <c r="Q168" s="588">
        <f t="shared" si="45"/>
        <v>-9.9999999999994316E-2</v>
      </c>
      <c r="R168" s="588">
        <f t="shared" si="46"/>
        <v>-9.9999999999994316E-2</v>
      </c>
      <c r="S168" s="588">
        <f t="shared" si="47"/>
        <v>1.3299999999999983</v>
      </c>
      <c r="T168" s="1218"/>
      <c r="U168" s="588">
        <f t="shared" si="54"/>
        <v>122.13</v>
      </c>
      <c r="V168" s="588">
        <f t="shared" si="55"/>
        <v>132.63</v>
      </c>
      <c r="W168" s="588">
        <f t="shared" si="56"/>
        <v>97.03</v>
      </c>
      <c r="X168" s="587"/>
      <c r="Y168" s="588">
        <f t="shared" si="48"/>
        <v>0.73999999999999488</v>
      </c>
      <c r="Z168" s="588">
        <f t="shared" si="49"/>
        <v>0.96000000000000796</v>
      </c>
      <c r="AA168" s="589">
        <f t="shared" si="50"/>
        <v>0.76000000000000512</v>
      </c>
    </row>
    <row r="169" spans="1:27" s="500" customFormat="1">
      <c r="A169" s="482"/>
      <c r="B169" s="483" t="s">
        <v>141</v>
      </c>
      <c r="C169" s="484">
        <v>10</v>
      </c>
      <c r="D169" s="586">
        <v>126.6</v>
      </c>
      <c r="E169" s="586">
        <v>139.19999999999999</v>
      </c>
      <c r="F169" s="586">
        <v>96.8</v>
      </c>
      <c r="G169" s="587"/>
      <c r="H169" s="587">
        <v>100</v>
      </c>
      <c r="I169" s="583">
        <f t="shared" si="36"/>
        <v>3.5999999999999943</v>
      </c>
      <c r="J169" s="583">
        <f t="shared" si="37"/>
        <v>5.5999999999999943</v>
      </c>
      <c r="K169" s="583">
        <f t="shared" si="38"/>
        <v>-2.7000000000000028</v>
      </c>
      <c r="L169" s="1218"/>
      <c r="M169" s="588">
        <f t="shared" si="51"/>
        <v>124.37</v>
      </c>
      <c r="N169" s="588">
        <f t="shared" si="52"/>
        <v>135.53</v>
      </c>
      <c r="O169" s="588">
        <f t="shared" si="53"/>
        <v>97.83</v>
      </c>
      <c r="P169" s="583"/>
      <c r="Q169" s="588">
        <f t="shared" si="45"/>
        <v>0.90000000000000568</v>
      </c>
      <c r="R169" s="588">
        <f t="shared" si="46"/>
        <v>1.0600000000000023</v>
      </c>
      <c r="S169" s="588">
        <f t="shared" si="47"/>
        <v>0.29999999999999716</v>
      </c>
      <c r="T169" s="1218"/>
      <c r="U169" s="588">
        <f t="shared" si="54"/>
        <v>123.2</v>
      </c>
      <c r="V169" s="588">
        <f t="shared" si="55"/>
        <v>134.26</v>
      </c>
      <c r="W169" s="588">
        <f t="shared" si="56"/>
        <v>97.09</v>
      </c>
      <c r="X169" s="587"/>
      <c r="Y169" s="588">
        <f t="shared" si="48"/>
        <v>1.0700000000000074</v>
      </c>
      <c r="Z169" s="588">
        <f t="shared" si="49"/>
        <v>1.6299999999999955</v>
      </c>
      <c r="AA169" s="589">
        <f t="shared" si="50"/>
        <v>6.0000000000002274E-2</v>
      </c>
    </row>
    <row r="170" spans="1:27" s="500" customFormat="1">
      <c r="A170" s="482"/>
      <c r="B170" s="483" t="s">
        <v>141</v>
      </c>
      <c r="C170" s="484">
        <v>11</v>
      </c>
      <c r="D170" s="586">
        <v>132.1</v>
      </c>
      <c r="E170" s="586">
        <v>143.4</v>
      </c>
      <c r="F170" s="586">
        <v>99.4</v>
      </c>
      <c r="G170" s="587"/>
      <c r="H170" s="587">
        <v>100</v>
      </c>
      <c r="I170" s="583">
        <f t="shared" si="36"/>
        <v>5.5</v>
      </c>
      <c r="J170" s="583">
        <f t="shared" si="37"/>
        <v>4.2000000000000171</v>
      </c>
      <c r="K170" s="583">
        <f t="shared" si="38"/>
        <v>2.6000000000000085</v>
      </c>
      <c r="L170" s="1218"/>
      <c r="M170" s="588">
        <f t="shared" si="51"/>
        <v>127.23</v>
      </c>
      <c r="N170" s="588">
        <f t="shared" si="52"/>
        <v>138.72999999999999</v>
      </c>
      <c r="O170" s="588">
        <f t="shared" si="53"/>
        <v>98.57</v>
      </c>
      <c r="P170" s="583"/>
      <c r="Q170" s="588">
        <f t="shared" si="45"/>
        <v>2.8599999999999994</v>
      </c>
      <c r="R170" s="588">
        <f t="shared" si="46"/>
        <v>3.1999999999999886</v>
      </c>
      <c r="S170" s="588">
        <f t="shared" si="47"/>
        <v>0.73999999999999488</v>
      </c>
      <c r="T170" s="1218"/>
      <c r="U170" s="588">
        <f t="shared" si="54"/>
        <v>124.84</v>
      </c>
      <c r="V170" s="588">
        <f t="shared" si="55"/>
        <v>135.77000000000001</v>
      </c>
      <c r="W170" s="588">
        <f t="shared" si="56"/>
        <v>97.4</v>
      </c>
      <c r="X170" s="587"/>
      <c r="Y170" s="588">
        <f t="shared" si="48"/>
        <v>1.6400000000000006</v>
      </c>
      <c r="Z170" s="588">
        <f t="shared" si="49"/>
        <v>1.5100000000000193</v>
      </c>
      <c r="AA170" s="589">
        <f t="shared" si="50"/>
        <v>0.31000000000000227</v>
      </c>
    </row>
    <row r="171" spans="1:27" s="500" customFormat="1">
      <c r="A171" s="486"/>
      <c r="B171" s="487" t="s">
        <v>141</v>
      </c>
      <c r="C171" s="488">
        <v>12</v>
      </c>
      <c r="D171" s="590">
        <v>129.80000000000001</v>
      </c>
      <c r="E171" s="590">
        <v>142.4</v>
      </c>
      <c r="F171" s="590">
        <v>102.5</v>
      </c>
      <c r="G171" s="591"/>
      <c r="H171" s="591">
        <v>100</v>
      </c>
      <c r="I171" s="592">
        <f t="shared" si="36"/>
        <v>-2.2999999999999829</v>
      </c>
      <c r="J171" s="592">
        <f t="shared" si="37"/>
        <v>-1</v>
      </c>
      <c r="K171" s="592">
        <f t="shared" si="38"/>
        <v>3.0999999999999943</v>
      </c>
      <c r="L171" s="1219"/>
      <c r="M171" s="603">
        <f t="shared" si="51"/>
        <v>129.5</v>
      </c>
      <c r="N171" s="603">
        <f t="shared" si="52"/>
        <v>141.66999999999999</v>
      </c>
      <c r="O171" s="603">
        <f t="shared" si="53"/>
        <v>99.57</v>
      </c>
      <c r="P171" s="592"/>
      <c r="Q171" s="588">
        <f t="shared" si="45"/>
        <v>2.269999999999996</v>
      </c>
      <c r="R171" s="588">
        <f t="shared" si="46"/>
        <v>2.9399999999999977</v>
      </c>
      <c r="S171" s="588">
        <f t="shared" si="47"/>
        <v>1</v>
      </c>
      <c r="T171" s="1219"/>
      <c r="U171" s="593">
        <f t="shared" si="54"/>
        <v>126.03</v>
      </c>
      <c r="V171" s="593">
        <f t="shared" si="55"/>
        <v>137.47</v>
      </c>
      <c r="W171" s="593">
        <f t="shared" si="56"/>
        <v>98.11</v>
      </c>
      <c r="X171" s="591"/>
      <c r="Y171" s="593">
        <f t="shared" si="48"/>
        <v>1.1899999999999977</v>
      </c>
      <c r="Z171" s="593">
        <f t="shared" si="49"/>
        <v>1.6999999999999886</v>
      </c>
      <c r="AA171" s="594">
        <f t="shared" si="50"/>
        <v>0.70999999999999375</v>
      </c>
    </row>
    <row r="172" spans="1:27" s="500" customFormat="1">
      <c r="A172" s="490">
        <v>19</v>
      </c>
      <c r="B172" s="990" t="s">
        <v>660</v>
      </c>
      <c r="C172" s="492">
        <v>1</v>
      </c>
      <c r="D172" s="595">
        <v>119.4</v>
      </c>
      <c r="E172" s="595">
        <v>146.1</v>
      </c>
      <c r="F172" s="595">
        <v>95.2</v>
      </c>
      <c r="G172" s="596"/>
      <c r="H172" s="596">
        <v>100</v>
      </c>
      <c r="I172" s="597">
        <f t="shared" si="36"/>
        <v>-10.400000000000006</v>
      </c>
      <c r="J172" s="597">
        <f t="shared" si="37"/>
        <v>3.6999999999999886</v>
      </c>
      <c r="K172" s="597">
        <f t="shared" si="38"/>
        <v>-7.2999999999999972</v>
      </c>
      <c r="L172" s="1220"/>
      <c r="M172" s="584">
        <f t="shared" si="51"/>
        <v>127.1</v>
      </c>
      <c r="N172" s="584">
        <f t="shared" si="52"/>
        <v>143.97</v>
      </c>
      <c r="O172" s="584">
        <f t="shared" si="53"/>
        <v>99.03</v>
      </c>
      <c r="P172" s="597"/>
      <c r="Q172" s="588">
        <f t="shared" si="45"/>
        <v>-2.4000000000000057</v>
      </c>
      <c r="R172" s="588">
        <f t="shared" si="46"/>
        <v>2.3000000000000114</v>
      </c>
      <c r="S172" s="588">
        <f t="shared" si="47"/>
        <v>-0.53999999999999204</v>
      </c>
      <c r="T172" s="1220"/>
      <c r="U172" s="598">
        <f t="shared" si="54"/>
        <v>125.47</v>
      </c>
      <c r="V172" s="598">
        <f t="shared" si="55"/>
        <v>139.21</v>
      </c>
      <c r="W172" s="598">
        <f t="shared" si="56"/>
        <v>98.07</v>
      </c>
      <c r="X172" s="596"/>
      <c r="Y172" s="598">
        <f t="shared" si="48"/>
        <v>-0.56000000000000227</v>
      </c>
      <c r="Z172" s="598">
        <f t="shared" si="49"/>
        <v>1.7400000000000091</v>
      </c>
      <c r="AA172" s="599">
        <f t="shared" si="50"/>
        <v>-4.0000000000006253E-2</v>
      </c>
    </row>
    <row r="173" spans="1:27" s="500" customFormat="1">
      <c r="A173" s="482"/>
      <c r="B173" s="483" t="s">
        <v>141</v>
      </c>
      <c r="C173" s="484">
        <v>2</v>
      </c>
      <c r="D173" s="586">
        <v>124.7</v>
      </c>
      <c r="E173" s="586">
        <v>146.69999999999999</v>
      </c>
      <c r="F173" s="586">
        <v>95.1</v>
      </c>
      <c r="G173" s="587"/>
      <c r="H173" s="587">
        <v>100</v>
      </c>
      <c r="I173" s="583">
        <f t="shared" si="36"/>
        <v>5.2999999999999972</v>
      </c>
      <c r="J173" s="583">
        <f t="shared" si="37"/>
        <v>0.59999999999999432</v>
      </c>
      <c r="K173" s="583">
        <f t="shared" si="38"/>
        <v>-0.10000000000000853</v>
      </c>
      <c r="L173" s="1218"/>
      <c r="M173" s="588">
        <f t="shared" si="51"/>
        <v>124.63</v>
      </c>
      <c r="N173" s="588">
        <f t="shared" si="52"/>
        <v>145.07</v>
      </c>
      <c r="O173" s="588">
        <f t="shared" si="53"/>
        <v>97.6</v>
      </c>
      <c r="P173" s="583"/>
      <c r="Q173" s="588">
        <f t="shared" si="45"/>
        <v>-2.4699999999999989</v>
      </c>
      <c r="R173" s="588">
        <f t="shared" si="46"/>
        <v>1.0999999999999943</v>
      </c>
      <c r="S173" s="588">
        <f t="shared" si="47"/>
        <v>-1.4300000000000068</v>
      </c>
      <c r="T173" s="1218"/>
      <c r="U173" s="588">
        <f t="shared" si="54"/>
        <v>125.59</v>
      </c>
      <c r="V173" s="588">
        <f t="shared" si="55"/>
        <v>140.74</v>
      </c>
      <c r="W173" s="588">
        <f t="shared" si="56"/>
        <v>97.96</v>
      </c>
      <c r="X173" s="587"/>
      <c r="Y173" s="588">
        <f t="shared" si="48"/>
        <v>0.12000000000000455</v>
      </c>
      <c r="Z173" s="588">
        <f t="shared" si="49"/>
        <v>1.5300000000000011</v>
      </c>
      <c r="AA173" s="589">
        <f t="shared" si="50"/>
        <v>-0.10999999999999943</v>
      </c>
    </row>
    <row r="174" spans="1:27" s="500" customFormat="1">
      <c r="A174" s="482"/>
      <c r="B174" s="483" t="s">
        <v>141</v>
      </c>
      <c r="C174" s="484">
        <v>3</v>
      </c>
      <c r="D174" s="586">
        <v>118.6</v>
      </c>
      <c r="E174" s="586">
        <v>142.9</v>
      </c>
      <c r="F174" s="586">
        <v>98.4</v>
      </c>
      <c r="G174" s="587"/>
      <c r="H174" s="587">
        <v>100</v>
      </c>
      <c r="I174" s="583">
        <f t="shared" si="36"/>
        <v>-6.1000000000000085</v>
      </c>
      <c r="J174" s="583">
        <f t="shared" si="37"/>
        <v>-3.7999999999999829</v>
      </c>
      <c r="K174" s="583">
        <f t="shared" si="38"/>
        <v>3.3000000000000114</v>
      </c>
      <c r="L174" s="1218"/>
      <c r="M174" s="588">
        <f t="shared" si="51"/>
        <v>120.9</v>
      </c>
      <c r="N174" s="588">
        <f t="shared" si="52"/>
        <v>145.22999999999999</v>
      </c>
      <c r="O174" s="588">
        <f t="shared" si="53"/>
        <v>96.23</v>
      </c>
      <c r="P174" s="583"/>
      <c r="Q174" s="588">
        <f t="shared" si="45"/>
        <v>-3.7299999999999898</v>
      </c>
      <c r="R174" s="588">
        <f t="shared" si="46"/>
        <v>0.15999999999999659</v>
      </c>
      <c r="S174" s="588">
        <f t="shared" si="47"/>
        <v>-1.3699999999999903</v>
      </c>
      <c r="T174" s="1218"/>
      <c r="U174" s="588">
        <f t="shared" si="54"/>
        <v>124.89</v>
      </c>
      <c r="V174" s="588">
        <f t="shared" si="55"/>
        <v>142.04</v>
      </c>
      <c r="W174" s="588">
        <f t="shared" si="56"/>
        <v>98.13</v>
      </c>
      <c r="X174" s="587"/>
      <c r="Y174" s="588">
        <f t="shared" si="48"/>
        <v>-0.70000000000000284</v>
      </c>
      <c r="Z174" s="588">
        <f t="shared" si="49"/>
        <v>1.2999999999999829</v>
      </c>
      <c r="AA174" s="589">
        <f t="shared" si="50"/>
        <v>0.17000000000000171</v>
      </c>
    </row>
    <row r="175" spans="1:27" s="500" customFormat="1">
      <c r="A175" s="482"/>
      <c r="B175" s="483" t="s">
        <v>141</v>
      </c>
      <c r="C175" s="484">
        <v>4</v>
      </c>
      <c r="D175" s="586">
        <v>119.3</v>
      </c>
      <c r="E175" s="586">
        <v>143.5</v>
      </c>
      <c r="F175" s="586">
        <v>95.2</v>
      </c>
      <c r="G175" s="587"/>
      <c r="H175" s="587">
        <v>100</v>
      </c>
      <c r="I175" s="583">
        <f t="shared" si="36"/>
        <v>0.70000000000000284</v>
      </c>
      <c r="J175" s="583">
        <f t="shared" si="37"/>
        <v>0.59999999999999432</v>
      </c>
      <c r="K175" s="583">
        <f t="shared" si="38"/>
        <v>-3.2000000000000028</v>
      </c>
      <c r="L175" s="1218"/>
      <c r="M175" s="588">
        <f t="shared" si="51"/>
        <v>120.87</v>
      </c>
      <c r="N175" s="588">
        <f t="shared" si="52"/>
        <v>144.37</v>
      </c>
      <c r="O175" s="588">
        <f t="shared" si="53"/>
        <v>96.23</v>
      </c>
      <c r="P175" s="583"/>
      <c r="Q175" s="588">
        <f t="shared" si="45"/>
        <v>-3.0000000000001137E-2</v>
      </c>
      <c r="R175" s="588">
        <f t="shared" si="46"/>
        <v>-0.85999999999998522</v>
      </c>
      <c r="S175" s="588">
        <f t="shared" si="47"/>
        <v>0</v>
      </c>
      <c r="T175" s="1218"/>
      <c r="U175" s="588">
        <f t="shared" si="54"/>
        <v>124.36</v>
      </c>
      <c r="V175" s="588">
        <f t="shared" si="55"/>
        <v>143.46</v>
      </c>
      <c r="W175" s="588">
        <f t="shared" si="56"/>
        <v>97.51</v>
      </c>
      <c r="X175" s="587"/>
      <c r="Y175" s="588">
        <f t="shared" si="48"/>
        <v>-0.53000000000000114</v>
      </c>
      <c r="Z175" s="588">
        <f t="shared" si="49"/>
        <v>1.4200000000000159</v>
      </c>
      <c r="AA175" s="589">
        <f t="shared" si="50"/>
        <v>-0.61999999999999034</v>
      </c>
    </row>
    <row r="176" spans="1:27" s="500" customFormat="1">
      <c r="A176" s="482"/>
      <c r="B176" s="483" t="s">
        <v>141</v>
      </c>
      <c r="C176" s="484">
        <v>5</v>
      </c>
      <c r="D176" s="586">
        <v>117.6</v>
      </c>
      <c r="E176" s="586">
        <v>143.1</v>
      </c>
      <c r="F176" s="586">
        <v>98.5</v>
      </c>
      <c r="G176" s="587"/>
      <c r="H176" s="587">
        <v>100</v>
      </c>
      <c r="I176" s="583">
        <f t="shared" si="36"/>
        <v>-1.7000000000000028</v>
      </c>
      <c r="J176" s="583">
        <f t="shared" si="37"/>
        <v>-0.40000000000000568</v>
      </c>
      <c r="K176" s="583">
        <f t="shared" si="38"/>
        <v>3.2999999999999972</v>
      </c>
      <c r="L176" s="1218"/>
      <c r="M176" s="588">
        <f t="shared" si="51"/>
        <v>118.5</v>
      </c>
      <c r="N176" s="588">
        <f t="shared" si="52"/>
        <v>143.16999999999999</v>
      </c>
      <c r="O176" s="588">
        <f t="shared" si="53"/>
        <v>97.37</v>
      </c>
      <c r="P176" s="583"/>
      <c r="Q176" s="588">
        <f t="shared" si="45"/>
        <v>-2.3700000000000045</v>
      </c>
      <c r="R176" s="588">
        <f t="shared" si="46"/>
        <v>-1.2000000000000171</v>
      </c>
      <c r="S176" s="588">
        <f t="shared" si="47"/>
        <v>1.1400000000000006</v>
      </c>
      <c r="T176" s="1218"/>
      <c r="U176" s="588">
        <f t="shared" si="54"/>
        <v>123.07</v>
      </c>
      <c r="V176" s="588">
        <f t="shared" si="55"/>
        <v>144.01</v>
      </c>
      <c r="W176" s="588">
        <f t="shared" si="56"/>
        <v>97.76</v>
      </c>
      <c r="X176" s="587"/>
      <c r="Y176" s="588">
        <f t="shared" si="48"/>
        <v>-1.2900000000000063</v>
      </c>
      <c r="Z176" s="588">
        <f t="shared" si="49"/>
        <v>0.54999999999998295</v>
      </c>
      <c r="AA176" s="589">
        <f t="shared" si="50"/>
        <v>0.25</v>
      </c>
    </row>
    <row r="177" spans="1:27" s="500" customFormat="1">
      <c r="A177" s="482"/>
      <c r="B177" s="483" t="s">
        <v>141</v>
      </c>
      <c r="C177" s="484">
        <v>6</v>
      </c>
      <c r="D177" s="586">
        <v>122.9</v>
      </c>
      <c r="E177" s="586">
        <v>144.30000000000001</v>
      </c>
      <c r="F177" s="586">
        <v>99.7</v>
      </c>
      <c r="G177" s="587"/>
      <c r="H177" s="587">
        <v>100</v>
      </c>
      <c r="I177" s="583">
        <f t="shared" si="36"/>
        <v>5.3000000000000114</v>
      </c>
      <c r="J177" s="583">
        <f t="shared" si="37"/>
        <v>1.2000000000000171</v>
      </c>
      <c r="K177" s="583">
        <f t="shared" si="38"/>
        <v>1.2000000000000028</v>
      </c>
      <c r="L177" s="1218"/>
      <c r="M177" s="588">
        <f t="shared" si="51"/>
        <v>119.93</v>
      </c>
      <c r="N177" s="588">
        <f t="shared" si="52"/>
        <v>143.63</v>
      </c>
      <c r="O177" s="588">
        <f t="shared" si="53"/>
        <v>97.8</v>
      </c>
      <c r="P177" s="583"/>
      <c r="Q177" s="588">
        <f t="shared" si="45"/>
        <v>1.4300000000000068</v>
      </c>
      <c r="R177" s="588">
        <f t="shared" si="46"/>
        <v>0.46000000000000796</v>
      </c>
      <c r="S177" s="588">
        <f t="shared" si="47"/>
        <v>0.42999999999999261</v>
      </c>
      <c r="T177" s="1218"/>
      <c r="U177" s="588">
        <f t="shared" si="54"/>
        <v>121.76</v>
      </c>
      <c r="V177" s="588">
        <f t="shared" si="55"/>
        <v>144.13999999999999</v>
      </c>
      <c r="W177" s="588">
        <f t="shared" si="56"/>
        <v>97.8</v>
      </c>
      <c r="X177" s="587"/>
      <c r="Y177" s="588">
        <f t="shared" si="48"/>
        <v>-1.3099999999999881</v>
      </c>
      <c r="Z177" s="588">
        <f t="shared" si="49"/>
        <v>0.12999999999999545</v>
      </c>
      <c r="AA177" s="589">
        <f t="shared" si="50"/>
        <v>3.9999999999992042E-2</v>
      </c>
    </row>
    <row r="178" spans="1:27" s="500" customFormat="1">
      <c r="A178" s="482"/>
      <c r="B178" s="483" t="s">
        <v>141</v>
      </c>
      <c r="C178" s="484">
        <v>7</v>
      </c>
      <c r="D178" s="586">
        <v>112.4</v>
      </c>
      <c r="E178" s="586">
        <v>146</v>
      </c>
      <c r="F178" s="586">
        <v>99.4</v>
      </c>
      <c r="G178" s="587"/>
      <c r="H178" s="587">
        <v>100</v>
      </c>
      <c r="I178" s="583">
        <f t="shared" si="36"/>
        <v>-10.5</v>
      </c>
      <c r="J178" s="583">
        <f t="shared" si="37"/>
        <v>1.6999999999999886</v>
      </c>
      <c r="K178" s="583">
        <f t="shared" si="38"/>
        <v>-0.29999999999999716</v>
      </c>
      <c r="L178" s="1218"/>
      <c r="M178" s="588">
        <f t="shared" si="51"/>
        <v>117.63</v>
      </c>
      <c r="N178" s="588">
        <f t="shared" si="52"/>
        <v>144.47</v>
      </c>
      <c r="O178" s="588">
        <f t="shared" si="53"/>
        <v>99.2</v>
      </c>
      <c r="P178" s="583"/>
      <c r="Q178" s="588">
        <f t="shared" si="45"/>
        <v>-2.3000000000000114</v>
      </c>
      <c r="R178" s="588">
        <f t="shared" si="46"/>
        <v>0.84000000000000341</v>
      </c>
      <c r="S178" s="588">
        <f t="shared" si="47"/>
        <v>1.4000000000000057</v>
      </c>
      <c r="T178" s="1218"/>
      <c r="U178" s="588">
        <f t="shared" si="54"/>
        <v>119.27</v>
      </c>
      <c r="V178" s="588">
        <f t="shared" si="55"/>
        <v>144.66</v>
      </c>
      <c r="W178" s="588">
        <f t="shared" si="56"/>
        <v>97.36</v>
      </c>
      <c r="X178" s="587"/>
      <c r="Y178" s="588">
        <f t="shared" si="48"/>
        <v>-2.4900000000000091</v>
      </c>
      <c r="Z178" s="588">
        <f t="shared" si="49"/>
        <v>0.52000000000001023</v>
      </c>
      <c r="AA178" s="589">
        <f t="shared" si="50"/>
        <v>-0.43999999999999773</v>
      </c>
    </row>
    <row r="179" spans="1:27" s="500" customFormat="1">
      <c r="A179" s="482"/>
      <c r="B179" s="483" t="s">
        <v>141</v>
      </c>
      <c r="C179" s="484">
        <v>8</v>
      </c>
      <c r="D179" s="586">
        <v>116.6</v>
      </c>
      <c r="E179" s="586">
        <v>145.5</v>
      </c>
      <c r="F179" s="586">
        <v>100</v>
      </c>
      <c r="G179" s="587"/>
      <c r="H179" s="587">
        <v>100</v>
      </c>
      <c r="I179" s="583">
        <f t="shared" si="36"/>
        <v>4.1999999999999886</v>
      </c>
      <c r="J179" s="583">
        <f t="shared" si="37"/>
        <v>-0.5</v>
      </c>
      <c r="K179" s="583">
        <f t="shared" si="38"/>
        <v>0.59999999999999432</v>
      </c>
      <c r="L179" s="1218"/>
      <c r="M179" s="588">
        <f t="shared" si="51"/>
        <v>117.3</v>
      </c>
      <c r="N179" s="588">
        <f t="shared" si="52"/>
        <v>145.27000000000001</v>
      </c>
      <c r="O179" s="588">
        <f t="shared" si="53"/>
        <v>99.7</v>
      </c>
      <c r="P179" s="583"/>
      <c r="Q179" s="588">
        <f t="shared" si="45"/>
        <v>-0.32999999999999829</v>
      </c>
      <c r="R179" s="588">
        <f t="shared" si="46"/>
        <v>0.80000000000001137</v>
      </c>
      <c r="S179" s="588">
        <f t="shared" si="47"/>
        <v>0.5</v>
      </c>
      <c r="T179" s="1218"/>
      <c r="U179" s="588">
        <f t="shared" si="54"/>
        <v>118.87</v>
      </c>
      <c r="V179" s="588">
        <f t="shared" si="55"/>
        <v>144.57</v>
      </c>
      <c r="W179" s="588">
        <f t="shared" si="56"/>
        <v>98.04</v>
      </c>
      <c r="X179" s="587"/>
      <c r="Y179" s="588">
        <f t="shared" si="48"/>
        <v>-0.39999999999999147</v>
      </c>
      <c r="Z179" s="588">
        <f t="shared" si="49"/>
        <v>-9.0000000000003411E-2</v>
      </c>
      <c r="AA179" s="589">
        <f t="shared" si="50"/>
        <v>0.68000000000000682</v>
      </c>
    </row>
    <row r="180" spans="1:27" s="500" customFormat="1">
      <c r="A180" s="482"/>
      <c r="B180" s="483" t="s">
        <v>141</v>
      </c>
      <c r="C180" s="484">
        <v>9</v>
      </c>
      <c r="D180" s="586">
        <v>117.2</v>
      </c>
      <c r="E180" s="586">
        <v>143.19999999999999</v>
      </c>
      <c r="F180" s="586">
        <v>98.8</v>
      </c>
      <c r="G180" s="587"/>
      <c r="H180" s="587">
        <v>100</v>
      </c>
      <c r="I180" s="583">
        <f t="shared" si="36"/>
        <v>0.60000000000000853</v>
      </c>
      <c r="J180" s="583">
        <f t="shared" si="37"/>
        <v>-2.3000000000000114</v>
      </c>
      <c r="K180" s="583">
        <f t="shared" si="38"/>
        <v>-1.2000000000000028</v>
      </c>
      <c r="L180" s="1218"/>
      <c r="M180" s="588">
        <f t="shared" si="51"/>
        <v>115.4</v>
      </c>
      <c r="N180" s="588">
        <f t="shared" si="52"/>
        <v>144.9</v>
      </c>
      <c r="O180" s="588">
        <f t="shared" si="53"/>
        <v>99.4</v>
      </c>
      <c r="P180" s="583"/>
      <c r="Q180" s="588">
        <f t="shared" si="45"/>
        <v>-1.8999999999999915</v>
      </c>
      <c r="R180" s="588">
        <f t="shared" si="46"/>
        <v>-0.37000000000000455</v>
      </c>
      <c r="S180" s="588">
        <f t="shared" si="47"/>
        <v>-0.29999999999999716</v>
      </c>
      <c r="T180" s="1218"/>
      <c r="U180" s="588">
        <f t="shared" si="54"/>
        <v>117.8</v>
      </c>
      <c r="V180" s="588">
        <f t="shared" si="55"/>
        <v>144.07</v>
      </c>
      <c r="W180" s="588">
        <f t="shared" si="56"/>
        <v>98.57</v>
      </c>
      <c r="X180" s="587"/>
      <c r="Y180" s="588">
        <f t="shared" si="48"/>
        <v>-1.0700000000000074</v>
      </c>
      <c r="Z180" s="588">
        <f t="shared" si="49"/>
        <v>-0.5</v>
      </c>
      <c r="AA180" s="589">
        <f t="shared" si="50"/>
        <v>0.52999999999998693</v>
      </c>
    </row>
    <row r="181" spans="1:27" s="500" customFormat="1">
      <c r="A181" s="482"/>
      <c r="B181" s="483" t="s">
        <v>141</v>
      </c>
      <c r="C181" s="484">
        <v>10</v>
      </c>
      <c r="D181" s="586">
        <v>117</v>
      </c>
      <c r="E181" s="586">
        <v>140.9</v>
      </c>
      <c r="F181" s="586">
        <v>99.7</v>
      </c>
      <c r="G181" s="587">
        <v>170</v>
      </c>
      <c r="H181" s="587">
        <v>100</v>
      </c>
      <c r="I181" s="583">
        <f t="shared" si="36"/>
        <v>-0.20000000000000284</v>
      </c>
      <c r="J181" s="583">
        <f t="shared" si="37"/>
        <v>-2.2999999999999829</v>
      </c>
      <c r="K181" s="583">
        <f t="shared" si="38"/>
        <v>0.90000000000000568</v>
      </c>
      <c r="L181" s="1218"/>
      <c r="M181" s="588">
        <f t="shared" si="51"/>
        <v>116.93</v>
      </c>
      <c r="N181" s="588">
        <f t="shared" si="52"/>
        <v>143.19999999999999</v>
      </c>
      <c r="O181" s="588">
        <f t="shared" si="53"/>
        <v>99.5</v>
      </c>
      <c r="P181" s="583"/>
      <c r="Q181" s="588">
        <f t="shared" si="45"/>
        <v>1.5300000000000011</v>
      </c>
      <c r="R181" s="588">
        <f t="shared" si="46"/>
        <v>-1.7000000000000171</v>
      </c>
      <c r="S181" s="588">
        <f t="shared" si="47"/>
        <v>9.9999999999994316E-2</v>
      </c>
      <c r="T181" s="1218"/>
      <c r="U181" s="588">
        <f t="shared" si="54"/>
        <v>117.57</v>
      </c>
      <c r="V181" s="588">
        <f t="shared" si="55"/>
        <v>143.79</v>
      </c>
      <c r="W181" s="588">
        <f t="shared" si="56"/>
        <v>98.76</v>
      </c>
      <c r="X181" s="587"/>
      <c r="Y181" s="588">
        <f t="shared" si="48"/>
        <v>-0.23000000000000398</v>
      </c>
      <c r="Z181" s="588">
        <f t="shared" si="49"/>
        <v>-0.28000000000000114</v>
      </c>
      <c r="AA181" s="589">
        <f t="shared" si="50"/>
        <v>0.19000000000001194</v>
      </c>
    </row>
    <row r="182" spans="1:27" s="500" customFormat="1">
      <c r="A182" s="482"/>
      <c r="B182" s="483" t="s">
        <v>141</v>
      </c>
      <c r="C182" s="484">
        <v>11</v>
      </c>
      <c r="D182" s="586">
        <v>117</v>
      </c>
      <c r="E182" s="586">
        <v>136.30000000000001</v>
      </c>
      <c r="F182" s="586">
        <v>102.3</v>
      </c>
      <c r="G182" s="587">
        <v>170</v>
      </c>
      <c r="H182" s="587">
        <v>100</v>
      </c>
      <c r="I182" s="583">
        <f t="shared" si="36"/>
        <v>0</v>
      </c>
      <c r="J182" s="583">
        <f t="shared" si="37"/>
        <v>-4.5999999999999943</v>
      </c>
      <c r="K182" s="583">
        <f t="shared" si="38"/>
        <v>2.5999999999999943</v>
      </c>
      <c r="L182" s="1218"/>
      <c r="M182" s="588">
        <f t="shared" si="51"/>
        <v>117.07</v>
      </c>
      <c r="N182" s="588">
        <f t="shared" si="52"/>
        <v>140.13</v>
      </c>
      <c r="O182" s="588">
        <f t="shared" si="53"/>
        <v>100.27</v>
      </c>
      <c r="P182" s="583"/>
      <c r="Q182" s="588">
        <f t="shared" si="45"/>
        <v>0.13999999999998636</v>
      </c>
      <c r="R182" s="588">
        <f t="shared" si="46"/>
        <v>-3.0699999999999932</v>
      </c>
      <c r="S182" s="588">
        <f t="shared" si="47"/>
        <v>0.76999999999999602</v>
      </c>
      <c r="T182" s="1218"/>
      <c r="U182" s="588">
        <f t="shared" si="54"/>
        <v>117.24</v>
      </c>
      <c r="V182" s="588">
        <f t="shared" si="55"/>
        <v>142.76</v>
      </c>
      <c r="W182" s="588">
        <f t="shared" si="56"/>
        <v>99.77</v>
      </c>
      <c r="X182" s="587"/>
      <c r="Y182" s="588">
        <f t="shared" si="48"/>
        <v>-0.32999999999999829</v>
      </c>
      <c r="Z182" s="588">
        <f t="shared" si="49"/>
        <v>-1.0300000000000011</v>
      </c>
      <c r="AA182" s="589">
        <f t="shared" si="50"/>
        <v>1.0099999999999909</v>
      </c>
    </row>
    <row r="183" spans="1:27" s="500" customFormat="1">
      <c r="A183" s="494"/>
      <c r="B183" s="495" t="s">
        <v>141</v>
      </c>
      <c r="C183" s="496">
        <v>12</v>
      </c>
      <c r="D183" s="600">
        <v>115.2</v>
      </c>
      <c r="E183" s="600">
        <v>139.5</v>
      </c>
      <c r="F183" s="600">
        <v>102.7</v>
      </c>
      <c r="G183" s="601">
        <v>170</v>
      </c>
      <c r="H183" s="601">
        <v>100</v>
      </c>
      <c r="I183" s="602">
        <f t="shared" si="36"/>
        <v>-1.7999999999999972</v>
      </c>
      <c r="J183" s="602">
        <f t="shared" si="37"/>
        <v>3.1999999999999886</v>
      </c>
      <c r="K183" s="602">
        <f t="shared" si="38"/>
        <v>0.40000000000000568</v>
      </c>
      <c r="L183" s="1221"/>
      <c r="M183" s="593">
        <f t="shared" si="51"/>
        <v>116.4</v>
      </c>
      <c r="N183" s="593">
        <f t="shared" si="52"/>
        <v>138.9</v>
      </c>
      <c r="O183" s="593">
        <f t="shared" si="53"/>
        <v>101.57</v>
      </c>
      <c r="P183" s="602"/>
      <c r="Q183" s="588">
        <f t="shared" si="45"/>
        <v>-0.66999999999998749</v>
      </c>
      <c r="R183" s="588">
        <f t="shared" si="46"/>
        <v>-1.2299999999999898</v>
      </c>
      <c r="S183" s="588">
        <f t="shared" si="47"/>
        <v>1.2999999999999972</v>
      </c>
      <c r="T183" s="1221"/>
      <c r="U183" s="603">
        <f t="shared" si="54"/>
        <v>116.9</v>
      </c>
      <c r="V183" s="603">
        <f t="shared" si="55"/>
        <v>142.24</v>
      </c>
      <c r="W183" s="603">
        <f t="shared" si="56"/>
        <v>100.37</v>
      </c>
      <c r="X183" s="601"/>
      <c r="Y183" s="603">
        <f t="shared" si="48"/>
        <v>-0.3399999999999892</v>
      </c>
      <c r="Z183" s="603">
        <f t="shared" si="49"/>
        <v>-0.51999999999998181</v>
      </c>
      <c r="AA183" s="604">
        <f t="shared" si="50"/>
        <v>0.60000000000000853</v>
      </c>
    </row>
    <row r="184" spans="1:27" s="500" customFormat="1">
      <c r="A184" s="478">
        <v>20</v>
      </c>
      <c r="B184" s="989" t="s">
        <v>661</v>
      </c>
      <c r="C184" s="480">
        <v>1</v>
      </c>
      <c r="D184" s="580">
        <v>110</v>
      </c>
      <c r="E184" s="580">
        <v>135.30000000000001</v>
      </c>
      <c r="F184" s="580">
        <v>99.9</v>
      </c>
      <c r="G184" s="581">
        <v>170</v>
      </c>
      <c r="H184" s="581">
        <v>100</v>
      </c>
      <c r="I184" s="582">
        <f t="shared" si="36"/>
        <v>-5.2000000000000028</v>
      </c>
      <c r="J184" s="582">
        <f t="shared" si="37"/>
        <v>-4.1999999999999886</v>
      </c>
      <c r="K184" s="582">
        <f t="shared" si="38"/>
        <v>-2.7999999999999972</v>
      </c>
      <c r="L184" s="1217"/>
      <c r="M184" s="598">
        <f t="shared" si="51"/>
        <v>114.07</v>
      </c>
      <c r="N184" s="598">
        <f t="shared" si="52"/>
        <v>137.03</v>
      </c>
      <c r="O184" s="598">
        <f t="shared" si="53"/>
        <v>101.63</v>
      </c>
      <c r="P184" s="582"/>
      <c r="Q184" s="588">
        <f t="shared" si="45"/>
        <v>-2.3300000000000125</v>
      </c>
      <c r="R184" s="588">
        <f t="shared" si="46"/>
        <v>-1.8700000000000045</v>
      </c>
      <c r="S184" s="588">
        <f t="shared" si="47"/>
        <v>6.0000000000002274E-2</v>
      </c>
      <c r="T184" s="1217"/>
      <c r="U184" s="584">
        <f t="shared" si="54"/>
        <v>115.06</v>
      </c>
      <c r="V184" s="584">
        <f t="shared" si="55"/>
        <v>140.96</v>
      </c>
      <c r="W184" s="584">
        <f t="shared" si="56"/>
        <v>100.4</v>
      </c>
      <c r="X184" s="581"/>
      <c r="Y184" s="584">
        <f t="shared" si="48"/>
        <v>-1.8400000000000034</v>
      </c>
      <c r="Z184" s="584">
        <f t="shared" si="49"/>
        <v>-1.2800000000000011</v>
      </c>
      <c r="AA184" s="585">
        <f t="shared" si="50"/>
        <v>3.0000000000001137E-2</v>
      </c>
    </row>
    <row r="185" spans="1:27" s="500" customFormat="1">
      <c r="A185" s="482"/>
      <c r="B185" s="483" t="s">
        <v>141</v>
      </c>
      <c r="C185" s="484">
        <v>2</v>
      </c>
      <c r="D185" s="586">
        <v>112.3</v>
      </c>
      <c r="E185" s="586">
        <v>138.19999999999999</v>
      </c>
      <c r="F185" s="586">
        <v>102.9</v>
      </c>
      <c r="G185" s="587">
        <v>170</v>
      </c>
      <c r="H185" s="587">
        <v>100</v>
      </c>
      <c r="I185" s="583">
        <f t="shared" si="36"/>
        <v>2.2999999999999972</v>
      </c>
      <c r="J185" s="583">
        <f t="shared" si="37"/>
        <v>2.8999999999999773</v>
      </c>
      <c r="K185" s="583">
        <f t="shared" si="38"/>
        <v>3</v>
      </c>
      <c r="L185" s="1218"/>
      <c r="M185" s="588">
        <f t="shared" si="51"/>
        <v>112.5</v>
      </c>
      <c r="N185" s="588">
        <f t="shared" si="52"/>
        <v>137.66999999999999</v>
      </c>
      <c r="O185" s="588">
        <f t="shared" si="53"/>
        <v>101.83</v>
      </c>
      <c r="P185" s="583"/>
      <c r="Q185" s="588">
        <f t="shared" si="45"/>
        <v>-1.5699999999999932</v>
      </c>
      <c r="R185" s="588">
        <f t="shared" si="46"/>
        <v>0.63999999999998636</v>
      </c>
      <c r="S185" s="588">
        <f t="shared" si="47"/>
        <v>0.20000000000000284</v>
      </c>
      <c r="T185" s="1218"/>
      <c r="U185" s="588">
        <f t="shared" si="54"/>
        <v>115.04</v>
      </c>
      <c r="V185" s="588">
        <f t="shared" si="55"/>
        <v>139.84</v>
      </c>
      <c r="W185" s="588">
        <f t="shared" si="56"/>
        <v>100.9</v>
      </c>
      <c r="X185" s="587"/>
      <c r="Y185" s="588">
        <f t="shared" si="48"/>
        <v>-1.9999999999996021E-2</v>
      </c>
      <c r="Z185" s="588">
        <f t="shared" si="49"/>
        <v>-1.1200000000000045</v>
      </c>
      <c r="AA185" s="589">
        <f t="shared" si="50"/>
        <v>0.5</v>
      </c>
    </row>
    <row r="186" spans="1:27" s="500" customFormat="1">
      <c r="A186" s="482"/>
      <c r="B186" s="483" t="s">
        <v>141</v>
      </c>
      <c r="C186" s="484">
        <v>3</v>
      </c>
      <c r="D186" s="586">
        <v>112.7</v>
      </c>
      <c r="E186" s="586">
        <v>136</v>
      </c>
      <c r="F186" s="586">
        <v>106.6</v>
      </c>
      <c r="G186" s="587">
        <v>170</v>
      </c>
      <c r="H186" s="587">
        <v>100</v>
      </c>
      <c r="I186" s="583">
        <f t="shared" si="36"/>
        <v>0.40000000000000568</v>
      </c>
      <c r="J186" s="583">
        <f t="shared" si="37"/>
        <v>-2.1999999999999886</v>
      </c>
      <c r="K186" s="583">
        <f t="shared" si="38"/>
        <v>3.6999999999999886</v>
      </c>
      <c r="L186" s="1218"/>
      <c r="M186" s="588">
        <f t="shared" si="51"/>
        <v>111.67</v>
      </c>
      <c r="N186" s="588">
        <f t="shared" si="52"/>
        <v>136.5</v>
      </c>
      <c r="O186" s="588">
        <f t="shared" si="53"/>
        <v>103.13</v>
      </c>
      <c r="P186" s="583"/>
      <c r="Q186" s="588">
        <f t="shared" si="45"/>
        <v>-0.82999999999999829</v>
      </c>
      <c r="R186" s="588">
        <f t="shared" si="46"/>
        <v>-1.1699999999999875</v>
      </c>
      <c r="S186" s="588">
        <f t="shared" si="47"/>
        <v>1.2999999999999972</v>
      </c>
      <c r="T186" s="1218"/>
      <c r="U186" s="588">
        <f t="shared" si="54"/>
        <v>114.49</v>
      </c>
      <c r="V186" s="588">
        <f t="shared" si="55"/>
        <v>138.49</v>
      </c>
      <c r="W186" s="588">
        <f t="shared" si="56"/>
        <v>101.84</v>
      </c>
      <c r="X186" s="587"/>
      <c r="Y186" s="588">
        <f t="shared" si="48"/>
        <v>-0.55000000000001137</v>
      </c>
      <c r="Z186" s="588">
        <f t="shared" si="49"/>
        <v>-1.3499999999999943</v>
      </c>
      <c r="AA186" s="589">
        <f t="shared" si="50"/>
        <v>0.93999999999999773</v>
      </c>
    </row>
    <row r="187" spans="1:27" s="500" customFormat="1">
      <c r="A187" s="482"/>
      <c r="B187" s="483" t="s">
        <v>141</v>
      </c>
      <c r="C187" s="484">
        <v>4</v>
      </c>
      <c r="D187" s="586">
        <v>109.8</v>
      </c>
      <c r="E187" s="586">
        <v>132</v>
      </c>
      <c r="F187" s="586">
        <v>104.3</v>
      </c>
      <c r="G187" s="587">
        <v>170</v>
      </c>
      <c r="H187" s="587">
        <v>100</v>
      </c>
      <c r="I187" s="583">
        <f t="shared" si="36"/>
        <v>-2.9000000000000057</v>
      </c>
      <c r="J187" s="583">
        <f t="shared" si="37"/>
        <v>-4</v>
      </c>
      <c r="K187" s="583">
        <f t="shared" si="38"/>
        <v>-2.2999999999999972</v>
      </c>
      <c r="L187" s="1218"/>
      <c r="M187" s="588">
        <f t="shared" si="51"/>
        <v>111.6</v>
      </c>
      <c r="N187" s="588">
        <f t="shared" si="52"/>
        <v>135.4</v>
      </c>
      <c r="O187" s="588">
        <f t="shared" si="53"/>
        <v>104.6</v>
      </c>
      <c r="P187" s="583"/>
      <c r="Q187" s="588">
        <f t="shared" si="45"/>
        <v>-7.000000000000739E-2</v>
      </c>
      <c r="R187" s="588">
        <f t="shared" si="46"/>
        <v>-1.0999999999999943</v>
      </c>
      <c r="S187" s="588">
        <f t="shared" si="47"/>
        <v>1.4699999999999989</v>
      </c>
      <c r="T187" s="1218"/>
      <c r="U187" s="588">
        <f t="shared" si="54"/>
        <v>113.43</v>
      </c>
      <c r="V187" s="588">
        <f t="shared" si="55"/>
        <v>136.88999999999999</v>
      </c>
      <c r="W187" s="588">
        <f t="shared" si="56"/>
        <v>102.63</v>
      </c>
      <c r="X187" s="587"/>
      <c r="Y187" s="588">
        <f t="shared" si="48"/>
        <v>-1.0599999999999881</v>
      </c>
      <c r="Z187" s="588">
        <f t="shared" si="49"/>
        <v>-1.6000000000000227</v>
      </c>
      <c r="AA187" s="589">
        <f t="shared" si="50"/>
        <v>0.78999999999999204</v>
      </c>
    </row>
    <row r="188" spans="1:27" s="500" customFormat="1">
      <c r="A188" s="482"/>
      <c r="B188" s="483" t="s">
        <v>141</v>
      </c>
      <c r="C188" s="484">
        <v>5</v>
      </c>
      <c r="D188" s="586">
        <v>107.6</v>
      </c>
      <c r="E188" s="586">
        <v>128.4</v>
      </c>
      <c r="F188" s="586">
        <v>104.2</v>
      </c>
      <c r="G188" s="587">
        <v>170</v>
      </c>
      <c r="H188" s="587">
        <v>100</v>
      </c>
      <c r="I188" s="583">
        <f t="shared" si="36"/>
        <v>-2.2000000000000028</v>
      </c>
      <c r="J188" s="583">
        <f t="shared" si="37"/>
        <v>-3.5999999999999943</v>
      </c>
      <c r="K188" s="583">
        <f t="shared" si="38"/>
        <v>-9.9999999999994316E-2</v>
      </c>
      <c r="L188" s="1218"/>
      <c r="M188" s="588">
        <f t="shared" si="51"/>
        <v>110.03</v>
      </c>
      <c r="N188" s="588">
        <f t="shared" si="52"/>
        <v>132.13</v>
      </c>
      <c r="O188" s="588">
        <f t="shared" si="53"/>
        <v>105.03</v>
      </c>
      <c r="P188" s="583"/>
      <c r="Q188" s="588">
        <f t="shared" si="45"/>
        <v>-1.5699999999999932</v>
      </c>
      <c r="R188" s="588">
        <f t="shared" si="46"/>
        <v>-3.2700000000000102</v>
      </c>
      <c r="S188" s="588">
        <f t="shared" si="47"/>
        <v>0.43000000000000682</v>
      </c>
      <c r="T188" s="1218"/>
      <c r="U188" s="588">
        <f t="shared" si="54"/>
        <v>112.09</v>
      </c>
      <c r="V188" s="588">
        <f t="shared" si="55"/>
        <v>135.1</v>
      </c>
      <c r="W188" s="588">
        <f t="shared" si="56"/>
        <v>103.27</v>
      </c>
      <c r="X188" s="587"/>
      <c r="Y188" s="588">
        <f t="shared" si="48"/>
        <v>-1.3400000000000034</v>
      </c>
      <c r="Z188" s="588">
        <f t="shared" si="49"/>
        <v>-1.789999999999992</v>
      </c>
      <c r="AA188" s="589">
        <f t="shared" si="50"/>
        <v>0.64000000000000057</v>
      </c>
    </row>
    <row r="189" spans="1:27" s="500" customFormat="1">
      <c r="A189" s="482"/>
      <c r="B189" s="483" t="s">
        <v>141</v>
      </c>
      <c r="C189" s="484">
        <v>6</v>
      </c>
      <c r="D189" s="586">
        <v>103.3</v>
      </c>
      <c r="E189" s="586">
        <v>123.8</v>
      </c>
      <c r="F189" s="586">
        <v>106.3</v>
      </c>
      <c r="G189" s="587">
        <v>170</v>
      </c>
      <c r="H189" s="587">
        <v>100</v>
      </c>
      <c r="I189" s="583">
        <f t="shared" si="36"/>
        <v>-4.2999999999999972</v>
      </c>
      <c r="J189" s="583">
        <f t="shared" si="37"/>
        <v>-4.6000000000000085</v>
      </c>
      <c r="K189" s="583">
        <f t="shared" si="38"/>
        <v>2.0999999999999943</v>
      </c>
      <c r="L189" s="1218"/>
      <c r="M189" s="588">
        <f t="shared" si="51"/>
        <v>106.9</v>
      </c>
      <c r="N189" s="588">
        <f t="shared" si="52"/>
        <v>128.07</v>
      </c>
      <c r="O189" s="588">
        <f t="shared" si="53"/>
        <v>104.93</v>
      </c>
      <c r="P189" s="583"/>
      <c r="Q189" s="588">
        <f t="shared" si="45"/>
        <v>-3.1299999999999955</v>
      </c>
      <c r="R189" s="588">
        <f t="shared" si="46"/>
        <v>-4.0600000000000023</v>
      </c>
      <c r="S189" s="588">
        <f t="shared" si="47"/>
        <v>-9.9999999999994316E-2</v>
      </c>
      <c r="T189" s="1218"/>
      <c r="U189" s="588">
        <f t="shared" si="54"/>
        <v>110.13</v>
      </c>
      <c r="V189" s="588">
        <f t="shared" si="55"/>
        <v>133.31</v>
      </c>
      <c r="W189" s="588">
        <f t="shared" si="56"/>
        <v>103.84</v>
      </c>
      <c r="X189" s="587"/>
      <c r="Y189" s="588">
        <f t="shared" si="48"/>
        <v>-1.960000000000008</v>
      </c>
      <c r="Z189" s="588">
        <f t="shared" si="49"/>
        <v>-1.789999999999992</v>
      </c>
      <c r="AA189" s="589">
        <f t="shared" si="50"/>
        <v>0.57000000000000739</v>
      </c>
    </row>
    <row r="190" spans="1:27" s="500" customFormat="1">
      <c r="A190" s="482"/>
      <c r="B190" s="483" t="s">
        <v>141</v>
      </c>
      <c r="C190" s="484">
        <v>7</v>
      </c>
      <c r="D190" s="586">
        <v>102.5</v>
      </c>
      <c r="E190" s="586">
        <v>123.2</v>
      </c>
      <c r="F190" s="586">
        <v>106.7</v>
      </c>
      <c r="G190" s="587">
        <v>170</v>
      </c>
      <c r="H190" s="587">
        <v>100</v>
      </c>
      <c r="I190" s="583">
        <f t="shared" si="36"/>
        <v>-0.79999999999999716</v>
      </c>
      <c r="J190" s="583">
        <f t="shared" si="37"/>
        <v>-0.59999999999999432</v>
      </c>
      <c r="K190" s="583">
        <f t="shared" si="38"/>
        <v>0.40000000000000568</v>
      </c>
      <c r="L190" s="1218"/>
      <c r="M190" s="588">
        <f t="shared" si="51"/>
        <v>104.47</v>
      </c>
      <c r="N190" s="588">
        <f t="shared" si="52"/>
        <v>125.13</v>
      </c>
      <c r="O190" s="588">
        <f t="shared" si="53"/>
        <v>105.73</v>
      </c>
      <c r="P190" s="583"/>
      <c r="Q190" s="588">
        <f t="shared" si="45"/>
        <v>-2.4300000000000068</v>
      </c>
      <c r="R190" s="588">
        <f t="shared" si="46"/>
        <v>-2.9399999999999977</v>
      </c>
      <c r="S190" s="588">
        <f t="shared" si="47"/>
        <v>0.79999999999999716</v>
      </c>
      <c r="T190" s="1218"/>
      <c r="U190" s="588">
        <f t="shared" si="54"/>
        <v>108.31</v>
      </c>
      <c r="V190" s="588">
        <f t="shared" si="55"/>
        <v>130.99</v>
      </c>
      <c r="W190" s="588">
        <f t="shared" si="56"/>
        <v>104.41</v>
      </c>
      <c r="X190" s="587"/>
      <c r="Y190" s="588">
        <f t="shared" si="48"/>
        <v>-1.8199999999999932</v>
      </c>
      <c r="Z190" s="588">
        <f t="shared" si="49"/>
        <v>-2.3199999999999932</v>
      </c>
      <c r="AA190" s="589">
        <f t="shared" si="50"/>
        <v>0.56999999999999318</v>
      </c>
    </row>
    <row r="191" spans="1:27" s="500" customFormat="1">
      <c r="A191" s="482"/>
      <c r="B191" s="483" t="s">
        <v>141</v>
      </c>
      <c r="C191" s="484">
        <v>8</v>
      </c>
      <c r="D191" s="586">
        <v>99.9</v>
      </c>
      <c r="E191" s="586">
        <v>114.3</v>
      </c>
      <c r="F191" s="586">
        <v>103.9</v>
      </c>
      <c r="G191" s="587">
        <v>170</v>
      </c>
      <c r="H191" s="587">
        <v>100</v>
      </c>
      <c r="I191" s="583">
        <f t="shared" si="36"/>
        <v>-2.5999999999999943</v>
      </c>
      <c r="J191" s="583">
        <f t="shared" si="37"/>
        <v>-8.9000000000000057</v>
      </c>
      <c r="K191" s="583">
        <f t="shared" si="38"/>
        <v>-2.7999999999999972</v>
      </c>
      <c r="L191" s="1218"/>
      <c r="M191" s="588">
        <f t="shared" si="51"/>
        <v>101.9</v>
      </c>
      <c r="N191" s="588">
        <f t="shared" si="52"/>
        <v>120.43</v>
      </c>
      <c r="O191" s="588">
        <f t="shared" si="53"/>
        <v>105.63</v>
      </c>
      <c r="P191" s="583"/>
      <c r="Q191" s="588">
        <f t="shared" si="45"/>
        <v>-2.5699999999999932</v>
      </c>
      <c r="R191" s="588">
        <f t="shared" si="46"/>
        <v>-4.6999999999999886</v>
      </c>
      <c r="S191" s="588">
        <f t="shared" si="47"/>
        <v>-0.10000000000000853</v>
      </c>
      <c r="T191" s="1218"/>
      <c r="U191" s="588">
        <f t="shared" si="54"/>
        <v>106.87</v>
      </c>
      <c r="V191" s="588">
        <f t="shared" si="55"/>
        <v>127.99</v>
      </c>
      <c r="W191" s="588">
        <f t="shared" si="56"/>
        <v>104.99</v>
      </c>
      <c r="X191" s="587"/>
      <c r="Y191" s="588">
        <f t="shared" si="48"/>
        <v>-1.4399999999999977</v>
      </c>
      <c r="Z191" s="588">
        <f t="shared" si="49"/>
        <v>-3.0000000000000142</v>
      </c>
      <c r="AA191" s="589">
        <f t="shared" si="50"/>
        <v>0.57999999999999829</v>
      </c>
    </row>
    <row r="192" spans="1:27" s="500" customFormat="1">
      <c r="A192" s="482"/>
      <c r="B192" s="483" t="s">
        <v>141</v>
      </c>
      <c r="C192" s="484">
        <v>9</v>
      </c>
      <c r="D192" s="586">
        <v>101.2</v>
      </c>
      <c r="E192" s="586">
        <v>116.5</v>
      </c>
      <c r="F192" s="586">
        <v>104.2</v>
      </c>
      <c r="G192" s="587">
        <v>170</v>
      </c>
      <c r="H192" s="587">
        <v>100</v>
      </c>
      <c r="I192" s="583">
        <f t="shared" ref="I192:I255" si="57">D192-D191</f>
        <v>1.2999999999999972</v>
      </c>
      <c r="J192" s="583">
        <f t="shared" ref="J192:J255" si="58">E192-E191</f>
        <v>2.2000000000000028</v>
      </c>
      <c r="K192" s="583">
        <f t="shared" ref="K192:K255" si="59">F192-F191</f>
        <v>0.29999999999999716</v>
      </c>
      <c r="L192" s="1218"/>
      <c r="M192" s="588">
        <f t="shared" ref="M192:M207" si="60">ROUND(AVERAGE(D190:D192),2)</f>
        <v>101.2</v>
      </c>
      <c r="N192" s="588">
        <f t="shared" ref="N192:N207" si="61">ROUND(AVERAGE(E190:E192),2)</f>
        <v>118</v>
      </c>
      <c r="O192" s="588">
        <f t="shared" ref="O192:O207" si="62">ROUND(AVERAGE(F190:F192),2)</f>
        <v>104.93</v>
      </c>
      <c r="P192" s="583"/>
      <c r="Q192" s="588">
        <f t="shared" si="45"/>
        <v>-0.70000000000000284</v>
      </c>
      <c r="R192" s="588">
        <f t="shared" si="46"/>
        <v>-2.4300000000000068</v>
      </c>
      <c r="S192" s="588">
        <f t="shared" si="47"/>
        <v>-0.69999999999998863</v>
      </c>
      <c r="T192" s="1218"/>
      <c r="U192" s="588">
        <f t="shared" ref="U192:U207" si="63">ROUND(AVERAGE(D186:D192),2)</f>
        <v>105.29</v>
      </c>
      <c r="V192" s="588">
        <f t="shared" ref="V192:V207" si="64">ROUND(AVERAGE(E186:E192),2)</f>
        <v>124.89</v>
      </c>
      <c r="W192" s="588">
        <f t="shared" ref="W192:W207" si="65">ROUND(AVERAGE(F186:F192),2)</f>
        <v>105.17</v>
      </c>
      <c r="X192" s="587"/>
      <c r="Y192" s="588">
        <f t="shared" si="48"/>
        <v>-1.5799999999999983</v>
      </c>
      <c r="Z192" s="588">
        <f t="shared" si="49"/>
        <v>-3.0999999999999943</v>
      </c>
      <c r="AA192" s="589">
        <f t="shared" si="50"/>
        <v>0.18000000000000682</v>
      </c>
    </row>
    <row r="193" spans="1:27" s="500" customFormat="1">
      <c r="A193" s="482"/>
      <c r="B193" s="483" t="s">
        <v>141</v>
      </c>
      <c r="C193" s="484">
        <v>10</v>
      </c>
      <c r="D193" s="586">
        <v>103.1</v>
      </c>
      <c r="E193" s="586">
        <v>113.3</v>
      </c>
      <c r="F193" s="586">
        <v>102.3</v>
      </c>
      <c r="G193" s="587">
        <v>170</v>
      </c>
      <c r="H193" s="587">
        <v>100</v>
      </c>
      <c r="I193" s="583">
        <f t="shared" si="57"/>
        <v>1.8999999999999915</v>
      </c>
      <c r="J193" s="583">
        <f t="shared" si="58"/>
        <v>-3.2000000000000028</v>
      </c>
      <c r="K193" s="583">
        <f t="shared" si="59"/>
        <v>-1.9000000000000057</v>
      </c>
      <c r="L193" s="1218"/>
      <c r="M193" s="588">
        <f t="shared" si="60"/>
        <v>101.4</v>
      </c>
      <c r="N193" s="588">
        <f t="shared" si="61"/>
        <v>114.7</v>
      </c>
      <c r="O193" s="588">
        <f t="shared" si="62"/>
        <v>103.47</v>
      </c>
      <c r="P193" s="583"/>
      <c r="Q193" s="588">
        <f t="shared" si="45"/>
        <v>0.20000000000000284</v>
      </c>
      <c r="R193" s="588">
        <f t="shared" si="46"/>
        <v>-3.2999999999999972</v>
      </c>
      <c r="S193" s="588">
        <f t="shared" si="47"/>
        <v>-1.460000000000008</v>
      </c>
      <c r="T193" s="1218"/>
      <c r="U193" s="588">
        <f t="shared" si="63"/>
        <v>103.91</v>
      </c>
      <c r="V193" s="588">
        <f t="shared" si="64"/>
        <v>121.64</v>
      </c>
      <c r="W193" s="588">
        <f t="shared" si="65"/>
        <v>104.56</v>
      </c>
      <c r="X193" s="587"/>
      <c r="Y193" s="588">
        <f t="shared" si="48"/>
        <v>-1.3800000000000097</v>
      </c>
      <c r="Z193" s="588">
        <f t="shared" si="49"/>
        <v>-3.25</v>
      </c>
      <c r="AA193" s="589">
        <f t="shared" si="50"/>
        <v>-0.60999999999999943</v>
      </c>
    </row>
    <row r="194" spans="1:27" s="500" customFormat="1">
      <c r="A194" s="482"/>
      <c r="B194" s="483" t="s">
        <v>141</v>
      </c>
      <c r="C194" s="484">
        <v>11</v>
      </c>
      <c r="D194" s="586">
        <v>103</v>
      </c>
      <c r="E194" s="586">
        <v>106.2</v>
      </c>
      <c r="F194" s="586">
        <v>98.5</v>
      </c>
      <c r="G194" s="587">
        <v>170</v>
      </c>
      <c r="H194" s="587">
        <v>100</v>
      </c>
      <c r="I194" s="583">
        <f t="shared" si="57"/>
        <v>-9.9999999999994316E-2</v>
      </c>
      <c r="J194" s="583">
        <f t="shared" si="58"/>
        <v>-7.0999999999999943</v>
      </c>
      <c r="K194" s="583">
        <f t="shared" si="59"/>
        <v>-3.7999999999999972</v>
      </c>
      <c r="L194" s="1218"/>
      <c r="M194" s="588">
        <f t="shared" si="60"/>
        <v>102.43</v>
      </c>
      <c r="N194" s="588">
        <f t="shared" si="61"/>
        <v>112</v>
      </c>
      <c r="O194" s="588">
        <f t="shared" si="62"/>
        <v>101.67</v>
      </c>
      <c r="P194" s="583"/>
      <c r="Q194" s="588">
        <f t="shared" si="45"/>
        <v>1.0300000000000011</v>
      </c>
      <c r="R194" s="588">
        <f t="shared" si="46"/>
        <v>-2.7000000000000028</v>
      </c>
      <c r="S194" s="588">
        <f t="shared" si="47"/>
        <v>-1.7999999999999972</v>
      </c>
      <c r="T194" s="1218"/>
      <c r="U194" s="588">
        <f t="shared" si="63"/>
        <v>102.94</v>
      </c>
      <c r="V194" s="588">
        <f t="shared" si="64"/>
        <v>117.96</v>
      </c>
      <c r="W194" s="588">
        <f t="shared" si="65"/>
        <v>103.73</v>
      </c>
      <c r="X194" s="587"/>
      <c r="Y194" s="588">
        <f t="shared" si="48"/>
        <v>-0.96999999999999886</v>
      </c>
      <c r="Z194" s="588">
        <f t="shared" si="49"/>
        <v>-3.6800000000000068</v>
      </c>
      <c r="AA194" s="589">
        <f t="shared" si="50"/>
        <v>-0.82999999999999829</v>
      </c>
    </row>
    <row r="195" spans="1:27" s="500" customFormat="1">
      <c r="A195" s="486"/>
      <c r="B195" s="487" t="s">
        <v>141</v>
      </c>
      <c r="C195" s="488">
        <v>12</v>
      </c>
      <c r="D195" s="590">
        <v>96.2</v>
      </c>
      <c r="E195" s="590">
        <v>94.2</v>
      </c>
      <c r="F195" s="590">
        <v>94.8</v>
      </c>
      <c r="G195" s="591">
        <v>170</v>
      </c>
      <c r="H195" s="591">
        <v>100</v>
      </c>
      <c r="I195" s="592">
        <f t="shared" si="57"/>
        <v>-6.7999999999999972</v>
      </c>
      <c r="J195" s="592">
        <f t="shared" si="58"/>
        <v>-12</v>
      </c>
      <c r="K195" s="592">
        <f t="shared" si="59"/>
        <v>-3.7000000000000028</v>
      </c>
      <c r="L195" s="1219"/>
      <c r="M195" s="603">
        <f t="shared" si="60"/>
        <v>100.77</v>
      </c>
      <c r="N195" s="603">
        <f t="shared" si="61"/>
        <v>104.57</v>
      </c>
      <c r="O195" s="603">
        <f t="shared" si="62"/>
        <v>98.53</v>
      </c>
      <c r="P195" s="592"/>
      <c r="Q195" s="588">
        <f t="shared" si="45"/>
        <v>-1.6600000000000108</v>
      </c>
      <c r="R195" s="588">
        <f t="shared" si="46"/>
        <v>-7.4300000000000068</v>
      </c>
      <c r="S195" s="588">
        <f t="shared" si="47"/>
        <v>-3.1400000000000006</v>
      </c>
      <c r="T195" s="1219"/>
      <c r="U195" s="593">
        <f t="shared" si="63"/>
        <v>101.31</v>
      </c>
      <c r="V195" s="593">
        <f t="shared" si="64"/>
        <v>113.07</v>
      </c>
      <c r="W195" s="593">
        <f t="shared" si="65"/>
        <v>102.39</v>
      </c>
      <c r="X195" s="591"/>
      <c r="Y195" s="593">
        <f t="shared" si="48"/>
        <v>-1.6299999999999955</v>
      </c>
      <c r="Z195" s="593">
        <f t="shared" si="49"/>
        <v>-4.8900000000000006</v>
      </c>
      <c r="AA195" s="594">
        <f t="shared" si="50"/>
        <v>-1.3400000000000034</v>
      </c>
    </row>
    <row r="196" spans="1:27" s="500" customFormat="1">
      <c r="A196" s="490">
        <v>21</v>
      </c>
      <c r="B196" s="990" t="s">
        <v>662</v>
      </c>
      <c r="C196" s="480">
        <v>1</v>
      </c>
      <c r="D196" s="580">
        <v>93.1</v>
      </c>
      <c r="E196" s="580">
        <v>79.8</v>
      </c>
      <c r="F196" s="580">
        <v>91.1</v>
      </c>
      <c r="G196" s="581">
        <v>170</v>
      </c>
      <c r="H196" s="581">
        <v>100</v>
      </c>
      <c r="I196" s="582">
        <f t="shared" si="57"/>
        <v>-3.1000000000000085</v>
      </c>
      <c r="J196" s="582">
        <f t="shared" si="58"/>
        <v>-14.400000000000006</v>
      </c>
      <c r="K196" s="582">
        <f t="shared" si="59"/>
        <v>-3.7000000000000028</v>
      </c>
      <c r="L196" s="1217"/>
      <c r="M196" s="584">
        <f t="shared" si="60"/>
        <v>97.43</v>
      </c>
      <c r="N196" s="584">
        <f t="shared" si="61"/>
        <v>93.4</v>
      </c>
      <c r="O196" s="584">
        <f t="shared" si="62"/>
        <v>94.8</v>
      </c>
      <c r="P196" s="582"/>
      <c r="Q196" s="588">
        <f t="shared" ref="Q196:Q259" si="66">M196-M195</f>
        <v>-3.3399999999999892</v>
      </c>
      <c r="R196" s="588">
        <f t="shared" ref="R196:R259" si="67">N196-N195</f>
        <v>-11.169999999999987</v>
      </c>
      <c r="S196" s="588">
        <f t="shared" ref="S196:S259" si="68">O196-O195</f>
        <v>-3.730000000000004</v>
      </c>
      <c r="T196" s="1217"/>
      <c r="U196" s="598">
        <f t="shared" si="63"/>
        <v>99.86</v>
      </c>
      <c r="V196" s="598">
        <f t="shared" si="64"/>
        <v>106.79</v>
      </c>
      <c r="W196" s="598">
        <f t="shared" si="65"/>
        <v>100.21</v>
      </c>
      <c r="X196" s="581"/>
      <c r="Y196" s="584">
        <f t="shared" ref="Y196:AA198" si="69">U196-U195</f>
        <v>-1.4500000000000028</v>
      </c>
      <c r="Z196" s="584">
        <f t="shared" si="69"/>
        <v>-6.2799999999999869</v>
      </c>
      <c r="AA196" s="585">
        <f t="shared" si="69"/>
        <v>-2.1800000000000068</v>
      </c>
    </row>
    <row r="197" spans="1:27" s="500" customFormat="1">
      <c r="A197" s="482"/>
      <c r="B197" s="483"/>
      <c r="C197" s="484">
        <v>2</v>
      </c>
      <c r="D197" s="586">
        <v>86.3</v>
      </c>
      <c r="E197" s="586">
        <v>70.099999999999994</v>
      </c>
      <c r="F197" s="586">
        <v>85</v>
      </c>
      <c r="G197" s="587">
        <v>170</v>
      </c>
      <c r="H197" s="587">
        <v>100</v>
      </c>
      <c r="I197" s="583">
        <f t="shared" si="57"/>
        <v>-6.7999999999999972</v>
      </c>
      <c r="J197" s="583">
        <f t="shared" si="58"/>
        <v>-9.7000000000000028</v>
      </c>
      <c r="K197" s="583">
        <f t="shared" si="59"/>
        <v>-6.0999999999999943</v>
      </c>
      <c r="L197" s="1218"/>
      <c r="M197" s="588">
        <f t="shared" si="60"/>
        <v>91.87</v>
      </c>
      <c r="N197" s="588">
        <f t="shared" si="61"/>
        <v>81.37</v>
      </c>
      <c r="O197" s="588">
        <f t="shared" si="62"/>
        <v>90.3</v>
      </c>
      <c r="P197" s="587"/>
      <c r="Q197" s="588">
        <f t="shared" si="66"/>
        <v>-5.5600000000000023</v>
      </c>
      <c r="R197" s="588">
        <f t="shared" si="67"/>
        <v>-12.030000000000001</v>
      </c>
      <c r="S197" s="588">
        <f t="shared" si="68"/>
        <v>-4.5</v>
      </c>
      <c r="T197" s="1218"/>
      <c r="U197" s="588">
        <f t="shared" si="63"/>
        <v>97.54</v>
      </c>
      <c r="V197" s="588">
        <f t="shared" si="64"/>
        <v>99.2</v>
      </c>
      <c r="W197" s="588">
        <f t="shared" si="65"/>
        <v>97.11</v>
      </c>
      <c r="X197" s="587"/>
      <c r="Y197" s="588">
        <f t="shared" si="69"/>
        <v>-2.3199999999999932</v>
      </c>
      <c r="Z197" s="588">
        <f t="shared" si="69"/>
        <v>-7.5900000000000034</v>
      </c>
      <c r="AA197" s="589">
        <f t="shared" si="69"/>
        <v>-3.0999999999999943</v>
      </c>
    </row>
    <row r="198" spans="1:27" s="500" customFormat="1">
      <c r="A198" s="482"/>
      <c r="B198" s="483"/>
      <c r="C198" s="484">
        <v>3</v>
      </c>
      <c r="D198" s="586">
        <v>83.8</v>
      </c>
      <c r="E198" s="586">
        <v>64.7</v>
      </c>
      <c r="F198" s="586">
        <v>82.3</v>
      </c>
      <c r="G198" s="587">
        <v>170</v>
      </c>
      <c r="H198" s="587">
        <v>100</v>
      </c>
      <c r="I198" s="583">
        <f t="shared" si="57"/>
        <v>-2.5</v>
      </c>
      <c r="J198" s="583">
        <f t="shared" si="58"/>
        <v>-5.3999999999999915</v>
      </c>
      <c r="K198" s="583">
        <f t="shared" si="59"/>
        <v>-2.7000000000000028</v>
      </c>
      <c r="L198" s="1218"/>
      <c r="M198" s="588">
        <f t="shared" si="60"/>
        <v>87.73</v>
      </c>
      <c r="N198" s="588">
        <f t="shared" si="61"/>
        <v>71.53</v>
      </c>
      <c r="O198" s="588">
        <f t="shared" si="62"/>
        <v>86.13</v>
      </c>
      <c r="P198" s="587"/>
      <c r="Q198" s="588">
        <f t="shared" si="66"/>
        <v>-4.1400000000000006</v>
      </c>
      <c r="R198" s="588">
        <f t="shared" si="67"/>
        <v>-9.8400000000000034</v>
      </c>
      <c r="S198" s="588">
        <f t="shared" si="68"/>
        <v>-4.1700000000000017</v>
      </c>
      <c r="T198" s="1218"/>
      <c r="U198" s="588">
        <f t="shared" si="63"/>
        <v>95.24</v>
      </c>
      <c r="V198" s="588">
        <f t="shared" si="64"/>
        <v>92.11</v>
      </c>
      <c r="W198" s="588">
        <f t="shared" si="65"/>
        <v>94.03</v>
      </c>
      <c r="X198" s="587"/>
      <c r="Y198" s="588">
        <f t="shared" si="69"/>
        <v>-2.3000000000000114</v>
      </c>
      <c r="Z198" s="588">
        <f t="shared" si="69"/>
        <v>-7.0900000000000034</v>
      </c>
      <c r="AA198" s="589">
        <f t="shared" si="69"/>
        <v>-3.0799999999999983</v>
      </c>
    </row>
    <row r="199" spans="1:27" s="500" customFormat="1">
      <c r="A199" s="482"/>
      <c r="B199" s="483"/>
      <c r="C199" s="484">
        <v>4</v>
      </c>
      <c r="D199" s="587">
        <v>82.5</v>
      </c>
      <c r="E199" s="587">
        <v>67.400000000000006</v>
      </c>
      <c r="F199" s="587">
        <v>80.8</v>
      </c>
      <c r="G199" s="587"/>
      <c r="H199" s="587">
        <v>100</v>
      </c>
      <c r="I199" s="583">
        <f t="shared" si="57"/>
        <v>-1.2999999999999972</v>
      </c>
      <c r="J199" s="583">
        <f t="shared" si="58"/>
        <v>2.7000000000000028</v>
      </c>
      <c r="K199" s="583">
        <f t="shared" si="59"/>
        <v>-1.5</v>
      </c>
      <c r="L199" s="588"/>
      <c r="M199" s="588">
        <f t="shared" si="60"/>
        <v>84.2</v>
      </c>
      <c r="N199" s="588">
        <f t="shared" si="61"/>
        <v>67.400000000000006</v>
      </c>
      <c r="O199" s="588">
        <f t="shared" si="62"/>
        <v>82.7</v>
      </c>
      <c r="P199" s="583"/>
      <c r="Q199" s="588">
        <f t="shared" si="66"/>
        <v>-3.5300000000000011</v>
      </c>
      <c r="R199" s="588">
        <f t="shared" si="67"/>
        <v>-4.1299999999999955</v>
      </c>
      <c r="S199" s="588">
        <f t="shared" si="68"/>
        <v>-3.4299999999999926</v>
      </c>
      <c r="T199" s="588"/>
      <c r="U199" s="588">
        <f t="shared" si="63"/>
        <v>92.57</v>
      </c>
      <c r="V199" s="588">
        <f t="shared" si="64"/>
        <v>85.1</v>
      </c>
      <c r="W199" s="588">
        <f t="shared" si="65"/>
        <v>90.69</v>
      </c>
      <c r="X199" s="583"/>
      <c r="Y199" s="588">
        <f t="shared" ref="Y199:Y207" si="70">U199-U198</f>
        <v>-2.6700000000000017</v>
      </c>
      <c r="Z199" s="588">
        <f t="shared" ref="Z199:Z207" si="71">V199-V198</f>
        <v>-7.0100000000000051</v>
      </c>
      <c r="AA199" s="589">
        <f t="shared" ref="AA199:AA207" si="72">W199-W198</f>
        <v>-3.3400000000000034</v>
      </c>
    </row>
    <row r="200" spans="1:27" s="500" customFormat="1">
      <c r="A200" s="482"/>
      <c r="B200" s="483"/>
      <c r="C200" s="484">
        <v>5</v>
      </c>
      <c r="D200" s="587">
        <v>82.8</v>
      </c>
      <c r="E200" s="587">
        <v>70.2</v>
      </c>
      <c r="F200" s="587">
        <v>76.2</v>
      </c>
      <c r="G200" s="587"/>
      <c r="H200" s="587">
        <v>100</v>
      </c>
      <c r="I200" s="583">
        <f t="shared" si="57"/>
        <v>0.29999999999999716</v>
      </c>
      <c r="J200" s="583">
        <f t="shared" si="58"/>
        <v>2.7999999999999972</v>
      </c>
      <c r="K200" s="583">
        <f t="shared" si="59"/>
        <v>-4.5999999999999943</v>
      </c>
      <c r="L200" s="588"/>
      <c r="M200" s="588">
        <f t="shared" si="60"/>
        <v>83.03</v>
      </c>
      <c r="N200" s="588">
        <f t="shared" si="61"/>
        <v>67.430000000000007</v>
      </c>
      <c r="O200" s="588">
        <f t="shared" si="62"/>
        <v>79.77</v>
      </c>
      <c r="P200" s="583"/>
      <c r="Q200" s="588">
        <f t="shared" si="66"/>
        <v>-1.1700000000000017</v>
      </c>
      <c r="R200" s="588">
        <f t="shared" si="67"/>
        <v>3.0000000000001137E-2</v>
      </c>
      <c r="S200" s="588">
        <f t="shared" si="68"/>
        <v>-2.9300000000000068</v>
      </c>
      <c r="T200" s="588"/>
      <c r="U200" s="588">
        <f t="shared" si="63"/>
        <v>89.67</v>
      </c>
      <c r="V200" s="588">
        <f t="shared" si="64"/>
        <v>78.94</v>
      </c>
      <c r="W200" s="588">
        <f t="shared" si="65"/>
        <v>86.96</v>
      </c>
      <c r="X200" s="583"/>
      <c r="Y200" s="588">
        <f t="shared" si="70"/>
        <v>-2.8999999999999915</v>
      </c>
      <c r="Z200" s="588">
        <f t="shared" si="71"/>
        <v>-6.1599999999999966</v>
      </c>
      <c r="AA200" s="589">
        <f t="shared" si="72"/>
        <v>-3.730000000000004</v>
      </c>
    </row>
    <row r="201" spans="1:27" s="500" customFormat="1">
      <c r="A201" s="482"/>
      <c r="B201" s="483"/>
      <c r="C201" s="484">
        <v>6</v>
      </c>
      <c r="D201" s="587">
        <v>83.4</v>
      </c>
      <c r="E201" s="587">
        <v>72.5</v>
      </c>
      <c r="F201" s="587">
        <v>75.400000000000006</v>
      </c>
      <c r="G201" s="587"/>
      <c r="H201" s="587">
        <v>100</v>
      </c>
      <c r="I201" s="583">
        <f t="shared" si="57"/>
        <v>0.60000000000000853</v>
      </c>
      <c r="J201" s="583">
        <f t="shared" si="58"/>
        <v>2.2999999999999972</v>
      </c>
      <c r="K201" s="583">
        <f t="shared" si="59"/>
        <v>-0.79999999999999716</v>
      </c>
      <c r="L201" s="588"/>
      <c r="M201" s="588">
        <f t="shared" si="60"/>
        <v>82.9</v>
      </c>
      <c r="N201" s="588">
        <f t="shared" si="61"/>
        <v>70.03</v>
      </c>
      <c r="O201" s="588">
        <f t="shared" si="62"/>
        <v>77.47</v>
      </c>
      <c r="P201" s="583"/>
      <c r="Q201" s="588">
        <f t="shared" si="66"/>
        <v>-0.12999999999999545</v>
      </c>
      <c r="R201" s="588">
        <f t="shared" si="67"/>
        <v>2.5999999999999943</v>
      </c>
      <c r="S201" s="588">
        <f t="shared" si="68"/>
        <v>-2.2999999999999972</v>
      </c>
      <c r="T201" s="588"/>
      <c r="U201" s="588">
        <f t="shared" si="63"/>
        <v>86.87</v>
      </c>
      <c r="V201" s="588">
        <f t="shared" si="64"/>
        <v>74.13</v>
      </c>
      <c r="W201" s="588">
        <f t="shared" si="65"/>
        <v>83.66</v>
      </c>
      <c r="X201" s="583"/>
      <c r="Y201" s="588">
        <f t="shared" si="70"/>
        <v>-2.7999999999999972</v>
      </c>
      <c r="Z201" s="588">
        <f t="shared" si="71"/>
        <v>-4.8100000000000023</v>
      </c>
      <c r="AA201" s="589">
        <f t="shared" si="72"/>
        <v>-3.2999999999999972</v>
      </c>
    </row>
    <row r="202" spans="1:27" s="500" customFormat="1">
      <c r="A202" s="482"/>
      <c r="B202" s="483"/>
      <c r="C202" s="484">
        <v>7</v>
      </c>
      <c r="D202" s="587">
        <v>88.5</v>
      </c>
      <c r="E202" s="587">
        <v>75.7</v>
      </c>
      <c r="F202" s="587">
        <v>72</v>
      </c>
      <c r="G202" s="587"/>
      <c r="H202" s="587">
        <v>100</v>
      </c>
      <c r="I202" s="583">
        <f t="shared" si="57"/>
        <v>5.0999999999999943</v>
      </c>
      <c r="J202" s="583">
        <f t="shared" si="58"/>
        <v>3.2000000000000028</v>
      </c>
      <c r="K202" s="583">
        <f t="shared" si="59"/>
        <v>-3.4000000000000057</v>
      </c>
      <c r="L202" s="588"/>
      <c r="M202" s="588">
        <f t="shared" si="60"/>
        <v>84.9</v>
      </c>
      <c r="N202" s="588">
        <f t="shared" si="61"/>
        <v>72.8</v>
      </c>
      <c r="O202" s="588">
        <f t="shared" si="62"/>
        <v>74.53</v>
      </c>
      <c r="P202" s="583"/>
      <c r="Q202" s="588">
        <f t="shared" si="66"/>
        <v>2</v>
      </c>
      <c r="R202" s="588">
        <f t="shared" si="67"/>
        <v>2.769999999999996</v>
      </c>
      <c r="S202" s="588">
        <f t="shared" si="68"/>
        <v>-2.9399999999999977</v>
      </c>
      <c r="T202" s="588"/>
      <c r="U202" s="588">
        <f t="shared" si="63"/>
        <v>85.77</v>
      </c>
      <c r="V202" s="588">
        <f t="shared" si="64"/>
        <v>71.489999999999995</v>
      </c>
      <c r="W202" s="588">
        <f t="shared" si="65"/>
        <v>80.400000000000006</v>
      </c>
      <c r="X202" s="583"/>
      <c r="Y202" s="588">
        <f t="shared" si="70"/>
        <v>-1.1000000000000085</v>
      </c>
      <c r="Z202" s="588">
        <f t="shared" si="71"/>
        <v>-2.6400000000000006</v>
      </c>
      <c r="AA202" s="589">
        <f t="shared" si="72"/>
        <v>-3.2599999999999909</v>
      </c>
    </row>
    <row r="203" spans="1:27" s="500" customFormat="1">
      <c r="A203" s="482"/>
      <c r="B203" s="483"/>
      <c r="C203" s="484">
        <v>8</v>
      </c>
      <c r="D203" s="587">
        <v>99.9</v>
      </c>
      <c r="E203" s="587">
        <v>78.599999999999994</v>
      </c>
      <c r="F203" s="587">
        <v>73.599999999999994</v>
      </c>
      <c r="G203" s="587"/>
      <c r="H203" s="587">
        <v>100</v>
      </c>
      <c r="I203" s="583">
        <f t="shared" si="57"/>
        <v>11.400000000000006</v>
      </c>
      <c r="J203" s="583">
        <f t="shared" si="58"/>
        <v>2.8999999999999915</v>
      </c>
      <c r="K203" s="583">
        <f t="shared" si="59"/>
        <v>1.5999999999999943</v>
      </c>
      <c r="L203" s="588"/>
      <c r="M203" s="588">
        <f t="shared" si="60"/>
        <v>90.6</v>
      </c>
      <c r="N203" s="588">
        <f t="shared" si="61"/>
        <v>75.599999999999994</v>
      </c>
      <c r="O203" s="588">
        <f t="shared" si="62"/>
        <v>73.67</v>
      </c>
      <c r="P203" s="583"/>
      <c r="Q203" s="588">
        <f t="shared" si="66"/>
        <v>5.6999999999999886</v>
      </c>
      <c r="R203" s="588">
        <f t="shared" si="67"/>
        <v>2.7999999999999972</v>
      </c>
      <c r="S203" s="588">
        <f t="shared" si="68"/>
        <v>-0.85999999999999943</v>
      </c>
      <c r="T203" s="588"/>
      <c r="U203" s="588">
        <f t="shared" si="63"/>
        <v>86.74</v>
      </c>
      <c r="V203" s="588">
        <f t="shared" si="64"/>
        <v>71.31</v>
      </c>
      <c r="W203" s="588">
        <f t="shared" si="65"/>
        <v>77.900000000000006</v>
      </c>
      <c r="X203" s="583"/>
      <c r="Y203" s="588">
        <f t="shared" si="70"/>
        <v>0.96999999999999886</v>
      </c>
      <c r="Z203" s="588">
        <f t="shared" si="71"/>
        <v>-0.17999999999999261</v>
      </c>
      <c r="AA203" s="589">
        <f t="shared" si="72"/>
        <v>-2.5</v>
      </c>
    </row>
    <row r="204" spans="1:27" s="500" customFormat="1">
      <c r="A204" s="482"/>
      <c r="B204" s="483"/>
      <c r="C204" s="484">
        <v>9</v>
      </c>
      <c r="D204" s="587">
        <v>104.3</v>
      </c>
      <c r="E204" s="587">
        <v>82.4</v>
      </c>
      <c r="F204" s="587">
        <v>72.8</v>
      </c>
      <c r="G204" s="587"/>
      <c r="H204" s="587">
        <v>100</v>
      </c>
      <c r="I204" s="583">
        <f t="shared" si="57"/>
        <v>4.3999999999999915</v>
      </c>
      <c r="J204" s="583">
        <f t="shared" si="58"/>
        <v>3.8000000000000114</v>
      </c>
      <c r="K204" s="583">
        <f t="shared" si="59"/>
        <v>-0.79999999999999716</v>
      </c>
      <c r="L204" s="588"/>
      <c r="M204" s="588">
        <f t="shared" si="60"/>
        <v>97.57</v>
      </c>
      <c r="N204" s="588">
        <f t="shared" si="61"/>
        <v>78.900000000000006</v>
      </c>
      <c r="O204" s="588">
        <f t="shared" si="62"/>
        <v>72.8</v>
      </c>
      <c r="P204" s="583"/>
      <c r="Q204" s="588">
        <f t="shared" si="66"/>
        <v>6.9699999999999989</v>
      </c>
      <c r="R204" s="588">
        <f t="shared" si="67"/>
        <v>3.3000000000000114</v>
      </c>
      <c r="S204" s="588">
        <f t="shared" si="68"/>
        <v>-0.87000000000000455</v>
      </c>
      <c r="T204" s="588"/>
      <c r="U204" s="588">
        <f t="shared" si="63"/>
        <v>89.31</v>
      </c>
      <c r="V204" s="588">
        <f t="shared" si="64"/>
        <v>73.069999999999993</v>
      </c>
      <c r="W204" s="588">
        <f t="shared" si="65"/>
        <v>76.16</v>
      </c>
      <c r="X204" s="583"/>
      <c r="Y204" s="588">
        <f t="shared" si="70"/>
        <v>2.5700000000000074</v>
      </c>
      <c r="Z204" s="588">
        <f t="shared" si="71"/>
        <v>1.7599999999999909</v>
      </c>
      <c r="AA204" s="589">
        <f t="shared" si="72"/>
        <v>-1.7400000000000091</v>
      </c>
    </row>
    <row r="205" spans="1:27" s="500" customFormat="1">
      <c r="A205" s="482"/>
      <c r="B205" s="483"/>
      <c r="C205" s="484">
        <v>10</v>
      </c>
      <c r="D205" s="587">
        <v>104.4</v>
      </c>
      <c r="E205" s="587">
        <v>87</v>
      </c>
      <c r="F205" s="587">
        <v>76.900000000000006</v>
      </c>
      <c r="G205" s="587"/>
      <c r="H205" s="587">
        <v>100</v>
      </c>
      <c r="I205" s="583">
        <f t="shared" si="57"/>
        <v>0.10000000000000853</v>
      </c>
      <c r="J205" s="583">
        <f t="shared" si="58"/>
        <v>4.5999999999999943</v>
      </c>
      <c r="K205" s="583">
        <f t="shared" si="59"/>
        <v>4.1000000000000085</v>
      </c>
      <c r="L205" s="588"/>
      <c r="M205" s="588">
        <f t="shared" si="60"/>
        <v>102.87</v>
      </c>
      <c r="N205" s="588">
        <f t="shared" si="61"/>
        <v>82.67</v>
      </c>
      <c r="O205" s="588">
        <f t="shared" si="62"/>
        <v>74.430000000000007</v>
      </c>
      <c r="P205" s="583"/>
      <c r="Q205" s="588">
        <f t="shared" si="66"/>
        <v>5.3000000000000114</v>
      </c>
      <c r="R205" s="588">
        <f t="shared" si="67"/>
        <v>3.769999999999996</v>
      </c>
      <c r="S205" s="588">
        <f t="shared" si="68"/>
        <v>1.6300000000000097</v>
      </c>
      <c r="T205" s="588"/>
      <c r="U205" s="588">
        <f t="shared" si="63"/>
        <v>92.26</v>
      </c>
      <c r="V205" s="588">
        <f t="shared" si="64"/>
        <v>76.260000000000005</v>
      </c>
      <c r="W205" s="588">
        <f t="shared" si="65"/>
        <v>75.39</v>
      </c>
      <c r="X205" s="583"/>
      <c r="Y205" s="588">
        <f t="shared" si="70"/>
        <v>2.9500000000000028</v>
      </c>
      <c r="Z205" s="588">
        <f t="shared" si="71"/>
        <v>3.1900000000000119</v>
      </c>
      <c r="AA205" s="589">
        <f t="shared" si="72"/>
        <v>-0.76999999999999602</v>
      </c>
    </row>
    <row r="206" spans="1:27" s="500" customFormat="1">
      <c r="A206" s="482"/>
      <c r="B206" s="483"/>
      <c r="C206" s="484">
        <v>11</v>
      </c>
      <c r="D206" s="587">
        <v>103</v>
      </c>
      <c r="E206" s="587">
        <v>87.6</v>
      </c>
      <c r="F206" s="587">
        <v>76.099999999999994</v>
      </c>
      <c r="G206" s="587"/>
      <c r="H206" s="587">
        <v>100</v>
      </c>
      <c r="I206" s="583">
        <f t="shared" si="57"/>
        <v>-1.4000000000000057</v>
      </c>
      <c r="J206" s="583">
        <f t="shared" si="58"/>
        <v>0.59999999999999432</v>
      </c>
      <c r="K206" s="583">
        <f t="shared" si="59"/>
        <v>-0.80000000000001137</v>
      </c>
      <c r="L206" s="588"/>
      <c r="M206" s="588">
        <f t="shared" si="60"/>
        <v>103.9</v>
      </c>
      <c r="N206" s="588">
        <f t="shared" si="61"/>
        <v>85.67</v>
      </c>
      <c r="O206" s="588">
        <f t="shared" si="62"/>
        <v>75.27</v>
      </c>
      <c r="P206" s="583"/>
      <c r="Q206" s="588">
        <f t="shared" si="66"/>
        <v>1.0300000000000011</v>
      </c>
      <c r="R206" s="588">
        <f t="shared" si="67"/>
        <v>3</v>
      </c>
      <c r="S206" s="588">
        <f t="shared" si="68"/>
        <v>0.8399999999999892</v>
      </c>
      <c r="T206" s="588"/>
      <c r="U206" s="588">
        <f t="shared" si="63"/>
        <v>95.19</v>
      </c>
      <c r="V206" s="588">
        <f t="shared" si="64"/>
        <v>79.14</v>
      </c>
      <c r="W206" s="588">
        <f t="shared" si="65"/>
        <v>74.709999999999994</v>
      </c>
      <c r="X206" s="583"/>
      <c r="Y206" s="588">
        <f t="shared" si="70"/>
        <v>2.9299999999999926</v>
      </c>
      <c r="Z206" s="588">
        <f t="shared" si="71"/>
        <v>2.8799999999999955</v>
      </c>
      <c r="AA206" s="589">
        <f t="shared" si="72"/>
        <v>-0.68000000000000682</v>
      </c>
    </row>
    <row r="207" spans="1:27" s="500" customFormat="1">
      <c r="A207" s="494"/>
      <c r="B207" s="495"/>
      <c r="C207" s="496">
        <v>12</v>
      </c>
      <c r="D207" s="591">
        <v>102</v>
      </c>
      <c r="E207" s="591">
        <v>87.7</v>
      </c>
      <c r="F207" s="591">
        <v>76.7</v>
      </c>
      <c r="G207" s="591"/>
      <c r="H207" s="591">
        <v>100</v>
      </c>
      <c r="I207" s="592">
        <f t="shared" si="57"/>
        <v>-1</v>
      </c>
      <c r="J207" s="592">
        <f t="shared" si="58"/>
        <v>0.10000000000000853</v>
      </c>
      <c r="K207" s="592">
        <f t="shared" si="59"/>
        <v>0.60000000000000853</v>
      </c>
      <c r="L207" s="593"/>
      <c r="M207" s="588">
        <f t="shared" si="60"/>
        <v>103.13</v>
      </c>
      <c r="N207" s="588">
        <f t="shared" si="61"/>
        <v>87.43</v>
      </c>
      <c r="O207" s="588">
        <f t="shared" si="62"/>
        <v>76.569999999999993</v>
      </c>
      <c r="P207" s="592"/>
      <c r="Q207" s="588">
        <f t="shared" si="66"/>
        <v>-0.77000000000001023</v>
      </c>
      <c r="R207" s="588">
        <f t="shared" si="67"/>
        <v>1.7600000000000051</v>
      </c>
      <c r="S207" s="588">
        <f t="shared" si="68"/>
        <v>1.2999999999999972</v>
      </c>
      <c r="T207" s="593"/>
      <c r="U207" s="588">
        <f t="shared" si="63"/>
        <v>97.93</v>
      </c>
      <c r="V207" s="588">
        <f t="shared" si="64"/>
        <v>81.64</v>
      </c>
      <c r="W207" s="588">
        <f t="shared" si="65"/>
        <v>74.790000000000006</v>
      </c>
      <c r="X207" s="592"/>
      <c r="Y207" s="593">
        <f t="shared" si="70"/>
        <v>2.7400000000000091</v>
      </c>
      <c r="Z207" s="593">
        <f t="shared" si="71"/>
        <v>2.5</v>
      </c>
      <c r="AA207" s="594">
        <f t="shared" si="72"/>
        <v>8.0000000000012506E-2</v>
      </c>
    </row>
    <row r="208" spans="1:27" s="500" customFormat="1">
      <c r="A208" s="478">
        <v>22</v>
      </c>
      <c r="B208" s="989" t="s">
        <v>663</v>
      </c>
      <c r="C208" s="480">
        <v>1</v>
      </c>
      <c r="D208" s="1192">
        <v>105.9</v>
      </c>
      <c r="E208" s="1192">
        <v>95.8</v>
      </c>
      <c r="F208" s="1192">
        <v>78.7</v>
      </c>
      <c r="G208" s="581"/>
      <c r="H208" s="601">
        <v>100</v>
      </c>
      <c r="I208" s="582">
        <f t="shared" si="57"/>
        <v>3.9000000000000057</v>
      </c>
      <c r="J208" s="582">
        <f t="shared" si="58"/>
        <v>8.0999999999999943</v>
      </c>
      <c r="K208" s="582">
        <f t="shared" si="59"/>
        <v>2</v>
      </c>
      <c r="L208" s="584"/>
      <c r="M208" s="584">
        <f t="shared" ref="M208:M239" si="73">AVERAGE(D206:D208)</f>
        <v>103.63333333333333</v>
      </c>
      <c r="N208" s="584">
        <f t="shared" ref="N208:N239" si="74">AVERAGE(E206:E208)</f>
        <v>90.366666666666674</v>
      </c>
      <c r="O208" s="584">
        <f t="shared" ref="O208:O239" si="75">AVERAGE(F206:F208)</f>
        <v>77.166666666666671</v>
      </c>
      <c r="P208" s="582"/>
      <c r="Q208" s="588">
        <f t="shared" si="66"/>
        <v>0.5033333333333303</v>
      </c>
      <c r="R208" s="588">
        <f t="shared" si="67"/>
        <v>2.9366666666666674</v>
      </c>
      <c r="S208" s="588">
        <f t="shared" si="68"/>
        <v>0.59666666666667822</v>
      </c>
      <c r="T208" s="584"/>
      <c r="U208" s="584">
        <f t="shared" ref="U208:U239" si="76">AVERAGE(D202:D208)</f>
        <v>101.14285714285714</v>
      </c>
      <c r="V208" s="584">
        <f t="shared" ref="V208:V239" si="77">AVERAGE(E202:E208)</f>
        <v>84.971428571428575</v>
      </c>
      <c r="W208" s="584">
        <f t="shared" ref="W208:W239" si="78">AVERAGE(F202:F208)</f>
        <v>75.257142857142853</v>
      </c>
      <c r="X208" s="582"/>
      <c r="Y208" s="584">
        <f t="shared" ref="Y208:Y219" si="79">U208-U207</f>
        <v>3.212857142857132</v>
      </c>
      <c r="Z208" s="584">
        <f t="shared" ref="Z208:Z219" si="80">V208-V207</f>
        <v>3.3314285714285745</v>
      </c>
      <c r="AA208" s="585">
        <f t="shared" ref="AA208:AA219" si="81">W208-W207</f>
        <v>0.46714285714284642</v>
      </c>
    </row>
    <row r="209" spans="1:27" s="500" customFormat="1">
      <c r="A209" s="482"/>
      <c r="B209" s="483"/>
      <c r="C209" s="484">
        <v>2</v>
      </c>
      <c r="D209" s="1193">
        <v>105.7</v>
      </c>
      <c r="E209" s="1193">
        <v>95.5</v>
      </c>
      <c r="F209" s="1193">
        <v>81</v>
      </c>
      <c r="G209" s="587"/>
      <c r="H209" s="587">
        <v>100</v>
      </c>
      <c r="I209" s="583">
        <f t="shared" si="57"/>
        <v>-0.20000000000000284</v>
      </c>
      <c r="J209" s="583">
        <f t="shared" si="58"/>
        <v>-0.29999999999999716</v>
      </c>
      <c r="K209" s="583">
        <f t="shared" si="59"/>
        <v>2.2999999999999972</v>
      </c>
      <c r="L209" s="588"/>
      <c r="M209" s="588">
        <f t="shared" si="73"/>
        <v>104.53333333333335</v>
      </c>
      <c r="N209" s="588">
        <f t="shared" si="74"/>
        <v>93</v>
      </c>
      <c r="O209" s="588">
        <f t="shared" si="75"/>
        <v>78.8</v>
      </c>
      <c r="P209" s="583"/>
      <c r="Q209" s="588">
        <f t="shared" si="66"/>
        <v>0.9000000000000199</v>
      </c>
      <c r="R209" s="588">
        <f t="shared" si="67"/>
        <v>2.6333333333333258</v>
      </c>
      <c r="S209" s="588">
        <f t="shared" si="68"/>
        <v>1.6333333333333258</v>
      </c>
      <c r="T209" s="588"/>
      <c r="U209" s="588">
        <f t="shared" si="76"/>
        <v>103.60000000000001</v>
      </c>
      <c r="V209" s="588">
        <f t="shared" si="77"/>
        <v>87.8</v>
      </c>
      <c r="W209" s="588">
        <f t="shared" si="78"/>
        <v>76.54285714285713</v>
      </c>
      <c r="X209" s="583"/>
      <c r="Y209" s="588">
        <f t="shared" si="79"/>
        <v>2.4571428571428697</v>
      </c>
      <c r="Z209" s="588">
        <f t="shared" si="80"/>
        <v>2.8285714285714221</v>
      </c>
      <c r="AA209" s="589">
        <f t="shared" si="81"/>
        <v>1.2857142857142776</v>
      </c>
    </row>
    <row r="210" spans="1:27" s="500" customFormat="1">
      <c r="A210" s="482"/>
      <c r="B210" s="483"/>
      <c r="C210" s="484">
        <v>3</v>
      </c>
      <c r="D210" s="1193">
        <v>107.3</v>
      </c>
      <c r="E210" s="1193">
        <v>99.6</v>
      </c>
      <c r="F210" s="1193">
        <v>82.8</v>
      </c>
      <c r="G210" s="587"/>
      <c r="H210" s="587">
        <v>100</v>
      </c>
      <c r="I210" s="583">
        <f t="shared" si="57"/>
        <v>1.5999999999999943</v>
      </c>
      <c r="J210" s="583">
        <f t="shared" si="58"/>
        <v>4.0999999999999943</v>
      </c>
      <c r="K210" s="583">
        <f t="shared" si="59"/>
        <v>1.7999999999999972</v>
      </c>
      <c r="L210" s="588"/>
      <c r="M210" s="588">
        <f t="shared" si="73"/>
        <v>106.30000000000001</v>
      </c>
      <c r="N210" s="588">
        <f t="shared" si="74"/>
        <v>96.966666666666654</v>
      </c>
      <c r="O210" s="588">
        <f t="shared" si="75"/>
        <v>80.833333333333329</v>
      </c>
      <c r="P210" s="583"/>
      <c r="Q210" s="588">
        <f t="shared" si="66"/>
        <v>1.7666666666666657</v>
      </c>
      <c r="R210" s="588">
        <f t="shared" si="67"/>
        <v>3.9666666666666544</v>
      </c>
      <c r="S210" s="588">
        <f t="shared" si="68"/>
        <v>2.0333333333333314</v>
      </c>
      <c r="T210" s="588"/>
      <c r="U210" s="588">
        <f t="shared" si="76"/>
        <v>104.65714285714286</v>
      </c>
      <c r="V210" s="588">
        <f t="shared" si="77"/>
        <v>90.8</v>
      </c>
      <c r="W210" s="588">
        <f t="shared" si="78"/>
        <v>77.857142857142861</v>
      </c>
      <c r="X210" s="583"/>
      <c r="Y210" s="588">
        <f t="shared" si="79"/>
        <v>1.0571428571428498</v>
      </c>
      <c r="Z210" s="588">
        <f t="shared" si="80"/>
        <v>3</v>
      </c>
      <c r="AA210" s="589">
        <f t="shared" si="81"/>
        <v>1.3142857142857309</v>
      </c>
    </row>
    <row r="211" spans="1:27" s="500" customFormat="1">
      <c r="A211" s="482"/>
      <c r="B211" s="483"/>
      <c r="C211" s="484">
        <v>4</v>
      </c>
      <c r="D211" s="1193">
        <v>107</v>
      </c>
      <c r="E211" s="1193">
        <v>99.2</v>
      </c>
      <c r="F211" s="1193">
        <v>81.2</v>
      </c>
      <c r="G211" s="587"/>
      <c r="H211" s="587">
        <v>100</v>
      </c>
      <c r="I211" s="583">
        <f t="shared" si="57"/>
        <v>-0.29999999999999716</v>
      </c>
      <c r="J211" s="583">
        <f t="shared" si="58"/>
        <v>-0.39999999999999147</v>
      </c>
      <c r="K211" s="583">
        <f t="shared" si="59"/>
        <v>-1.5999999999999943</v>
      </c>
      <c r="L211" s="588"/>
      <c r="M211" s="588">
        <f t="shared" si="73"/>
        <v>106.66666666666667</v>
      </c>
      <c r="N211" s="588">
        <f t="shared" si="74"/>
        <v>98.100000000000009</v>
      </c>
      <c r="O211" s="588">
        <f t="shared" si="75"/>
        <v>81.666666666666671</v>
      </c>
      <c r="P211" s="583"/>
      <c r="Q211" s="588">
        <f t="shared" si="66"/>
        <v>0.36666666666666003</v>
      </c>
      <c r="R211" s="588">
        <f t="shared" si="67"/>
        <v>1.1333333333333542</v>
      </c>
      <c r="S211" s="588">
        <f t="shared" si="68"/>
        <v>0.83333333333334281</v>
      </c>
      <c r="T211" s="588"/>
      <c r="U211" s="588">
        <f t="shared" si="76"/>
        <v>105.04285714285713</v>
      </c>
      <c r="V211" s="588">
        <f t="shared" si="77"/>
        <v>93.200000000000017</v>
      </c>
      <c r="W211" s="588">
        <f t="shared" si="78"/>
        <v>79.05714285714285</v>
      </c>
      <c r="X211" s="583"/>
      <c r="Y211" s="588">
        <f t="shared" si="79"/>
        <v>0.38571428571427191</v>
      </c>
      <c r="Z211" s="588">
        <f t="shared" si="80"/>
        <v>2.4000000000000199</v>
      </c>
      <c r="AA211" s="589">
        <f t="shared" si="81"/>
        <v>1.1999999999999886</v>
      </c>
    </row>
    <row r="212" spans="1:27" s="500" customFormat="1">
      <c r="A212" s="482"/>
      <c r="B212" s="483"/>
      <c r="C212" s="484">
        <v>5</v>
      </c>
      <c r="D212" s="1193">
        <v>111</v>
      </c>
      <c r="E212" s="1194">
        <v>103</v>
      </c>
      <c r="F212" s="1194">
        <v>80.5</v>
      </c>
      <c r="G212" s="587"/>
      <c r="H212" s="587">
        <v>100</v>
      </c>
      <c r="I212" s="583">
        <f t="shared" si="57"/>
        <v>4</v>
      </c>
      <c r="J212" s="583">
        <f t="shared" si="58"/>
        <v>3.7999999999999972</v>
      </c>
      <c r="K212" s="583">
        <f t="shared" si="59"/>
        <v>-0.70000000000000284</v>
      </c>
      <c r="L212" s="588"/>
      <c r="M212" s="588">
        <f t="shared" si="73"/>
        <v>108.43333333333334</v>
      </c>
      <c r="N212" s="588">
        <f t="shared" si="74"/>
        <v>100.60000000000001</v>
      </c>
      <c r="O212" s="588">
        <f t="shared" si="75"/>
        <v>81.5</v>
      </c>
      <c r="P212" s="583"/>
      <c r="Q212" s="588">
        <f t="shared" si="66"/>
        <v>1.7666666666666657</v>
      </c>
      <c r="R212" s="588">
        <f t="shared" si="67"/>
        <v>2.5</v>
      </c>
      <c r="S212" s="588">
        <f t="shared" si="68"/>
        <v>-0.1666666666666714</v>
      </c>
      <c r="T212" s="588"/>
      <c r="U212" s="588">
        <f t="shared" si="76"/>
        <v>105.98571428571428</v>
      </c>
      <c r="V212" s="588">
        <f t="shared" si="77"/>
        <v>95.485714285714295</v>
      </c>
      <c r="W212" s="588">
        <f t="shared" si="78"/>
        <v>79.571428571428569</v>
      </c>
      <c r="X212" s="583"/>
      <c r="Y212" s="588">
        <f t="shared" si="79"/>
        <v>0.94285714285715017</v>
      </c>
      <c r="Z212" s="588">
        <f t="shared" si="80"/>
        <v>2.2857142857142776</v>
      </c>
      <c r="AA212" s="589">
        <f t="shared" si="81"/>
        <v>0.51428571428571956</v>
      </c>
    </row>
    <row r="213" spans="1:27" s="500" customFormat="1">
      <c r="A213" s="482"/>
      <c r="B213" s="483"/>
      <c r="C213" s="484">
        <v>6</v>
      </c>
      <c r="D213" s="1194">
        <v>116.8</v>
      </c>
      <c r="E213" s="1194">
        <v>101.6</v>
      </c>
      <c r="F213" s="1194">
        <v>81.900000000000006</v>
      </c>
      <c r="G213" s="587"/>
      <c r="H213" s="587">
        <v>100</v>
      </c>
      <c r="I213" s="583">
        <f t="shared" si="57"/>
        <v>5.7999999999999972</v>
      </c>
      <c r="J213" s="583">
        <f t="shared" si="58"/>
        <v>-1.4000000000000057</v>
      </c>
      <c r="K213" s="583">
        <f t="shared" si="59"/>
        <v>1.4000000000000057</v>
      </c>
      <c r="L213" s="588"/>
      <c r="M213" s="588">
        <f t="shared" si="73"/>
        <v>111.60000000000001</v>
      </c>
      <c r="N213" s="588">
        <f t="shared" si="74"/>
        <v>101.26666666666665</v>
      </c>
      <c r="O213" s="588">
        <f t="shared" si="75"/>
        <v>81.2</v>
      </c>
      <c r="P213" s="583"/>
      <c r="Q213" s="588">
        <f t="shared" si="66"/>
        <v>3.1666666666666714</v>
      </c>
      <c r="R213" s="588">
        <f t="shared" si="67"/>
        <v>0.66666666666664298</v>
      </c>
      <c r="S213" s="588">
        <f t="shared" si="68"/>
        <v>-0.29999999999999716</v>
      </c>
      <c r="T213" s="588"/>
      <c r="U213" s="588">
        <f t="shared" si="76"/>
        <v>107.95714285714287</v>
      </c>
      <c r="V213" s="588">
        <f t="shared" si="77"/>
        <v>97.48571428571428</v>
      </c>
      <c r="W213" s="588">
        <f t="shared" si="78"/>
        <v>80.399999999999991</v>
      </c>
      <c r="X213" s="583"/>
      <c r="Y213" s="588">
        <f t="shared" si="79"/>
        <v>1.9714285714285893</v>
      </c>
      <c r="Z213" s="588">
        <f t="shared" si="80"/>
        <v>1.9999999999999858</v>
      </c>
      <c r="AA213" s="589">
        <f t="shared" si="81"/>
        <v>0.82857142857142208</v>
      </c>
    </row>
    <row r="214" spans="1:27" s="500" customFormat="1">
      <c r="A214" s="482"/>
      <c r="B214" s="483"/>
      <c r="C214" s="484">
        <v>7</v>
      </c>
      <c r="D214" s="1194">
        <v>113</v>
      </c>
      <c r="E214" s="1194">
        <v>103.6</v>
      </c>
      <c r="F214" s="1194">
        <v>86.5</v>
      </c>
      <c r="G214" s="587"/>
      <c r="H214" s="587">
        <v>100</v>
      </c>
      <c r="I214" s="583">
        <f t="shared" si="57"/>
        <v>-3.7999999999999972</v>
      </c>
      <c r="J214" s="583">
        <f t="shared" si="58"/>
        <v>2</v>
      </c>
      <c r="K214" s="583">
        <f t="shared" si="59"/>
        <v>4.5999999999999943</v>
      </c>
      <c r="L214" s="588"/>
      <c r="M214" s="588">
        <f t="shared" si="73"/>
        <v>113.60000000000001</v>
      </c>
      <c r="N214" s="588">
        <f t="shared" si="74"/>
        <v>102.73333333333333</v>
      </c>
      <c r="O214" s="588">
        <f t="shared" si="75"/>
        <v>82.966666666666669</v>
      </c>
      <c r="P214" s="583"/>
      <c r="Q214" s="588">
        <f t="shared" si="66"/>
        <v>2</v>
      </c>
      <c r="R214" s="588">
        <f t="shared" si="67"/>
        <v>1.4666666666666828</v>
      </c>
      <c r="S214" s="588">
        <f t="shared" si="68"/>
        <v>1.7666666666666657</v>
      </c>
      <c r="T214" s="588"/>
      <c r="U214" s="588">
        <f t="shared" si="76"/>
        <v>109.52857142857144</v>
      </c>
      <c r="V214" s="588">
        <f t="shared" si="77"/>
        <v>99.757142857142853</v>
      </c>
      <c r="W214" s="588">
        <f t="shared" si="78"/>
        <v>81.8</v>
      </c>
      <c r="X214" s="583"/>
      <c r="Y214" s="588">
        <f t="shared" si="79"/>
        <v>1.5714285714285694</v>
      </c>
      <c r="Z214" s="588">
        <f t="shared" si="80"/>
        <v>2.2714285714285722</v>
      </c>
      <c r="AA214" s="589">
        <f t="shared" si="81"/>
        <v>1.4000000000000057</v>
      </c>
    </row>
    <row r="215" spans="1:27" s="500" customFormat="1">
      <c r="A215" s="482"/>
      <c r="B215" s="483"/>
      <c r="C215" s="484">
        <v>8</v>
      </c>
      <c r="D215" s="1194">
        <v>116.3</v>
      </c>
      <c r="E215" s="1194">
        <v>107.2</v>
      </c>
      <c r="F215" s="1194">
        <v>84.1</v>
      </c>
      <c r="G215" s="587"/>
      <c r="H215" s="587">
        <v>100</v>
      </c>
      <c r="I215" s="583">
        <f t="shared" si="57"/>
        <v>3.2999999999999972</v>
      </c>
      <c r="J215" s="583">
        <f t="shared" si="58"/>
        <v>3.6000000000000085</v>
      </c>
      <c r="K215" s="583">
        <f t="shared" si="59"/>
        <v>-2.4000000000000057</v>
      </c>
      <c r="L215" s="588"/>
      <c r="M215" s="588">
        <f t="shared" si="73"/>
        <v>115.36666666666667</v>
      </c>
      <c r="N215" s="588">
        <f t="shared" si="74"/>
        <v>104.13333333333333</v>
      </c>
      <c r="O215" s="588">
        <f t="shared" si="75"/>
        <v>84.166666666666671</v>
      </c>
      <c r="P215" s="583"/>
      <c r="Q215" s="588">
        <f t="shared" si="66"/>
        <v>1.7666666666666657</v>
      </c>
      <c r="R215" s="588">
        <f t="shared" si="67"/>
        <v>1.3999999999999915</v>
      </c>
      <c r="S215" s="588">
        <f t="shared" si="68"/>
        <v>1.2000000000000028</v>
      </c>
      <c r="T215" s="588"/>
      <c r="U215" s="588">
        <f t="shared" si="76"/>
        <v>111.01428571428571</v>
      </c>
      <c r="V215" s="588">
        <f t="shared" si="77"/>
        <v>101.38571428571429</v>
      </c>
      <c r="W215" s="588">
        <f t="shared" si="78"/>
        <v>82.571428571428569</v>
      </c>
      <c r="X215" s="583"/>
      <c r="Y215" s="588">
        <f t="shared" si="79"/>
        <v>1.4857142857142662</v>
      </c>
      <c r="Z215" s="588">
        <f t="shared" si="80"/>
        <v>1.6285714285714334</v>
      </c>
      <c r="AA215" s="589">
        <f t="shared" si="81"/>
        <v>0.77142857142857224</v>
      </c>
    </row>
    <row r="216" spans="1:27" s="500" customFormat="1">
      <c r="A216" s="482"/>
      <c r="B216" s="483"/>
      <c r="C216" s="484">
        <v>9</v>
      </c>
      <c r="D216" s="1194">
        <v>119.8</v>
      </c>
      <c r="E216" s="1194">
        <v>107.9</v>
      </c>
      <c r="F216" s="1194">
        <v>86.3</v>
      </c>
      <c r="G216" s="587"/>
      <c r="H216" s="587">
        <v>100</v>
      </c>
      <c r="I216" s="583">
        <f t="shared" si="57"/>
        <v>3.5</v>
      </c>
      <c r="J216" s="583">
        <f t="shared" si="58"/>
        <v>0.70000000000000284</v>
      </c>
      <c r="K216" s="583">
        <f t="shared" si="59"/>
        <v>2.2000000000000028</v>
      </c>
      <c r="L216" s="588"/>
      <c r="M216" s="588">
        <f t="shared" si="73"/>
        <v>116.36666666666667</v>
      </c>
      <c r="N216" s="588">
        <f t="shared" si="74"/>
        <v>106.23333333333335</v>
      </c>
      <c r="O216" s="588">
        <f t="shared" si="75"/>
        <v>85.633333333333326</v>
      </c>
      <c r="P216" s="583"/>
      <c r="Q216" s="588">
        <f t="shared" si="66"/>
        <v>1</v>
      </c>
      <c r="R216" s="588">
        <f t="shared" si="67"/>
        <v>2.1000000000000227</v>
      </c>
      <c r="S216" s="588">
        <f t="shared" si="68"/>
        <v>1.4666666666666544</v>
      </c>
      <c r="T216" s="588"/>
      <c r="U216" s="588">
        <f t="shared" si="76"/>
        <v>113.02857142857142</v>
      </c>
      <c r="V216" s="588">
        <f t="shared" si="77"/>
        <v>103.15714285714286</v>
      </c>
      <c r="W216" s="588">
        <f t="shared" si="78"/>
        <v>83.328571428571422</v>
      </c>
      <c r="X216" s="583"/>
      <c r="Y216" s="588">
        <f t="shared" si="79"/>
        <v>2.0142857142857196</v>
      </c>
      <c r="Z216" s="588">
        <f t="shared" si="80"/>
        <v>1.7714285714285722</v>
      </c>
      <c r="AA216" s="589">
        <f t="shared" si="81"/>
        <v>0.75714285714285268</v>
      </c>
    </row>
    <row r="217" spans="1:27" s="500" customFormat="1">
      <c r="A217" s="482"/>
      <c r="B217" s="483"/>
      <c r="C217" s="484">
        <v>10</v>
      </c>
      <c r="D217" s="1194">
        <v>112.7</v>
      </c>
      <c r="E217" s="1194">
        <v>108.7</v>
      </c>
      <c r="F217" s="1193">
        <v>88.1</v>
      </c>
      <c r="G217" s="587"/>
      <c r="H217" s="587">
        <v>100</v>
      </c>
      <c r="I217" s="583">
        <f t="shared" si="57"/>
        <v>-7.0999999999999943</v>
      </c>
      <c r="J217" s="583">
        <f t="shared" si="58"/>
        <v>0.79999999999999716</v>
      </c>
      <c r="K217" s="583">
        <f t="shared" si="59"/>
        <v>1.7999999999999972</v>
      </c>
      <c r="L217" s="588"/>
      <c r="M217" s="588">
        <f t="shared" si="73"/>
        <v>116.26666666666667</v>
      </c>
      <c r="N217" s="588">
        <f t="shared" si="74"/>
        <v>107.93333333333334</v>
      </c>
      <c r="O217" s="588">
        <f t="shared" si="75"/>
        <v>86.166666666666671</v>
      </c>
      <c r="P217" s="583"/>
      <c r="Q217" s="588">
        <f t="shared" si="66"/>
        <v>-0.10000000000000853</v>
      </c>
      <c r="R217" s="588">
        <f t="shared" si="67"/>
        <v>1.6999999999999886</v>
      </c>
      <c r="S217" s="588">
        <f t="shared" si="68"/>
        <v>0.53333333333334565</v>
      </c>
      <c r="T217" s="588"/>
      <c r="U217" s="588">
        <f t="shared" si="76"/>
        <v>113.8</v>
      </c>
      <c r="V217" s="588">
        <f t="shared" si="77"/>
        <v>104.45714285714287</v>
      </c>
      <c r="W217" s="588">
        <f t="shared" si="78"/>
        <v>84.085714285714289</v>
      </c>
      <c r="X217" s="583"/>
      <c r="Y217" s="588">
        <f t="shared" si="79"/>
        <v>0.77142857142857224</v>
      </c>
      <c r="Z217" s="588">
        <f t="shared" si="80"/>
        <v>1.3000000000000114</v>
      </c>
      <c r="AA217" s="589">
        <f t="shared" si="81"/>
        <v>0.75714285714286689</v>
      </c>
    </row>
    <row r="218" spans="1:27" s="500" customFormat="1">
      <c r="A218" s="482"/>
      <c r="B218" s="483"/>
      <c r="C218" s="484">
        <v>11</v>
      </c>
      <c r="D218" s="1194">
        <v>113.5</v>
      </c>
      <c r="E218" s="1194">
        <v>113.1</v>
      </c>
      <c r="F218" s="1194">
        <v>91.1</v>
      </c>
      <c r="G218" s="587"/>
      <c r="H218" s="587">
        <v>100</v>
      </c>
      <c r="I218" s="583">
        <f t="shared" si="57"/>
        <v>0.79999999999999716</v>
      </c>
      <c r="J218" s="583">
        <f t="shared" si="58"/>
        <v>4.3999999999999915</v>
      </c>
      <c r="K218" s="583">
        <f t="shared" si="59"/>
        <v>3</v>
      </c>
      <c r="L218" s="588"/>
      <c r="M218" s="588">
        <f t="shared" si="73"/>
        <v>115.33333333333333</v>
      </c>
      <c r="N218" s="588">
        <f t="shared" si="74"/>
        <v>109.90000000000002</v>
      </c>
      <c r="O218" s="588">
        <f t="shared" si="75"/>
        <v>88.5</v>
      </c>
      <c r="P218" s="583"/>
      <c r="Q218" s="588">
        <f t="shared" si="66"/>
        <v>-0.93333333333333712</v>
      </c>
      <c r="R218" s="588">
        <f t="shared" si="67"/>
        <v>1.9666666666666828</v>
      </c>
      <c r="S218" s="588">
        <f t="shared" si="68"/>
        <v>2.3333333333333286</v>
      </c>
      <c r="T218" s="588"/>
      <c r="U218" s="588">
        <f t="shared" si="76"/>
        <v>114.72857142857143</v>
      </c>
      <c r="V218" s="588">
        <f t="shared" si="77"/>
        <v>106.44285714285715</v>
      </c>
      <c r="W218" s="588">
        <f t="shared" si="78"/>
        <v>85.5</v>
      </c>
      <c r="X218" s="583"/>
      <c r="Y218" s="588">
        <f t="shared" si="79"/>
        <v>0.9285714285714306</v>
      </c>
      <c r="Z218" s="588">
        <f t="shared" si="80"/>
        <v>1.9857142857142804</v>
      </c>
      <c r="AA218" s="589">
        <f t="shared" si="81"/>
        <v>1.414285714285711</v>
      </c>
    </row>
    <row r="219" spans="1:27" s="500" customFormat="1" ht="14.25" customHeight="1">
      <c r="A219" s="486"/>
      <c r="B219" s="487"/>
      <c r="C219" s="488">
        <v>12</v>
      </c>
      <c r="D219" s="1195">
        <v>116.6</v>
      </c>
      <c r="E219" s="1195">
        <v>117.2</v>
      </c>
      <c r="F219" s="1195">
        <v>94.2</v>
      </c>
      <c r="G219" s="591"/>
      <c r="H219" s="628">
        <v>100</v>
      </c>
      <c r="I219" s="592">
        <f t="shared" si="57"/>
        <v>3.0999999999999943</v>
      </c>
      <c r="J219" s="592">
        <f t="shared" si="58"/>
        <v>4.1000000000000085</v>
      </c>
      <c r="K219" s="592">
        <f t="shared" si="59"/>
        <v>3.1000000000000085</v>
      </c>
      <c r="L219" s="593"/>
      <c r="M219" s="593">
        <f t="shared" si="73"/>
        <v>114.26666666666665</v>
      </c>
      <c r="N219" s="593">
        <f t="shared" si="74"/>
        <v>113</v>
      </c>
      <c r="O219" s="593">
        <f t="shared" si="75"/>
        <v>91.133333333333326</v>
      </c>
      <c r="P219" s="592"/>
      <c r="Q219" s="588">
        <f t="shared" si="66"/>
        <v>-1.0666666666666771</v>
      </c>
      <c r="R219" s="588">
        <f t="shared" si="67"/>
        <v>3.0999999999999801</v>
      </c>
      <c r="S219" s="588">
        <f t="shared" si="68"/>
        <v>2.6333333333333258</v>
      </c>
      <c r="T219" s="593"/>
      <c r="U219" s="593">
        <f t="shared" si="76"/>
        <v>115.52857142857144</v>
      </c>
      <c r="V219" s="593">
        <f t="shared" si="77"/>
        <v>108.47142857142858</v>
      </c>
      <c r="W219" s="593">
        <f t="shared" si="78"/>
        <v>87.45714285714287</v>
      </c>
      <c r="X219" s="592"/>
      <c r="Y219" s="593">
        <f t="shared" si="79"/>
        <v>0.80000000000001137</v>
      </c>
      <c r="Z219" s="593">
        <f t="shared" si="80"/>
        <v>2.0285714285714249</v>
      </c>
      <c r="AA219" s="594">
        <f t="shared" si="81"/>
        <v>1.9571428571428697</v>
      </c>
    </row>
    <row r="220" spans="1:27" s="500" customFormat="1">
      <c r="A220" s="478">
        <v>23</v>
      </c>
      <c r="B220" s="989" t="s">
        <v>664</v>
      </c>
      <c r="C220" s="480">
        <v>1</v>
      </c>
      <c r="D220" s="1192">
        <v>114.2</v>
      </c>
      <c r="E220" s="1192">
        <v>113.3</v>
      </c>
      <c r="F220" s="1192">
        <v>93.2</v>
      </c>
      <c r="G220" s="581"/>
      <c r="H220" s="601">
        <v>100</v>
      </c>
      <c r="I220" s="582">
        <f t="shared" si="57"/>
        <v>-2.3999999999999915</v>
      </c>
      <c r="J220" s="582">
        <f t="shared" si="58"/>
        <v>-3.9000000000000057</v>
      </c>
      <c r="K220" s="582">
        <f t="shared" si="59"/>
        <v>-1</v>
      </c>
      <c r="L220" s="584"/>
      <c r="M220" s="584">
        <f t="shared" si="73"/>
        <v>114.76666666666667</v>
      </c>
      <c r="N220" s="584">
        <f t="shared" si="74"/>
        <v>114.53333333333335</v>
      </c>
      <c r="O220" s="584">
        <f t="shared" si="75"/>
        <v>92.833333333333329</v>
      </c>
      <c r="P220" s="582"/>
      <c r="Q220" s="588">
        <f t="shared" si="66"/>
        <v>0.50000000000001421</v>
      </c>
      <c r="R220" s="588">
        <f t="shared" si="67"/>
        <v>1.5333333333333456</v>
      </c>
      <c r="S220" s="588">
        <f t="shared" si="68"/>
        <v>1.7000000000000028</v>
      </c>
      <c r="T220" s="584"/>
      <c r="U220" s="584">
        <f t="shared" si="76"/>
        <v>115.15714285714286</v>
      </c>
      <c r="V220" s="584">
        <f t="shared" si="77"/>
        <v>110.14285714285714</v>
      </c>
      <c r="W220" s="584">
        <f t="shared" si="78"/>
        <v>89.071428571428584</v>
      </c>
      <c r="X220" s="582"/>
      <c r="Y220" s="584">
        <f>U220-U219</f>
        <v>-0.37142857142858077</v>
      </c>
      <c r="Z220" s="584">
        <f>V220-V219</f>
        <v>1.6714285714285637</v>
      </c>
      <c r="AA220" s="585">
        <f>W220-W219</f>
        <v>1.6142857142857139</v>
      </c>
    </row>
    <row r="221" spans="1:27" s="500" customFormat="1">
      <c r="A221" s="482"/>
      <c r="B221" s="483"/>
      <c r="C221" s="484">
        <v>2</v>
      </c>
      <c r="D221" s="1193">
        <v>114.3</v>
      </c>
      <c r="E221" s="1193">
        <v>117.3</v>
      </c>
      <c r="F221" s="1193">
        <v>93.1</v>
      </c>
      <c r="G221" s="587"/>
      <c r="H221" s="587">
        <v>100</v>
      </c>
      <c r="I221" s="583">
        <f t="shared" si="57"/>
        <v>9.9999999999994316E-2</v>
      </c>
      <c r="J221" s="583">
        <f t="shared" si="58"/>
        <v>4</v>
      </c>
      <c r="K221" s="583">
        <f t="shared" si="59"/>
        <v>-0.10000000000000853</v>
      </c>
      <c r="L221" s="588"/>
      <c r="M221" s="588">
        <f t="shared" si="73"/>
        <v>115.03333333333335</v>
      </c>
      <c r="N221" s="588">
        <f t="shared" si="74"/>
        <v>115.93333333333334</v>
      </c>
      <c r="O221" s="588">
        <f t="shared" si="75"/>
        <v>93.5</v>
      </c>
      <c r="P221" s="583"/>
      <c r="Q221" s="588">
        <f t="shared" si="66"/>
        <v>0.26666666666667993</v>
      </c>
      <c r="R221" s="588">
        <f t="shared" si="67"/>
        <v>1.3999999999999915</v>
      </c>
      <c r="S221" s="588">
        <f t="shared" si="68"/>
        <v>0.6666666666666714</v>
      </c>
      <c r="T221" s="588"/>
      <c r="U221" s="588">
        <f t="shared" si="76"/>
        <v>115.34285714285714</v>
      </c>
      <c r="V221" s="588">
        <f t="shared" si="77"/>
        <v>112.1</v>
      </c>
      <c r="W221" s="588">
        <f t="shared" si="78"/>
        <v>90.01428571428572</v>
      </c>
      <c r="X221" s="583"/>
      <c r="Y221" s="588">
        <f t="shared" ref="Y221:Y231" si="82">U221-U220</f>
        <v>0.18571428571428328</v>
      </c>
      <c r="Z221" s="588">
        <f t="shared" ref="Z221:Z231" si="83">V221-V220</f>
        <v>1.9571428571428555</v>
      </c>
      <c r="AA221" s="589">
        <f t="shared" ref="AA221:AA231" si="84">W221-W220</f>
        <v>0.94285714285713595</v>
      </c>
    </row>
    <row r="222" spans="1:27" s="500" customFormat="1">
      <c r="A222" s="482"/>
      <c r="B222" s="483"/>
      <c r="C222" s="484">
        <v>3</v>
      </c>
      <c r="D222" s="1193">
        <v>83.7</v>
      </c>
      <c r="E222" s="1193">
        <v>71.400000000000006</v>
      </c>
      <c r="F222" s="1193">
        <v>78.099999999999994</v>
      </c>
      <c r="G222" s="587"/>
      <c r="H222" s="587">
        <v>100</v>
      </c>
      <c r="I222" s="583">
        <f t="shared" si="57"/>
        <v>-30.599999999999994</v>
      </c>
      <c r="J222" s="583">
        <f t="shared" si="58"/>
        <v>-45.899999999999991</v>
      </c>
      <c r="K222" s="583">
        <f t="shared" si="59"/>
        <v>-15</v>
      </c>
      <c r="L222" s="588"/>
      <c r="M222" s="588">
        <f t="shared" si="73"/>
        <v>104.06666666666666</v>
      </c>
      <c r="N222" s="588">
        <f t="shared" si="74"/>
        <v>100.66666666666667</v>
      </c>
      <c r="O222" s="588">
        <f t="shared" si="75"/>
        <v>88.133333333333326</v>
      </c>
      <c r="P222" s="583"/>
      <c r="Q222" s="588">
        <f t="shared" si="66"/>
        <v>-10.966666666666683</v>
      </c>
      <c r="R222" s="588">
        <f t="shared" si="67"/>
        <v>-15.266666666666666</v>
      </c>
      <c r="S222" s="588">
        <f t="shared" si="68"/>
        <v>-5.3666666666666742</v>
      </c>
      <c r="T222" s="588"/>
      <c r="U222" s="588">
        <f t="shared" si="76"/>
        <v>110.6857142857143</v>
      </c>
      <c r="V222" s="588">
        <f t="shared" si="77"/>
        <v>106.98571428571428</v>
      </c>
      <c r="W222" s="588">
        <f t="shared" si="78"/>
        <v>89.157142857142858</v>
      </c>
      <c r="X222" s="583"/>
      <c r="Y222" s="588">
        <f t="shared" si="82"/>
        <v>-4.6571428571428442</v>
      </c>
      <c r="Z222" s="588">
        <f t="shared" si="83"/>
        <v>-5.1142857142857139</v>
      </c>
      <c r="AA222" s="589">
        <f t="shared" si="84"/>
        <v>-0.8571428571428612</v>
      </c>
    </row>
    <row r="223" spans="1:27" s="500" customFormat="1">
      <c r="A223" s="482"/>
      <c r="B223" s="483"/>
      <c r="C223" s="484">
        <v>4</v>
      </c>
      <c r="D223" s="1193">
        <v>88.7</v>
      </c>
      <c r="E223" s="1193">
        <v>83.1</v>
      </c>
      <c r="F223" s="1193">
        <v>84.4</v>
      </c>
      <c r="G223" s="587"/>
      <c r="H223" s="587">
        <v>100</v>
      </c>
      <c r="I223" s="583">
        <f t="shared" si="57"/>
        <v>5</v>
      </c>
      <c r="J223" s="583">
        <f t="shared" si="58"/>
        <v>11.699999999999989</v>
      </c>
      <c r="K223" s="583">
        <f t="shared" si="59"/>
        <v>6.3000000000000114</v>
      </c>
      <c r="L223" s="588"/>
      <c r="M223" s="588">
        <f t="shared" si="73"/>
        <v>95.566666666666663</v>
      </c>
      <c r="N223" s="588">
        <f t="shared" si="74"/>
        <v>90.59999999999998</v>
      </c>
      <c r="O223" s="588">
        <f t="shared" si="75"/>
        <v>85.2</v>
      </c>
      <c r="P223" s="583"/>
      <c r="Q223" s="588">
        <f t="shared" si="66"/>
        <v>-8.5</v>
      </c>
      <c r="R223" s="588">
        <f t="shared" si="67"/>
        <v>-10.066666666666691</v>
      </c>
      <c r="S223" s="588">
        <f t="shared" si="68"/>
        <v>-2.9333333333333229</v>
      </c>
      <c r="T223" s="588"/>
      <c r="U223" s="588">
        <f t="shared" si="76"/>
        <v>106.24285714285715</v>
      </c>
      <c r="V223" s="588">
        <f t="shared" si="77"/>
        <v>103.44285714285715</v>
      </c>
      <c r="W223" s="588">
        <f t="shared" si="78"/>
        <v>88.885714285714272</v>
      </c>
      <c r="X223" s="583"/>
      <c r="Y223" s="588">
        <f t="shared" si="82"/>
        <v>-4.4428571428571502</v>
      </c>
      <c r="Z223" s="588">
        <f t="shared" si="83"/>
        <v>-3.5428571428571303</v>
      </c>
      <c r="AA223" s="589">
        <f t="shared" si="84"/>
        <v>-0.27142857142858645</v>
      </c>
    </row>
    <row r="224" spans="1:27" s="500" customFormat="1">
      <c r="A224" s="482"/>
      <c r="B224" s="483"/>
      <c r="C224" s="484">
        <v>5</v>
      </c>
      <c r="D224" s="1193">
        <v>96.5</v>
      </c>
      <c r="E224" s="1194">
        <v>96.4</v>
      </c>
      <c r="F224" s="1194">
        <v>89</v>
      </c>
      <c r="G224" s="587"/>
      <c r="H224" s="587">
        <v>100</v>
      </c>
      <c r="I224" s="583">
        <f t="shared" si="57"/>
        <v>7.7999999999999972</v>
      </c>
      <c r="J224" s="583">
        <f t="shared" si="58"/>
        <v>13.300000000000011</v>
      </c>
      <c r="K224" s="583">
        <f t="shared" si="59"/>
        <v>4.5999999999999943</v>
      </c>
      <c r="L224" s="588"/>
      <c r="M224" s="588">
        <f t="shared" si="73"/>
        <v>89.633333333333326</v>
      </c>
      <c r="N224" s="588">
        <f t="shared" si="74"/>
        <v>83.63333333333334</v>
      </c>
      <c r="O224" s="588">
        <f t="shared" si="75"/>
        <v>83.833333333333329</v>
      </c>
      <c r="P224" s="583"/>
      <c r="Q224" s="588">
        <f t="shared" si="66"/>
        <v>-5.9333333333333371</v>
      </c>
      <c r="R224" s="588">
        <f t="shared" si="67"/>
        <v>-6.9666666666666401</v>
      </c>
      <c r="S224" s="588">
        <f t="shared" si="68"/>
        <v>-1.3666666666666742</v>
      </c>
      <c r="T224" s="588"/>
      <c r="U224" s="588">
        <f t="shared" si="76"/>
        <v>103.92857142857144</v>
      </c>
      <c r="V224" s="588">
        <f t="shared" si="77"/>
        <v>101.6857142857143</v>
      </c>
      <c r="W224" s="588">
        <f t="shared" si="78"/>
        <v>89.01428571428572</v>
      </c>
      <c r="X224" s="583"/>
      <c r="Y224" s="588">
        <f t="shared" si="82"/>
        <v>-2.3142857142857025</v>
      </c>
      <c r="Z224" s="588">
        <f t="shared" si="83"/>
        <v>-1.7571428571428527</v>
      </c>
      <c r="AA224" s="589">
        <f t="shared" si="84"/>
        <v>0.12857142857144765</v>
      </c>
    </row>
    <row r="225" spans="1:27" s="500" customFormat="1">
      <c r="A225" s="482"/>
      <c r="B225" s="483"/>
      <c r="C225" s="484">
        <v>6</v>
      </c>
      <c r="D225" s="1194">
        <v>102.1</v>
      </c>
      <c r="E225" s="1193">
        <v>99.9</v>
      </c>
      <c r="F225" s="1194">
        <v>86.8</v>
      </c>
      <c r="G225" s="587"/>
      <c r="H225" s="587">
        <v>100</v>
      </c>
      <c r="I225" s="583">
        <f t="shared" si="57"/>
        <v>5.5999999999999943</v>
      </c>
      <c r="J225" s="583">
        <f t="shared" si="58"/>
        <v>3.5</v>
      </c>
      <c r="K225" s="583">
        <f t="shared" si="59"/>
        <v>-2.2000000000000028</v>
      </c>
      <c r="L225" s="588"/>
      <c r="M225" s="588">
        <f t="shared" si="73"/>
        <v>95.766666666666652</v>
      </c>
      <c r="N225" s="588">
        <f t="shared" si="74"/>
        <v>93.133333333333326</v>
      </c>
      <c r="O225" s="588">
        <f t="shared" si="75"/>
        <v>86.733333333333334</v>
      </c>
      <c r="P225" s="583"/>
      <c r="Q225" s="588">
        <f t="shared" si="66"/>
        <v>6.1333333333333258</v>
      </c>
      <c r="R225" s="588">
        <f t="shared" si="67"/>
        <v>9.4999999999999858</v>
      </c>
      <c r="S225" s="588">
        <f t="shared" si="68"/>
        <v>2.9000000000000057</v>
      </c>
      <c r="T225" s="588"/>
      <c r="U225" s="588">
        <f t="shared" si="76"/>
        <v>102.3</v>
      </c>
      <c r="V225" s="588">
        <f t="shared" si="77"/>
        <v>99.8</v>
      </c>
      <c r="W225" s="588">
        <f t="shared" si="78"/>
        <v>88.399999999999991</v>
      </c>
      <c r="X225" s="583"/>
      <c r="Y225" s="588">
        <f t="shared" si="82"/>
        <v>-1.6285714285714477</v>
      </c>
      <c r="Z225" s="588">
        <f t="shared" si="83"/>
        <v>-1.8857142857143003</v>
      </c>
      <c r="AA225" s="589">
        <f t="shared" si="84"/>
        <v>-0.61428571428572809</v>
      </c>
    </row>
    <row r="226" spans="1:27" s="500" customFormat="1">
      <c r="A226" s="482"/>
      <c r="B226" s="483"/>
      <c r="C226" s="484">
        <v>7</v>
      </c>
      <c r="D226" s="1194">
        <v>110.4</v>
      </c>
      <c r="E226" s="1196">
        <v>104.7</v>
      </c>
      <c r="F226" s="1194">
        <v>90.8</v>
      </c>
      <c r="G226" s="587"/>
      <c r="H226" s="587">
        <v>100</v>
      </c>
      <c r="I226" s="583">
        <f t="shared" si="57"/>
        <v>8.3000000000000114</v>
      </c>
      <c r="J226" s="583">
        <f t="shared" si="58"/>
        <v>4.7999999999999972</v>
      </c>
      <c r="K226" s="583">
        <f t="shared" si="59"/>
        <v>4</v>
      </c>
      <c r="L226" s="588"/>
      <c r="M226" s="588">
        <f t="shared" si="73"/>
        <v>103</v>
      </c>
      <c r="N226" s="588">
        <f t="shared" si="74"/>
        <v>100.33333333333333</v>
      </c>
      <c r="O226" s="588">
        <f t="shared" si="75"/>
        <v>88.866666666666674</v>
      </c>
      <c r="P226" s="583"/>
      <c r="Q226" s="588">
        <f t="shared" si="66"/>
        <v>7.2333333333333485</v>
      </c>
      <c r="R226" s="588">
        <f t="shared" si="67"/>
        <v>7.2000000000000028</v>
      </c>
      <c r="S226" s="588">
        <f t="shared" si="68"/>
        <v>2.13333333333334</v>
      </c>
      <c r="T226" s="588"/>
      <c r="U226" s="588">
        <f t="shared" si="76"/>
        <v>101.41428571428571</v>
      </c>
      <c r="V226" s="588">
        <f t="shared" si="77"/>
        <v>98.01428571428572</v>
      </c>
      <c r="W226" s="588">
        <f t="shared" si="78"/>
        <v>87.914285714285697</v>
      </c>
      <c r="X226" s="583"/>
      <c r="Y226" s="588">
        <f t="shared" si="82"/>
        <v>-0.88571428571428612</v>
      </c>
      <c r="Z226" s="588">
        <f t="shared" si="83"/>
        <v>-1.7857142857142776</v>
      </c>
      <c r="AA226" s="589">
        <f t="shared" si="84"/>
        <v>-0.48571428571429465</v>
      </c>
    </row>
    <row r="227" spans="1:27" s="500" customFormat="1">
      <c r="A227" s="482"/>
      <c r="B227" s="483"/>
      <c r="C227" s="484">
        <v>8</v>
      </c>
      <c r="D227" s="1194">
        <v>120.2</v>
      </c>
      <c r="E227" s="1194">
        <v>112.4</v>
      </c>
      <c r="F227" s="1194">
        <v>95</v>
      </c>
      <c r="G227" s="587"/>
      <c r="H227" s="587">
        <v>100</v>
      </c>
      <c r="I227" s="583">
        <f t="shared" si="57"/>
        <v>9.7999999999999972</v>
      </c>
      <c r="J227" s="583">
        <f t="shared" si="58"/>
        <v>7.7000000000000028</v>
      </c>
      <c r="K227" s="583">
        <f t="shared" si="59"/>
        <v>4.2000000000000028</v>
      </c>
      <c r="L227" s="588"/>
      <c r="M227" s="588">
        <f t="shared" si="73"/>
        <v>110.89999999999999</v>
      </c>
      <c r="N227" s="588">
        <f t="shared" si="74"/>
        <v>105.66666666666667</v>
      </c>
      <c r="O227" s="588">
        <f t="shared" si="75"/>
        <v>90.866666666666674</v>
      </c>
      <c r="P227" s="583"/>
      <c r="Q227" s="588">
        <f t="shared" si="66"/>
        <v>7.8999999999999915</v>
      </c>
      <c r="R227" s="588">
        <f t="shared" si="67"/>
        <v>5.3333333333333428</v>
      </c>
      <c r="S227" s="588">
        <f t="shared" si="68"/>
        <v>2</v>
      </c>
      <c r="T227" s="588"/>
      <c r="U227" s="588">
        <f t="shared" si="76"/>
        <v>102.27142857142857</v>
      </c>
      <c r="V227" s="588">
        <f t="shared" si="77"/>
        <v>97.885714285714272</v>
      </c>
      <c r="W227" s="588">
        <f t="shared" si="78"/>
        <v>88.171428571428578</v>
      </c>
      <c r="X227" s="583"/>
      <c r="Y227" s="588">
        <f t="shared" si="82"/>
        <v>0.8571428571428612</v>
      </c>
      <c r="Z227" s="588">
        <f t="shared" si="83"/>
        <v>-0.12857142857144765</v>
      </c>
      <c r="AA227" s="589">
        <f t="shared" si="84"/>
        <v>0.2571428571428811</v>
      </c>
    </row>
    <row r="228" spans="1:27" s="500" customFormat="1">
      <c r="A228" s="482"/>
      <c r="B228" s="483"/>
      <c r="C228" s="484">
        <v>9</v>
      </c>
      <c r="D228" s="1194">
        <v>120.8</v>
      </c>
      <c r="E228" s="1194">
        <v>119.7</v>
      </c>
      <c r="F228" s="1194">
        <v>93.7</v>
      </c>
      <c r="G228" s="587"/>
      <c r="H228" s="587">
        <v>100</v>
      </c>
      <c r="I228" s="583">
        <f t="shared" si="57"/>
        <v>0.59999999999999432</v>
      </c>
      <c r="J228" s="583">
        <f t="shared" si="58"/>
        <v>7.2999999999999972</v>
      </c>
      <c r="K228" s="583">
        <f t="shared" si="59"/>
        <v>-1.2999999999999972</v>
      </c>
      <c r="L228" s="588"/>
      <c r="M228" s="588">
        <f t="shared" si="73"/>
        <v>117.13333333333334</v>
      </c>
      <c r="N228" s="588">
        <f t="shared" si="74"/>
        <v>112.26666666666667</v>
      </c>
      <c r="O228" s="588">
        <f t="shared" si="75"/>
        <v>93.166666666666671</v>
      </c>
      <c r="P228" s="583"/>
      <c r="Q228" s="588">
        <f t="shared" si="66"/>
        <v>6.2333333333333485</v>
      </c>
      <c r="R228" s="588">
        <f t="shared" si="67"/>
        <v>6.5999999999999943</v>
      </c>
      <c r="S228" s="588">
        <f t="shared" si="68"/>
        <v>2.2999999999999972</v>
      </c>
      <c r="T228" s="588"/>
      <c r="U228" s="588">
        <f t="shared" si="76"/>
        <v>103.2</v>
      </c>
      <c r="V228" s="588">
        <f t="shared" si="77"/>
        <v>98.228571428571428</v>
      </c>
      <c r="W228" s="588">
        <f t="shared" si="78"/>
        <v>88.257142857142867</v>
      </c>
      <c r="X228" s="583"/>
      <c r="Y228" s="588">
        <f t="shared" si="82"/>
        <v>0.9285714285714306</v>
      </c>
      <c r="Z228" s="588">
        <f t="shared" si="83"/>
        <v>0.34285714285715585</v>
      </c>
      <c r="AA228" s="589">
        <f t="shared" si="84"/>
        <v>8.5714285714288962E-2</v>
      </c>
    </row>
    <row r="229" spans="1:27" s="500" customFormat="1">
      <c r="A229" s="482"/>
      <c r="B229" s="483"/>
      <c r="C229" s="484">
        <v>10</v>
      </c>
      <c r="D229" s="1194">
        <v>126.3</v>
      </c>
      <c r="E229" s="1194">
        <v>120.6</v>
      </c>
      <c r="F229" s="1193">
        <v>91.6</v>
      </c>
      <c r="G229" s="587"/>
      <c r="H229" s="587">
        <v>100</v>
      </c>
      <c r="I229" s="583">
        <f t="shared" si="57"/>
        <v>5.5</v>
      </c>
      <c r="J229" s="583">
        <f t="shared" si="58"/>
        <v>0.89999999999999147</v>
      </c>
      <c r="K229" s="583">
        <f t="shared" si="59"/>
        <v>-2.1000000000000085</v>
      </c>
      <c r="L229" s="588"/>
      <c r="M229" s="588">
        <f t="shared" si="73"/>
        <v>122.43333333333334</v>
      </c>
      <c r="N229" s="588">
        <f t="shared" si="74"/>
        <v>117.56666666666668</v>
      </c>
      <c r="O229" s="588">
        <f t="shared" si="75"/>
        <v>93.433333333333323</v>
      </c>
      <c r="P229" s="583"/>
      <c r="Q229" s="588">
        <f t="shared" si="66"/>
        <v>5.2999999999999972</v>
      </c>
      <c r="R229" s="588">
        <f t="shared" si="67"/>
        <v>5.3000000000000114</v>
      </c>
      <c r="S229" s="588">
        <f t="shared" si="68"/>
        <v>0.26666666666665151</v>
      </c>
      <c r="T229" s="588"/>
      <c r="U229" s="588">
        <f t="shared" si="76"/>
        <v>109.28571428571426</v>
      </c>
      <c r="V229" s="588">
        <f t="shared" si="77"/>
        <v>105.25714285714287</v>
      </c>
      <c r="W229" s="588">
        <f t="shared" si="78"/>
        <v>90.185714285714297</v>
      </c>
      <c r="X229" s="583"/>
      <c r="Y229" s="588">
        <f t="shared" si="82"/>
        <v>6.0857142857142605</v>
      </c>
      <c r="Z229" s="588">
        <f t="shared" si="83"/>
        <v>7.0285714285714391</v>
      </c>
      <c r="AA229" s="589">
        <f t="shared" si="84"/>
        <v>1.9285714285714306</v>
      </c>
    </row>
    <row r="230" spans="1:27" s="500" customFormat="1">
      <c r="A230" s="482"/>
      <c r="B230" s="483"/>
      <c r="C230" s="484">
        <v>11</v>
      </c>
      <c r="D230" s="1194">
        <v>131</v>
      </c>
      <c r="E230" s="1194">
        <v>119.8</v>
      </c>
      <c r="F230" s="1194">
        <v>90.3</v>
      </c>
      <c r="G230" s="587"/>
      <c r="H230" s="587">
        <v>100</v>
      </c>
      <c r="I230" s="583">
        <f t="shared" si="57"/>
        <v>4.7000000000000028</v>
      </c>
      <c r="J230" s="583">
        <f t="shared" si="58"/>
        <v>-0.79999999999999716</v>
      </c>
      <c r="K230" s="583">
        <f t="shared" si="59"/>
        <v>-1.2999999999999972</v>
      </c>
      <c r="L230" s="588"/>
      <c r="M230" s="588">
        <f t="shared" si="73"/>
        <v>126.03333333333335</v>
      </c>
      <c r="N230" s="588">
        <f t="shared" si="74"/>
        <v>120.03333333333335</v>
      </c>
      <c r="O230" s="588">
        <f t="shared" si="75"/>
        <v>91.866666666666674</v>
      </c>
      <c r="P230" s="583"/>
      <c r="Q230" s="588">
        <f t="shared" si="66"/>
        <v>3.6000000000000085</v>
      </c>
      <c r="R230" s="588">
        <f t="shared" si="67"/>
        <v>2.4666666666666686</v>
      </c>
      <c r="S230" s="588">
        <f t="shared" si="68"/>
        <v>-1.5666666666666487</v>
      </c>
      <c r="T230" s="588"/>
      <c r="U230" s="588">
        <f t="shared" si="76"/>
        <v>115.32857142857142</v>
      </c>
      <c r="V230" s="588">
        <f t="shared" si="77"/>
        <v>110.5</v>
      </c>
      <c r="W230" s="588">
        <f t="shared" si="78"/>
        <v>91.028571428571425</v>
      </c>
      <c r="X230" s="583"/>
      <c r="Y230" s="588">
        <f t="shared" si="82"/>
        <v>6.0428571428571587</v>
      </c>
      <c r="Z230" s="588">
        <f t="shared" si="83"/>
        <v>5.2428571428571331</v>
      </c>
      <c r="AA230" s="589">
        <f t="shared" si="84"/>
        <v>0.84285714285712743</v>
      </c>
    </row>
    <row r="231" spans="1:27" s="500" customFormat="1">
      <c r="A231" s="486"/>
      <c r="B231" s="487"/>
      <c r="C231" s="488">
        <v>12</v>
      </c>
      <c r="D231" s="1197">
        <v>134.9</v>
      </c>
      <c r="E231" s="1195">
        <v>128</v>
      </c>
      <c r="F231" s="1195">
        <v>92.9</v>
      </c>
      <c r="G231" s="591"/>
      <c r="H231" s="591">
        <v>100</v>
      </c>
      <c r="I231" s="592">
        <f t="shared" si="57"/>
        <v>3.9000000000000057</v>
      </c>
      <c r="J231" s="592">
        <f t="shared" si="58"/>
        <v>8.2000000000000028</v>
      </c>
      <c r="K231" s="592">
        <f t="shared" si="59"/>
        <v>2.6000000000000085</v>
      </c>
      <c r="L231" s="593"/>
      <c r="M231" s="593">
        <f t="shared" si="73"/>
        <v>130.73333333333335</v>
      </c>
      <c r="N231" s="593">
        <f t="shared" si="74"/>
        <v>122.8</v>
      </c>
      <c r="O231" s="593">
        <f t="shared" si="75"/>
        <v>91.59999999999998</v>
      </c>
      <c r="P231" s="592"/>
      <c r="Q231" s="588">
        <f t="shared" si="66"/>
        <v>4.7000000000000028</v>
      </c>
      <c r="R231" s="588">
        <f t="shared" si="67"/>
        <v>2.7666666666666515</v>
      </c>
      <c r="S231" s="588">
        <f t="shared" si="68"/>
        <v>-0.26666666666669414</v>
      </c>
      <c r="T231" s="593"/>
      <c r="U231" s="593">
        <f t="shared" si="76"/>
        <v>120.8142857142857</v>
      </c>
      <c r="V231" s="593">
        <f t="shared" si="77"/>
        <v>115.01428571428571</v>
      </c>
      <c r="W231" s="593">
        <f t="shared" si="78"/>
        <v>91.585714285714275</v>
      </c>
      <c r="X231" s="592"/>
      <c r="Y231" s="593">
        <f t="shared" si="82"/>
        <v>5.4857142857142804</v>
      </c>
      <c r="Z231" s="593">
        <f t="shared" si="83"/>
        <v>4.5142857142857054</v>
      </c>
      <c r="AA231" s="594">
        <f t="shared" si="84"/>
        <v>0.55714285714284983</v>
      </c>
    </row>
    <row r="232" spans="1:27" s="500" customFormat="1">
      <c r="A232" s="490">
        <v>24</v>
      </c>
      <c r="B232" s="491">
        <v>12</v>
      </c>
      <c r="C232" s="492">
        <v>1</v>
      </c>
      <c r="D232" s="1198">
        <v>149.69999999999999</v>
      </c>
      <c r="E232" s="1198">
        <v>138.6</v>
      </c>
      <c r="F232" s="1198">
        <v>94.6</v>
      </c>
      <c r="G232" s="596"/>
      <c r="H232" s="596">
        <v>100</v>
      </c>
      <c r="I232" s="597">
        <f t="shared" si="57"/>
        <v>14.799999999999983</v>
      </c>
      <c r="J232" s="597">
        <f t="shared" si="58"/>
        <v>10.599999999999994</v>
      </c>
      <c r="K232" s="597">
        <f t="shared" si="59"/>
        <v>1.6999999999999886</v>
      </c>
      <c r="L232" s="598"/>
      <c r="M232" s="598">
        <f t="shared" si="73"/>
        <v>138.53333333333333</v>
      </c>
      <c r="N232" s="598">
        <f t="shared" si="74"/>
        <v>128.79999999999998</v>
      </c>
      <c r="O232" s="598">
        <f t="shared" si="75"/>
        <v>92.59999999999998</v>
      </c>
      <c r="P232" s="597"/>
      <c r="Q232" s="588">
        <f t="shared" si="66"/>
        <v>7.7999999999999829</v>
      </c>
      <c r="R232" s="588">
        <f t="shared" si="67"/>
        <v>5.9999999999999858</v>
      </c>
      <c r="S232" s="588">
        <f t="shared" si="68"/>
        <v>1</v>
      </c>
      <c r="T232" s="598"/>
      <c r="U232" s="598">
        <f t="shared" si="76"/>
        <v>127.61428571428571</v>
      </c>
      <c r="V232" s="598">
        <f t="shared" si="77"/>
        <v>120.54285714285713</v>
      </c>
      <c r="W232" s="598">
        <f t="shared" si="78"/>
        <v>92.700000000000017</v>
      </c>
      <c r="X232" s="597"/>
      <c r="Y232" s="598">
        <f t="shared" ref="Y232:AA235" si="85">U232-U231</f>
        <v>6.8000000000000114</v>
      </c>
      <c r="Z232" s="598">
        <f t="shared" si="85"/>
        <v>5.5285714285714249</v>
      </c>
      <c r="AA232" s="599">
        <f t="shared" si="85"/>
        <v>1.1142857142857423</v>
      </c>
    </row>
    <row r="233" spans="1:27" s="500" customFormat="1">
      <c r="A233" s="482"/>
      <c r="B233" s="483"/>
      <c r="C233" s="484">
        <v>2</v>
      </c>
      <c r="D233" s="1194">
        <v>152.19999999999999</v>
      </c>
      <c r="E233" s="1194">
        <v>144.9</v>
      </c>
      <c r="F233" s="1194">
        <v>95.2</v>
      </c>
      <c r="G233" s="587"/>
      <c r="H233" s="587">
        <v>100</v>
      </c>
      <c r="I233" s="583">
        <f t="shared" si="57"/>
        <v>2.5</v>
      </c>
      <c r="J233" s="583">
        <f t="shared" si="58"/>
        <v>6.3000000000000114</v>
      </c>
      <c r="K233" s="583">
        <f t="shared" si="59"/>
        <v>0.60000000000000853</v>
      </c>
      <c r="L233" s="588"/>
      <c r="M233" s="588">
        <f t="shared" si="73"/>
        <v>145.6</v>
      </c>
      <c r="N233" s="588">
        <f t="shared" si="74"/>
        <v>137.16666666666666</v>
      </c>
      <c r="O233" s="588">
        <f t="shared" si="75"/>
        <v>94.233333333333334</v>
      </c>
      <c r="P233" s="583"/>
      <c r="Q233" s="588">
        <f t="shared" si="66"/>
        <v>7.0666666666666629</v>
      </c>
      <c r="R233" s="588">
        <f t="shared" si="67"/>
        <v>8.3666666666666742</v>
      </c>
      <c r="S233" s="588">
        <f t="shared" si="68"/>
        <v>1.6333333333333542</v>
      </c>
      <c r="T233" s="588"/>
      <c r="U233" s="588">
        <f t="shared" si="76"/>
        <v>133.58571428571432</v>
      </c>
      <c r="V233" s="588">
        <f t="shared" si="77"/>
        <v>126.28571428571429</v>
      </c>
      <c r="W233" s="588">
        <f t="shared" si="78"/>
        <v>93.328571428571436</v>
      </c>
      <c r="X233" s="583"/>
      <c r="Y233" s="588">
        <f t="shared" si="85"/>
        <v>5.9714285714286035</v>
      </c>
      <c r="Z233" s="588">
        <f t="shared" si="85"/>
        <v>5.7428571428571615</v>
      </c>
      <c r="AA233" s="589">
        <f t="shared" si="85"/>
        <v>0.62857142857141923</v>
      </c>
    </row>
    <row r="234" spans="1:27" ht="17.25" customHeight="1">
      <c r="A234" s="776"/>
      <c r="B234" s="777"/>
      <c r="C234" s="778">
        <v>3</v>
      </c>
      <c r="D234" s="1196">
        <v>144.69999999999999</v>
      </c>
      <c r="E234" s="1196">
        <v>154.19999999999999</v>
      </c>
      <c r="F234" s="1196">
        <v>97.4</v>
      </c>
      <c r="G234" s="788">
        <v>170</v>
      </c>
      <c r="H234" s="788">
        <v>100</v>
      </c>
      <c r="I234" s="583">
        <f t="shared" si="57"/>
        <v>-7.5</v>
      </c>
      <c r="J234" s="583">
        <f t="shared" si="58"/>
        <v>9.2999999999999829</v>
      </c>
      <c r="K234" s="583">
        <f t="shared" si="59"/>
        <v>2.2000000000000028</v>
      </c>
      <c r="L234" s="588"/>
      <c r="M234" s="588">
        <f t="shared" si="73"/>
        <v>148.86666666666665</v>
      </c>
      <c r="N234" s="588">
        <f t="shared" si="74"/>
        <v>145.9</v>
      </c>
      <c r="O234" s="588">
        <f t="shared" si="75"/>
        <v>95.733333333333348</v>
      </c>
      <c r="P234" s="583"/>
      <c r="Q234" s="588">
        <f t="shared" si="66"/>
        <v>3.2666666666666515</v>
      </c>
      <c r="R234" s="588">
        <f t="shared" si="67"/>
        <v>8.7333333333333485</v>
      </c>
      <c r="S234" s="588">
        <f t="shared" si="68"/>
        <v>1.5000000000000142</v>
      </c>
      <c r="T234" s="588"/>
      <c r="U234" s="588">
        <f t="shared" si="76"/>
        <v>137.08571428571432</v>
      </c>
      <c r="V234" s="588">
        <f t="shared" si="77"/>
        <v>132.25714285714284</v>
      </c>
      <c r="W234" s="588">
        <f t="shared" si="78"/>
        <v>93.671428571428578</v>
      </c>
      <c r="X234" s="583"/>
      <c r="Y234" s="588">
        <f t="shared" si="85"/>
        <v>3.5</v>
      </c>
      <c r="Z234" s="588">
        <f t="shared" si="85"/>
        <v>5.9714285714285467</v>
      </c>
      <c r="AA234" s="589">
        <f t="shared" si="85"/>
        <v>0.34285714285714164</v>
      </c>
    </row>
    <row r="235" spans="1:27" ht="17.25" customHeight="1">
      <c r="A235" s="776"/>
      <c r="B235" s="777"/>
      <c r="C235" s="778">
        <v>4</v>
      </c>
      <c r="D235" s="1196">
        <v>160.9</v>
      </c>
      <c r="E235" s="1196">
        <v>151.80000000000001</v>
      </c>
      <c r="F235" s="1196">
        <v>97.9</v>
      </c>
      <c r="G235" s="788">
        <v>170</v>
      </c>
      <c r="H235" s="788">
        <v>100</v>
      </c>
      <c r="I235" s="583">
        <f t="shared" si="57"/>
        <v>16.200000000000017</v>
      </c>
      <c r="J235" s="583">
        <f t="shared" si="58"/>
        <v>-2.3999999999999773</v>
      </c>
      <c r="K235" s="583">
        <f t="shared" si="59"/>
        <v>0.5</v>
      </c>
      <c r="L235" s="598"/>
      <c r="M235" s="588">
        <f t="shared" si="73"/>
        <v>152.6</v>
      </c>
      <c r="N235" s="588">
        <f t="shared" si="74"/>
        <v>150.30000000000001</v>
      </c>
      <c r="O235" s="588">
        <f t="shared" si="75"/>
        <v>96.833333333333329</v>
      </c>
      <c r="P235" s="583"/>
      <c r="Q235" s="588">
        <f t="shared" si="66"/>
        <v>3.7333333333333485</v>
      </c>
      <c r="R235" s="588">
        <f t="shared" si="67"/>
        <v>4.4000000000000057</v>
      </c>
      <c r="S235" s="588">
        <f t="shared" si="68"/>
        <v>1.0999999999999801</v>
      </c>
      <c r="T235" s="588"/>
      <c r="U235" s="588">
        <f t="shared" si="76"/>
        <v>142.81428571428575</v>
      </c>
      <c r="V235" s="588">
        <f t="shared" si="77"/>
        <v>136.84285714285713</v>
      </c>
      <c r="W235" s="588">
        <f t="shared" si="78"/>
        <v>94.271428571428572</v>
      </c>
      <c r="X235" s="583"/>
      <c r="Y235" s="588">
        <f t="shared" si="85"/>
        <v>5.7285714285714278</v>
      </c>
      <c r="Z235" s="588">
        <f t="shared" si="85"/>
        <v>4.585714285714289</v>
      </c>
      <c r="AA235" s="589">
        <f t="shared" si="85"/>
        <v>0.59999999999999432</v>
      </c>
    </row>
    <row r="236" spans="1:27" ht="17.25" customHeight="1">
      <c r="A236" s="776"/>
      <c r="B236" s="777"/>
      <c r="C236" s="778">
        <v>5</v>
      </c>
      <c r="D236" s="1196">
        <v>158.9</v>
      </c>
      <c r="E236" s="1196">
        <v>156.4</v>
      </c>
      <c r="F236" s="1196">
        <v>101</v>
      </c>
      <c r="G236" s="788">
        <v>170</v>
      </c>
      <c r="H236" s="788">
        <v>100</v>
      </c>
      <c r="I236" s="583">
        <f t="shared" si="57"/>
        <v>-2</v>
      </c>
      <c r="J236" s="583">
        <f t="shared" si="58"/>
        <v>4.5999999999999943</v>
      </c>
      <c r="K236" s="583">
        <f t="shared" si="59"/>
        <v>3.0999999999999943</v>
      </c>
      <c r="L236" s="598"/>
      <c r="M236" s="588">
        <f t="shared" si="73"/>
        <v>154.83333333333334</v>
      </c>
      <c r="N236" s="588">
        <f t="shared" si="74"/>
        <v>154.13333333333333</v>
      </c>
      <c r="O236" s="588">
        <f t="shared" si="75"/>
        <v>98.766666666666666</v>
      </c>
      <c r="P236" s="583"/>
      <c r="Q236" s="588">
        <f t="shared" si="66"/>
        <v>2.2333333333333485</v>
      </c>
      <c r="R236" s="588">
        <f t="shared" si="67"/>
        <v>3.8333333333333144</v>
      </c>
      <c r="S236" s="588">
        <f t="shared" si="68"/>
        <v>1.9333333333333371</v>
      </c>
      <c r="T236" s="588"/>
      <c r="U236" s="588">
        <f t="shared" si="76"/>
        <v>147.47142857142856</v>
      </c>
      <c r="V236" s="588">
        <f t="shared" si="77"/>
        <v>141.95714285714286</v>
      </c>
      <c r="W236" s="588">
        <f t="shared" si="78"/>
        <v>95.614285714285714</v>
      </c>
      <c r="X236" s="583"/>
      <c r="Y236" s="588">
        <f t="shared" ref="Y236:AA237" si="86">U236-U235</f>
        <v>4.6571428571428157</v>
      </c>
      <c r="Z236" s="588">
        <f t="shared" si="86"/>
        <v>5.1142857142857281</v>
      </c>
      <c r="AA236" s="589">
        <f t="shared" si="86"/>
        <v>1.3428571428571416</v>
      </c>
    </row>
    <row r="237" spans="1:27" ht="17.25" customHeight="1">
      <c r="A237" s="776"/>
      <c r="B237" s="777"/>
      <c r="C237" s="778">
        <v>6</v>
      </c>
      <c r="D237" s="1196">
        <v>158.9</v>
      </c>
      <c r="E237" s="1196">
        <v>157</v>
      </c>
      <c r="F237" s="1196">
        <v>100.7</v>
      </c>
      <c r="G237" s="788">
        <v>170</v>
      </c>
      <c r="H237" s="788">
        <v>100</v>
      </c>
      <c r="I237" s="583">
        <f t="shared" si="57"/>
        <v>0</v>
      </c>
      <c r="J237" s="583">
        <f t="shared" si="58"/>
        <v>0.59999999999999432</v>
      </c>
      <c r="K237" s="583">
        <f t="shared" si="59"/>
        <v>-0.29999999999999716</v>
      </c>
      <c r="L237" s="598"/>
      <c r="M237" s="588">
        <f t="shared" si="73"/>
        <v>159.56666666666669</v>
      </c>
      <c r="N237" s="588">
        <f t="shared" si="74"/>
        <v>155.06666666666669</v>
      </c>
      <c r="O237" s="588">
        <f t="shared" si="75"/>
        <v>99.866666666666674</v>
      </c>
      <c r="P237" s="583"/>
      <c r="Q237" s="588">
        <f t="shared" si="66"/>
        <v>4.7333333333333485</v>
      </c>
      <c r="R237" s="588">
        <f t="shared" si="67"/>
        <v>0.93333333333336554</v>
      </c>
      <c r="S237" s="588">
        <f t="shared" si="68"/>
        <v>1.1000000000000085</v>
      </c>
      <c r="T237" s="588"/>
      <c r="U237" s="588">
        <f t="shared" si="76"/>
        <v>151.45714285714286</v>
      </c>
      <c r="V237" s="588">
        <f t="shared" si="77"/>
        <v>147.27142857142857</v>
      </c>
      <c r="W237" s="588">
        <f t="shared" si="78"/>
        <v>97.100000000000009</v>
      </c>
      <c r="X237" s="583"/>
      <c r="Y237" s="588">
        <f t="shared" si="86"/>
        <v>3.9857142857142946</v>
      </c>
      <c r="Z237" s="588">
        <f t="shared" si="86"/>
        <v>5.3142857142857167</v>
      </c>
      <c r="AA237" s="589">
        <f t="shared" si="86"/>
        <v>1.4857142857142946</v>
      </c>
    </row>
    <row r="238" spans="1:27" ht="17.25" customHeight="1">
      <c r="A238" s="776"/>
      <c r="B238" s="777"/>
      <c r="C238" s="778">
        <v>7</v>
      </c>
      <c r="D238" s="1196">
        <v>157.4</v>
      </c>
      <c r="E238" s="1196">
        <v>159.9</v>
      </c>
      <c r="F238" s="1196">
        <v>98.9</v>
      </c>
      <c r="G238" s="788">
        <v>170</v>
      </c>
      <c r="H238" s="788">
        <v>100</v>
      </c>
      <c r="I238" s="583">
        <f t="shared" si="57"/>
        <v>-1.5</v>
      </c>
      <c r="J238" s="583">
        <f t="shared" si="58"/>
        <v>2.9000000000000057</v>
      </c>
      <c r="K238" s="583">
        <f t="shared" si="59"/>
        <v>-1.7999999999999972</v>
      </c>
      <c r="L238" s="598"/>
      <c r="M238" s="588">
        <f t="shared" si="73"/>
        <v>158.4</v>
      </c>
      <c r="N238" s="588">
        <f t="shared" si="74"/>
        <v>157.76666666666665</v>
      </c>
      <c r="O238" s="588">
        <f t="shared" si="75"/>
        <v>100.2</v>
      </c>
      <c r="P238" s="583"/>
      <c r="Q238" s="588">
        <f t="shared" si="66"/>
        <v>-1.1666666666666856</v>
      </c>
      <c r="R238" s="588">
        <f t="shared" si="67"/>
        <v>2.6999999999999602</v>
      </c>
      <c r="S238" s="588">
        <f t="shared" si="68"/>
        <v>0.3333333333333286</v>
      </c>
      <c r="T238" s="588"/>
      <c r="U238" s="588">
        <f t="shared" si="76"/>
        <v>154.67142857142858</v>
      </c>
      <c r="V238" s="588">
        <f t="shared" si="77"/>
        <v>151.82857142857142</v>
      </c>
      <c r="W238" s="588">
        <f t="shared" si="78"/>
        <v>97.95714285714287</v>
      </c>
      <c r="X238" s="583"/>
      <c r="Y238" s="588">
        <f t="shared" ref="Y238:AA239" si="87">U238-U237</f>
        <v>3.2142857142857224</v>
      </c>
      <c r="Z238" s="588">
        <f t="shared" si="87"/>
        <v>4.5571428571428498</v>
      </c>
      <c r="AA238" s="589">
        <f t="shared" si="87"/>
        <v>0.8571428571428612</v>
      </c>
    </row>
    <row r="239" spans="1:27" ht="17.25" customHeight="1">
      <c r="A239" s="777"/>
      <c r="B239" s="777"/>
      <c r="C239" s="778">
        <v>8</v>
      </c>
      <c r="D239" s="1193">
        <v>155.9</v>
      </c>
      <c r="E239" s="1193">
        <v>152.19999999999999</v>
      </c>
      <c r="F239" s="1193">
        <v>98.2</v>
      </c>
      <c r="G239" s="788">
        <v>170</v>
      </c>
      <c r="H239" s="587">
        <v>100</v>
      </c>
      <c r="I239" s="583">
        <f t="shared" si="57"/>
        <v>-1.5</v>
      </c>
      <c r="J239" s="583">
        <f t="shared" si="58"/>
        <v>-7.7000000000000171</v>
      </c>
      <c r="K239" s="583">
        <f t="shared" si="59"/>
        <v>-0.70000000000000284</v>
      </c>
      <c r="L239" s="588"/>
      <c r="M239" s="588">
        <f t="shared" si="73"/>
        <v>157.4</v>
      </c>
      <c r="N239" s="588">
        <f t="shared" si="74"/>
        <v>156.36666666666665</v>
      </c>
      <c r="O239" s="588">
        <f t="shared" si="75"/>
        <v>99.266666666666666</v>
      </c>
      <c r="P239" s="583"/>
      <c r="Q239" s="588">
        <f t="shared" si="66"/>
        <v>-1</v>
      </c>
      <c r="R239" s="588">
        <f t="shared" si="67"/>
        <v>-1.4000000000000057</v>
      </c>
      <c r="S239" s="588">
        <f t="shared" si="68"/>
        <v>-0.93333333333333712</v>
      </c>
      <c r="T239" s="588"/>
      <c r="U239" s="588">
        <f t="shared" si="76"/>
        <v>155.55714285714285</v>
      </c>
      <c r="V239" s="588">
        <f t="shared" si="77"/>
        <v>153.77142857142857</v>
      </c>
      <c r="W239" s="588">
        <f t="shared" si="78"/>
        <v>98.471428571428575</v>
      </c>
      <c r="X239" s="583"/>
      <c r="Y239" s="588">
        <f t="shared" si="87"/>
        <v>0.88571428571427191</v>
      </c>
      <c r="Z239" s="588">
        <f t="shared" si="87"/>
        <v>1.9428571428571502</v>
      </c>
      <c r="AA239" s="589">
        <f t="shared" si="87"/>
        <v>0.51428571428570535</v>
      </c>
    </row>
    <row r="240" spans="1:27" ht="17.25" customHeight="1">
      <c r="A240" s="777"/>
      <c r="B240" s="777"/>
      <c r="C240" s="778">
        <v>9</v>
      </c>
      <c r="D240" s="1193">
        <v>148.6</v>
      </c>
      <c r="E240" s="1193">
        <v>150.80000000000001</v>
      </c>
      <c r="F240" s="1193">
        <v>99.8</v>
      </c>
      <c r="G240" s="788">
        <v>170</v>
      </c>
      <c r="H240" s="587">
        <v>100</v>
      </c>
      <c r="I240" s="583">
        <f t="shared" si="57"/>
        <v>-7.3000000000000114</v>
      </c>
      <c r="J240" s="583">
        <f t="shared" si="58"/>
        <v>-1.3999999999999773</v>
      </c>
      <c r="K240" s="583">
        <f t="shared" si="59"/>
        <v>1.5999999999999943</v>
      </c>
      <c r="L240" s="588"/>
      <c r="M240" s="588">
        <f t="shared" ref="M240:M271" si="88">AVERAGE(D238:D240)</f>
        <v>153.96666666666667</v>
      </c>
      <c r="N240" s="588">
        <f t="shared" ref="N240:N271" si="89">AVERAGE(E238:E240)</f>
        <v>154.30000000000001</v>
      </c>
      <c r="O240" s="588">
        <f t="shared" ref="O240:O271" si="90">AVERAGE(F238:F240)</f>
        <v>98.966666666666683</v>
      </c>
      <c r="P240" s="583"/>
      <c r="Q240" s="588">
        <f t="shared" si="66"/>
        <v>-3.4333333333333371</v>
      </c>
      <c r="R240" s="588">
        <f t="shared" si="67"/>
        <v>-2.0666666666666345</v>
      </c>
      <c r="S240" s="588">
        <f t="shared" si="68"/>
        <v>-0.29999999999998295</v>
      </c>
      <c r="T240" s="588"/>
      <c r="U240" s="588">
        <f t="shared" ref="U240:U271" si="91">AVERAGE(D234:D240)</f>
        <v>155.04285714285714</v>
      </c>
      <c r="V240" s="588">
        <f t="shared" ref="V240:V271" si="92">AVERAGE(E234:E240)</f>
        <v>154.6142857142857</v>
      </c>
      <c r="W240" s="588">
        <f t="shared" ref="W240:W271" si="93">AVERAGE(F234:F240)</f>
        <v>99.128571428571419</v>
      </c>
      <c r="X240" s="583"/>
      <c r="Y240" s="588">
        <f t="shared" ref="Y240:AA241" si="94">U240-U239</f>
        <v>-0.51428571428570535</v>
      </c>
      <c r="Z240" s="588">
        <f t="shared" si="94"/>
        <v>0.84285714285712743</v>
      </c>
      <c r="AA240" s="589">
        <f t="shared" si="94"/>
        <v>0.65714285714284415</v>
      </c>
    </row>
    <row r="241" spans="1:27" ht="17.25" customHeight="1">
      <c r="A241" s="777"/>
      <c r="B241" s="777"/>
      <c r="C241" s="778">
        <v>10</v>
      </c>
      <c r="D241" s="1193">
        <v>147.19999999999999</v>
      </c>
      <c r="E241" s="1193">
        <v>146.1</v>
      </c>
      <c r="F241" s="1193">
        <v>98.2</v>
      </c>
      <c r="G241" s="788">
        <v>170</v>
      </c>
      <c r="H241" s="587">
        <v>100</v>
      </c>
      <c r="I241" s="583">
        <f t="shared" si="57"/>
        <v>-1.4000000000000057</v>
      </c>
      <c r="J241" s="583">
        <f t="shared" si="58"/>
        <v>-4.7000000000000171</v>
      </c>
      <c r="K241" s="583">
        <f t="shared" si="59"/>
        <v>-1.5999999999999943</v>
      </c>
      <c r="L241" s="588"/>
      <c r="M241" s="588">
        <f t="shared" si="88"/>
        <v>150.56666666666666</v>
      </c>
      <c r="N241" s="588">
        <f t="shared" si="89"/>
        <v>149.70000000000002</v>
      </c>
      <c r="O241" s="588">
        <f t="shared" si="90"/>
        <v>98.733333333333334</v>
      </c>
      <c r="P241" s="583"/>
      <c r="Q241" s="588">
        <f t="shared" si="66"/>
        <v>-3.4000000000000057</v>
      </c>
      <c r="R241" s="588">
        <f t="shared" si="67"/>
        <v>-4.5999999999999943</v>
      </c>
      <c r="S241" s="588">
        <f t="shared" si="68"/>
        <v>-0.23333333333334849</v>
      </c>
      <c r="T241" s="588"/>
      <c r="U241" s="588">
        <f t="shared" si="91"/>
        <v>155.4</v>
      </c>
      <c r="V241" s="588">
        <f t="shared" si="92"/>
        <v>153.45714285714283</v>
      </c>
      <c r="W241" s="588">
        <f t="shared" si="93"/>
        <v>99.242857142857147</v>
      </c>
      <c r="X241" s="583"/>
      <c r="Y241" s="588">
        <f t="shared" si="94"/>
        <v>0.3571428571428612</v>
      </c>
      <c r="Z241" s="588">
        <f t="shared" si="94"/>
        <v>-1.1571428571428726</v>
      </c>
      <c r="AA241" s="589">
        <f t="shared" si="94"/>
        <v>0.11428571428572809</v>
      </c>
    </row>
    <row r="242" spans="1:27" ht="17.25" customHeight="1">
      <c r="A242" s="777"/>
      <c r="B242" s="777"/>
      <c r="C242" s="778">
        <v>11</v>
      </c>
      <c r="D242" s="1193">
        <v>146.5</v>
      </c>
      <c r="E242" s="1193">
        <v>145</v>
      </c>
      <c r="F242" s="1193">
        <v>98.1</v>
      </c>
      <c r="G242" s="788">
        <v>170</v>
      </c>
      <c r="H242" s="587">
        <v>100</v>
      </c>
      <c r="I242" s="583">
        <f t="shared" si="57"/>
        <v>-0.69999999999998863</v>
      </c>
      <c r="J242" s="583">
        <f t="shared" si="58"/>
        <v>-1.0999999999999943</v>
      </c>
      <c r="K242" s="583">
        <f t="shared" si="59"/>
        <v>-0.10000000000000853</v>
      </c>
      <c r="L242" s="588"/>
      <c r="M242" s="588">
        <f t="shared" si="88"/>
        <v>147.43333333333331</v>
      </c>
      <c r="N242" s="588">
        <f t="shared" si="89"/>
        <v>147.29999999999998</v>
      </c>
      <c r="O242" s="588">
        <f t="shared" si="90"/>
        <v>98.7</v>
      </c>
      <c r="P242" s="583"/>
      <c r="Q242" s="588">
        <f t="shared" si="66"/>
        <v>-3.1333333333333542</v>
      </c>
      <c r="R242" s="588">
        <f t="shared" si="67"/>
        <v>-2.4000000000000341</v>
      </c>
      <c r="S242" s="588">
        <f t="shared" si="68"/>
        <v>-3.3333333333331439E-2</v>
      </c>
      <c r="T242" s="588"/>
      <c r="U242" s="588">
        <f t="shared" si="91"/>
        <v>153.34285714285716</v>
      </c>
      <c r="V242" s="588">
        <f t="shared" si="92"/>
        <v>152.48571428571429</v>
      </c>
      <c r="W242" s="588">
        <f t="shared" si="93"/>
        <v>99.271428571428586</v>
      </c>
      <c r="X242" s="583"/>
      <c r="Y242" s="588">
        <f t="shared" ref="Y242:AA247" si="95">U242-U241</f>
        <v>-2.0571428571428498</v>
      </c>
      <c r="Z242" s="588">
        <f t="shared" si="95"/>
        <v>-0.97142857142853245</v>
      </c>
      <c r="AA242" s="589">
        <f t="shared" si="95"/>
        <v>2.8571428571439128E-2</v>
      </c>
    </row>
    <row r="243" spans="1:27" ht="17.25" customHeight="1">
      <c r="A243" s="868"/>
      <c r="B243" s="868"/>
      <c r="C243" s="869">
        <v>12</v>
      </c>
      <c r="D243" s="1197">
        <v>140.1</v>
      </c>
      <c r="E243" s="1197">
        <v>146.19999999999999</v>
      </c>
      <c r="F243" s="1197">
        <v>97.9</v>
      </c>
      <c r="G243" s="591"/>
      <c r="H243" s="591">
        <v>100</v>
      </c>
      <c r="I243" s="592">
        <f t="shared" si="57"/>
        <v>-6.4000000000000057</v>
      </c>
      <c r="J243" s="592">
        <f t="shared" si="58"/>
        <v>1.1999999999999886</v>
      </c>
      <c r="K243" s="592">
        <f t="shared" si="59"/>
        <v>-0.19999999999998863</v>
      </c>
      <c r="L243" s="593"/>
      <c r="M243" s="593">
        <f t="shared" si="88"/>
        <v>144.6</v>
      </c>
      <c r="N243" s="593">
        <f t="shared" si="89"/>
        <v>145.76666666666668</v>
      </c>
      <c r="O243" s="593">
        <f t="shared" si="90"/>
        <v>98.066666666666677</v>
      </c>
      <c r="P243" s="592"/>
      <c r="Q243" s="588">
        <f t="shared" si="66"/>
        <v>-2.8333333333333144</v>
      </c>
      <c r="R243" s="588">
        <f t="shared" si="67"/>
        <v>-1.533333333333303</v>
      </c>
      <c r="S243" s="588">
        <f t="shared" si="68"/>
        <v>-0.63333333333332575</v>
      </c>
      <c r="T243" s="593"/>
      <c r="U243" s="593">
        <f t="shared" si="91"/>
        <v>150.65714285714284</v>
      </c>
      <c r="V243" s="593">
        <f t="shared" si="92"/>
        <v>151.02857142857144</v>
      </c>
      <c r="W243" s="593">
        <f t="shared" si="93"/>
        <v>98.828571428571422</v>
      </c>
      <c r="X243" s="592"/>
      <c r="Y243" s="593">
        <f t="shared" si="95"/>
        <v>-2.6857142857143117</v>
      </c>
      <c r="Z243" s="593">
        <f t="shared" si="95"/>
        <v>-1.4571428571428555</v>
      </c>
      <c r="AA243" s="594">
        <f t="shared" si="95"/>
        <v>-0.44285714285716438</v>
      </c>
    </row>
    <row r="244" spans="1:27" ht="17.25" customHeight="1">
      <c r="A244" s="490">
        <v>25</v>
      </c>
      <c r="B244" s="867">
        <v>13</v>
      </c>
      <c r="C244" s="870">
        <v>1</v>
      </c>
      <c r="D244" s="1192">
        <v>141.9</v>
      </c>
      <c r="E244" s="1192">
        <v>150.80000000000001</v>
      </c>
      <c r="F244" s="1192">
        <v>96.2</v>
      </c>
      <c r="G244" s="581"/>
      <c r="H244" s="581">
        <v>100</v>
      </c>
      <c r="I244" s="597">
        <f t="shared" si="57"/>
        <v>1.8000000000000114</v>
      </c>
      <c r="J244" s="597">
        <f t="shared" si="58"/>
        <v>4.6000000000000227</v>
      </c>
      <c r="K244" s="597">
        <f t="shared" si="59"/>
        <v>-1.7000000000000028</v>
      </c>
      <c r="L244" s="584"/>
      <c r="M244" s="598">
        <f t="shared" si="88"/>
        <v>142.83333333333334</v>
      </c>
      <c r="N244" s="598">
        <f t="shared" si="89"/>
        <v>147.33333333333334</v>
      </c>
      <c r="O244" s="598">
        <f t="shared" si="90"/>
        <v>97.399999999999991</v>
      </c>
      <c r="P244" s="582"/>
      <c r="Q244" s="588">
        <f t="shared" si="66"/>
        <v>-1.7666666666666515</v>
      </c>
      <c r="R244" s="588">
        <f t="shared" si="67"/>
        <v>1.5666666666666629</v>
      </c>
      <c r="S244" s="588">
        <f t="shared" si="68"/>
        <v>-0.66666666666668561</v>
      </c>
      <c r="T244" s="584"/>
      <c r="U244" s="598">
        <f t="shared" si="91"/>
        <v>148.22857142857143</v>
      </c>
      <c r="V244" s="598">
        <f t="shared" si="92"/>
        <v>150.14285714285714</v>
      </c>
      <c r="W244" s="598">
        <f t="shared" si="93"/>
        <v>98.185714285714297</v>
      </c>
      <c r="X244" s="582"/>
      <c r="Y244" s="598">
        <f t="shared" si="95"/>
        <v>-2.4285714285714164</v>
      </c>
      <c r="Z244" s="598">
        <f t="shared" si="95"/>
        <v>-0.88571428571430033</v>
      </c>
      <c r="AA244" s="599">
        <f t="shared" si="95"/>
        <v>-0.64285714285712459</v>
      </c>
    </row>
    <row r="245" spans="1:27" ht="17.25" customHeight="1">
      <c r="A245" s="777"/>
      <c r="B245" s="777"/>
      <c r="C245" s="778">
        <v>2</v>
      </c>
      <c r="D245" s="1199">
        <v>147.1</v>
      </c>
      <c r="E245" s="1199">
        <v>149.4</v>
      </c>
      <c r="F245" s="1199">
        <v>98.9</v>
      </c>
      <c r="G245" s="596"/>
      <c r="H245" s="596">
        <v>100</v>
      </c>
      <c r="I245" s="583">
        <f t="shared" si="57"/>
        <v>5.1999999999999886</v>
      </c>
      <c r="J245" s="583">
        <f t="shared" si="58"/>
        <v>-1.4000000000000057</v>
      </c>
      <c r="K245" s="583">
        <f t="shared" si="59"/>
        <v>2.7000000000000028</v>
      </c>
      <c r="L245" s="588"/>
      <c r="M245" s="588">
        <f t="shared" si="88"/>
        <v>143.03333333333333</v>
      </c>
      <c r="N245" s="588">
        <f t="shared" si="89"/>
        <v>148.79999999999998</v>
      </c>
      <c r="O245" s="588">
        <f t="shared" si="90"/>
        <v>97.666666666666671</v>
      </c>
      <c r="P245" s="583"/>
      <c r="Q245" s="588">
        <f t="shared" si="66"/>
        <v>0.19999999999998863</v>
      </c>
      <c r="R245" s="588">
        <f t="shared" si="67"/>
        <v>1.4666666666666401</v>
      </c>
      <c r="S245" s="588">
        <f t="shared" si="68"/>
        <v>0.26666666666667993</v>
      </c>
      <c r="T245" s="588"/>
      <c r="U245" s="588">
        <f t="shared" si="91"/>
        <v>146.75714285714284</v>
      </c>
      <c r="V245" s="588">
        <f t="shared" si="92"/>
        <v>148.64285714285714</v>
      </c>
      <c r="W245" s="588">
        <f t="shared" si="93"/>
        <v>98.185714285714283</v>
      </c>
      <c r="X245" s="583"/>
      <c r="Y245" s="588">
        <f t="shared" si="95"/>
        <v>-1.4714285714285893</v>
      </c>
      <c r="Z245" s="588">
        <f t="shared" si="95"/>
        <v>-1.5</v>
      </c>
      <c r="AA245" s="589">
        <f t="shared" si="95"/>
        <v>0</v>
      </c>
    </row>
    <row r="246" spans="1:27" ht="17.25" customHeight="1">
      <c r="A246" s="777"/>
      <c r="B246" s="777"/>
      <c r="C246" s="778">
        <v>3</v>
      </c>
      <c r="D246" s="1193">
        <v>141.30000000000001</v>
      </c>
      <c r="E246" s="1193">
        <v>153.1</v>
      </c>
      <c r="F246" s="1193">
        <v>103</v>
      </c>
      <c r="G246" s="587"/>
      <c r="H246" s="587">
        <v>100</v>
      </c>
      <c r="I246" s="583">
        <f t="shared" si="57"/>
        <v>-5.7999999999999829</v>
      </c>
      <c r="J246" s="583">
        <f t="shared" si="58"/>
        <v>3.6999999999999886</v>
      </c>
      <c r="K246" s="583">
        <f t="shared" si="59"/>
        <v>4.0999999999999943</v>
      </c>
      <c r="L246" s="588"/>
      <c r="M246" s="588">
        <f t="shared" si="88"/>
        <v>143.43333333333334</v>
      </c>
      <c r="N246" s="588">
        <f t="shared" si="89"/>
        <v>151.10000000000002</v>
      </c>
      <c r="O246" s="588">
        <f t="shared" si="90"/>
        <v>99.366666666666674</v>
      </c>
      <c r="P246" s="583"/>
      <c r="Q246" s="588">
        <f t="shared" si="66"/>
        <v>0.40000000000000568</v>
      </c>
      <c r="R246" s="588">
        <f t="shared" si="67"/>
        <v>2.3000000000000398</v>
      </c>
      <c r="S246" s="588">
        <f t="shared" si="68"/>
        <v>1.7000000000000028</v>
      </c>
      <c r="T246" s="588"/>
      <c r="U246" s="588">
        <f t="shared" si="91"/>
        <v>144.67142857142858</v>
      </c>
      <c r="V246" s="588">
        <f t="shared" si="92"/>
        <v>148.77142857142854</v>
      </c>
      <c r="W246" s="588">
        <f t="shared" si="93"/>
        <v>98.871428571428581</v>
      </c>
      <c r="X246" s="583"/>
      <c r="Y246" s="588">
        <f t="shared" si="95"/>
        <v>-2.0857142857142605</v>
      </c>
      <c r="Z246" s="588">
        <f t="shared" si="95"/>
        <v>0.12857142857140502</v>
      </c>
      <c r="AA246" s="589">
        <f t="shared" si="95"/>
        <v>0.68571428571429749</v>
      </c>
    </row>
    <row r="247" spans="1:27" ht="17.25" customHeight="1">
      <c r="A247" s="777"/>
      <c r="B247" s="777"/>
      <c r="C247" s="778">
        <v>4</v>
      </c>
      <c r="D247" s="1193">
        <v>139.5</v>
      </c>
      <c r="E247" s="1193">
        <v>145.69999999999999</v>
      </c>
      <c r="F247" s="1193">
        <v>99.4</v>
      </c>
      <c r="G247" s="587"/>
      <c r="H247" s="587">
        <v>100</v>
      </c>
      <c r="I247" s="583">
        <f t="shared" si="57"/>
        <v>-1.8000000000000114</v>
      </c>
      <c r="J247" s="583">
        <f t="shared" si="58"/>
        <v>-7.4000000000000057</v>
      </c>
      <c r="K247" s="583">
        <f t="shared" si="59"/>
        <v>-3.5999999999999943</v>
      </c>
      <c r="L247" s="588"/>
      <c r="M247" s="588">
        <f t="shared" si="88"/>
        <v>142.63333333333333</v>
      </c>
      <c r="N247" s="588">
        <f t="shared" si="89"/>
        <v>149.4</v>
      </c>
      <c r="O247" s="588">
        <f t="shared" si="90"/>
        <v>100.43333333333334</v>
      </c>
      <c r="P247" s="583"/>
      <c r="Q247" s="588">
        <f t="shared" si="66"/>
        <v>-0.80000000000001137</v>
      </c>
      <c r="R247" s="588">
        <f t="shared" si="67"/>
        <v>-1.7000000000000171</v>
      </c>
      <c r="S247" s="588">
        <f t="shared" si="68"/>
        <v>1.0666666666666629</v>
      </c>
      <c r="T247" s="588"/>
      <c r="U247" s="588">
        <f t="shared" si="91"/>
        <v>143.37142857142857</v>
      </c>
      <c r="V247" s="588">
        <f t="shared" si="92"/>
        <v>148.04285714285714</v>
      </c>
      <c r="W247" s="588">
        <f t="shared" si="93"/>
        <v>98.814285714285717</v>
      </c>
      <c r="X247" s="588"/>
      <c r="Y247" s="588">
        <f t="shared" si="95"/>
        <v>-1.3000000000000114</v>
      </c>
      <c r="Z247" s="588">
        <f t="shared" si="95"/>
        <v>-0.72857142857139934</v>
      </c>
      <c r="AA247" s="589">
        <f t="shared" si="95"/>
        <v>-5.7142857142864045E-2</v>
      </c>
    </row>
    <row r="248" spans="1:27" ht="17.25" customHeight="1">
      <c r="A248" s="777"/>
      <c r="B248" s="777"/>
      <c r="C248" s="778">
        <v>5</v>
      </c>
      <c r="D248" s="1193">
        <v>139.80000000000001</v>
      </c>
      <c r="E248" s="1193">
        <v>147.9</v>
      </c>
      <c r="F248" s="1193">
        <v>102.2</v>
      </c>
      <c r="G248" s="587"/>
      <c r="H248" s="587">
        <v>100</v>
      </c>
      <c r="I248" s="583">
        <f t="shared" si="57"/>
        <v>0.30000000000001137</v>
      </c>
      <c r="J248" s="583">
        <f t="shared" si="58"/>
        <v>2.2000000000000171</v>
      </c>
      <c r="K248" s="583">
        <f t="shared" si="59"/>
        <v>2.7999999999999972</v>
      </c>
      <c r="L248" s="588"/>
      <c r="M248" s="588">
        <f t="shared" si="88"/>
        <v>140.20000000000002</v>
      </c>
      <c r="N248" s="588">
        <f t="shared" si="89"/>
        <v>148.89999999999998</v>
      </c>
      <c r="O248" s="588">
        <f t="shared" si="90"/>
        <v>101.53333333333335</v>
      </c>
      <c r="P248" s="583"/>
      <c r="Q248" s="588">
        <f t="shared" si="66"/>
        <v>-2.4333333333333087</v>
      </c>
      <c r="R248" s="588">
        <f t="shared" si="67"/>
        <v>-0.50000000000002842</v>
      </c>
      <c r="S248" s="588">
        <f t="shared" si="68"/>
        <v>1.1000000000000085</v>
      </c>
      <c r="T248" s="588"/>
      <c r="U248" s="588">
        <f t="shared" si="91"/>
        <v>142.31428571428572</v>
      </c>
      <c r="V248" s="588">
        <f t="shared" si="92"/>
        <v>148.30000000000001</v>
      </c>
      <c r="W248" s="588">
        <f t="shared" si="93"/>
        <v>99.385714285714286</v>
      </c>
      <c r="X248" s="588"/>
      <c r="Y248" s="588">
        <f t="shared" ref="Y248:AA249" si="96">U248-U247</f>
        <v>-1.0571428571428498</v>
      </c>
      <c r="Z248" s="588">
        <f t="shared" si="96"/>
        <v>0.25714285714286689</v>
      </c>
      <c r="AA248" s="589">
        <f t="shared" si="96"/>
        <v>0.5714285714285694</v>
      </c>
    </row>
    <row r="249" spans="1:27" ht="17.25" customHeight="1">
      <c r="A249" s="777"/>
      <c r="B249" s="777"/>
      <c r="C249" s="778">
        <v>6</v>
      </c>
      <c r="D249" s="1193">
        <v>138.1</v>
      </c>
      <c r="E249" s="1193">
        <v>152.5</v>
      </c>
      <c r="F249" s="1193">
        <v>105.8</v>
      </c>
      <c r="G249" s="587"/>
      <c r="H249" s="587">
        <v>100</v>
      </c>
      <c r="I249" s="583">
        <f t="shared" si="57"/>
        <v>-1.7000000000000171</v>
      </c>
      <c r="J249" s="583">
        <f t="shared" si="58"/>
        <v>4.5999999999999943</v>
      </c>
      <c r="K249" s="583">
        <f t="shared" si="59"/>
        <v>3.5999999999999943</v>
      </c>
      <c r="L249" s="588"/>
      <c r="M249" s="588">
        <f t="shared" si="88"/>
        <v>139.13333333333333</v>
      </c>
      <c r="N249" s="588">
        <f t="shared" si="89"/>
        <v>148.70000000000002</v>
      </c>
      <c r="O249" s="588">
        <f t="shared" si="90"/>
        <v>102.46666666666668</v>
      </c>
      <c r="P249" s="583"/>
      <c r="Q249" s="588">
        <f t="shared" si="66"/>
        <v>-1.0666666666666913</v>
      </c>
      <c r="R249" s="588">
        <f t="shared" si="67"/>
        <v>-0.19999999999996021</v>
      </c>
      <c r="S249" s="588">
        <f t="shared" si="68"/>
        <v>0.93333333333333712</v>
      </c>
      <c r="T249" s="588"/>
      <c r="U249" s="588">
        <f t="shared" si="91"/>
        <v>141.11428571428573</v>
      </c>
      <c r="V249" s="588">
        <f t="shared" si="92"/>
        <v>149.37142857142857</v>
      </c>
      <c r="W249" s="588">
        <f t="shared" si="93"/>
        <v>100.48571428571428</v>
      </c>
      <c r="X249" s="588"/>
      <c r="Y249" s="588">
        <f t="shared" si="96"/>
        <v>-1.1999999999999886</v>
      </c>
      <c r="Z249" s="588">
        <f t="shared" si="96"/>
        <v>1.0714285714285552</v>
      </c>
      <c r="AA249" s="589">
        <f t="shared" si="96"/>
        <v>1.0999999999999943</v>
      </c>
    </row>
    <row r="250" spans="1:27" ht="17.25" customHeight="1">
      <c r="A250" s="777"/>
      <c r="B250" s="777"/>
      <c r="C250" s="778">
        <v>7</v>
      </c>
      <c r="D250" s="1193">
        <v>138.1</v>
      </c>
      <c r="E250" s="1193">
        <v>152.80000000000001</v>
      </c>
      <c r="F250" s="1193">
        <v>105.7</v>
      </c>
      <c r="G250" s="587"/>
      <c r="H250" s="587">
        <v>100</v>
      </c>
      <c r="I250" s="583">
        <f t="shared" si="57"/>
        <v>0</v>
      </c>
      <c r="J250" s="583">
        <f t="shared" si="58"/>
        <v>0.30000000000001137</v>
      </c>
      <c r="K250" s="583">
        <f t="shared" si="59"/>
        <v>-9.9999999999994316E-2</v>
      </c>
      <c r="L250" s="588"/>
      <c r="M250" s="588">
        <f t="shared" si="88"/>
        <v>138.66666666666666</v>
      </c>
      <c r="N250" s="588">
        <f t="shared" si="89"/>
        <v>151.06666666666666</v>
      </c>
      <c r="O250" s="588">
        <f t="shared" si="90"/>
        <v>104.56666666666666</v>
      </c>
      <c r="P250" s="583"/>
      <c r="Q250" s="588">
        <f t="shared" si="66"/>
        <v>-0.46666666666666856</v>
      </c>
      <c r="R250" s="588">
        <f t="shared" si="67"/>
        <v>2.3666666666666458</v>
      </c>
      <c r="S250" s="588">
        <f t="shared" si="68"/>
        <v>2.0999999999999801</v>
      </c>
      <c r="T250" s="588"/>
      <c r="U250" s="588">
        <f t="shared" si="91"/>
        <v>140.82857142857142</v>
      </c>
      <c r="V250" s="588">
        <f t="shared" si="92"/>
        <v>150.31428571428572</v>
      </c>
      <c r="W250" s="588">
        <f t="shared" si="93"/>
        <v>101.60000000000001</v>
      </c>
      <c r="X250" s="588"/>
      <c r="Y250" s="588">
        <f t="shared" ref="Y250:AA251" si="97">U250-U249</f>
        <v>-0.28571428571430602</v>
      </c>
      <c r="Z250" s="588">
        <f t="shared" si="97"/>
        <v>0.94285714285715017</v>
      </c>
      <c r="AA250" s="589">
        <f t="shared" si="97"/>
        <v>1.1142857142857281</v>
      </c>
    </row>
    <row r="251" spans="1:27" ht="17.25" customHeight="1">
      <c r="A251" s="777"/>
      <c r="B251" s="777"/>
      <c r="C251" s="778">
        <v>8</v>
      </c>
      <c r="D251" s="1193">
        <v>142.9</v>
      </c>
      <c r="E251" s="1193">
        <v>158</v>
      </c>
      <c r="F251" s="1193">
        <v>106.5</v>
      </c>
      <c r="G251" s="587"/>
      <c r="H251" s="587">
        <v>100</v>
      </c>
      <c r="I251" s="583">
        <f t="shared" si="57"/>
        <v>4.8000000000000114</v>
      </c>
      <c r="J251" s="583">
        <f t="shared" si="58"/>
        <v>5.1999999999999886</v>
      </c>
      <c r="K251" s="583">
        <f t="shared" si="59"/>
        <v>0.79999999999999716</v>
      </c>
      <c r="L251" s="588"/>
      <c r="M251" s="588">
        <f t="shared" si="88"/>
        <v>139.70000000000002</v>
      </c>
      <c r="N251" s="588">
        <f t="shared" si="89"/>
        <v>154.43333333333334</v>
      </c>
      <c r="O251" s="588">
        <f t="shared" si="90"/>
        <v>106</v>
      </c>
      <c r="P251" s="583"/>
      <c r="Q251" s="588">
        <f t="shared" si="66"/>
        <v>1.0333333333333599</v>
      </c>
      <c r="R251" s="588">
        <f t="shared" si="67"/>
        <v>3.3666666666666742</v>
      </c>
      <c r="S251" s="588">
        <f t="shared" si="68"/>
        <v>1.4333333333333371</v>
      </c>
      <c r="T251" s="588"/>
      <c r="U251" s="588">
        <f t="shared" si="91"/>
        <v>140.97142857142859</v>
      </c>
      <c r="V251" s="588">
        <f t="shared" si="92"/>
        <v>151.34285714285716</v>
      </c>
      <c r="W251" s="588">
        <f t="shared" si="93"/>
        <v>103.07142857142857</v>
      </c>
      <c r="X251" s="588"/>
      <c r="Y251" s="588">
        <f t="shared" si="97"/>
        <v>0.14285714285716722</v>
      </c>
      <c r="Z251" s="588">
        <f t="shared" si="97"/>
        <v>1.0285714285714391</v>
      </c>
      <c r="AA251" s="589">
        <f t="shared" si="97"/>
        <v>1.4714285714285609</v>
      </c>
    </row>
    <row r="252" spans="1:27" ht="17.25" customHeight="1">
      <c r="A252" s="777"/>
      <c r="B252" s="777"/>
      <c r="C252" s="778">
        <v>9</v>
      </c>
      <c r="D252" s="1193">
        <v>143.30000000000001</v>
      </c>
      <c r="E252" s="1193">
        <v>156.1</v>
      </c>
      <c r="F252" s="1193">
        <v>107.4</v>
      </c>
      <c r="G252" s="587"/>
      <c r="H252" s="587">
        <v>100</v>
      </c>
      <c r="I252" s="583">
        <f t="shared" si="57"/>
        <v>0.40000000000000568</v>
      </c>
      <c r="J252" s="583">
        <f t="shared" si="58"/>
        <v>-1.9000000000000057</v>
      </c>
      <c r="K252" s="583">
        <f t="shared" si="59"/>
        <v>0.90000000000000568</v>
      </c>
      <c r="L252" s="588"/>
      <c r="M252" s="588">
        <f t="shared" si="88"/>
        <v>141.43333333333334</v>
      </c>
      <c r="N252" s="588">
        <f t="shared" si="89"/>
        <v>155.63333333333333</v>
      </c>
      <c r="O252" s="588">
        <f t="shared" si="90"/>
        <v>106.53333333333335</v>
      </c>
      <c r="P252" s="583"/>
      <c r="Q252" s="588">
        <f t="shared" si="66"/>
        <v>1.7333333333333201</v>
      </c>
      <c r="R252" s="588">
        <f t="shared" si="67"/>
        <v>1.1999999999999886</v>
      </c>
      <c r="S252" s="588">
        <f t="shared" si="68"/>
        <v>0.53333333333334565</v>
      </c>
      <c r="T252" s="588"/>
      <c r="U252" s="588">
        <f t="shared" si="91"/>
        <v>140.42857142857142</v>
      </c>
      <c r="V252" s="588">
        <f t="shared" si="92"/>
        <v>152.29999999999998</v>
      </c>
      <c r="W252" s="588">
        <f t="shared" si="93"/>
        <v>104.28571428571429</v>
      </c>
      <c r="X252" s="588"/>
      <c r="Y252" s="588">
        <f t="shared" ref="Y252:AA253" si="98">U252-U251</f>
        <v>-0.5428571428571729</v>
      </c>
      <c r="Z252" s="588">
        <f t="shared" si="98"/>
        <v>0.9571428571428271</v>
      </c>
      <c r="AA252" s="589">
        <f t="shared" si="98"/>
        <v>1.2142857142857224</v>
      </c>
    </row>
    <row r="253" spans="1:27" ht="17.25" customHeight="1">
      <c r="A253" s="777"/>
      <c r="B253" s="777"/>
      <c r="C253" s="778">
        <v>10</v>
      </c>
      <c r="D253" s="1193">
        <v>142</v>
      </c>
      <c r="E253" s="1193">
        <v>153</v>
      </c>
      <c r="F253" s="1193">
        <v>107</v>
      </c>
      <c r="G253" s="587"/>
      <c r="H253" s="587">
        <v>100</v>
      </c>
      <c r="I253" s="583">
        <f t="shared" si="57"/>
        <v>-1.3000000000000114</v>
      </c>
      <c r="J253" s="583">
        <f t="shared" si="58"/>
        <v>-3.0999999999999943</v>
      </c>
      <c r="K253" s="583">
        <f t="shared" si="59"/>
        <v>-0.40000000000000568</v>
      </c>
      <c r="L253" s="588"/>
      <c r="M253" s="588">
        <f t="shared" si="88"/>
        <v>142.73333333333335</v>
      </c>
      <c r="N253" s="588">
        <f t="shared" si="89"/>
        <v>155.70000000000002</v>
      </c>
      <c r="O253" s="588">
        <f t="shared" si="90"/>
        <v>106.96666666666665</v>
      </c>
      <c r="P253" s="583"/>
      <c r="Q253" s="588">
        <f t="shared" si="66"/>
        <v>1.3000000000000114</v>
      </c>
      <c r="R253" s="588">
        <f t="shared" si="67"/>
        <v>6.6666666666691299E-2</v>
      </c>
      <c r="S253" s="588">
        <f t="shared" si="68"/>
        <v>0.4333333333333087</v>
      </c>
      <c r="T253" s="588"/>
      <c r="U253" s="588">
        <f t="shared" si="91"/>
        <v>140.52857142857144</v>
      </c>
      <c r="V253" s="588">
        <f t="shared" si="92"/>
        <v>152.28571428571428</v>
      </c>
      <c r="W253" s="588">
        <f t="shared" si="93"/>
        <v>104.85714285714286</v>
      </c>
      <c r="X253" s="588"/>
      <c r="Y253" s="588">
        <f t="shared" si="98"/>
        <v>0.10000000000002274</v>
      </c>
      <c r="Z253" s="588">
        <f t="shared" si="98"/>
        <v>-1.4285714285705353E-2</v>
      </c>
      <c r="AA253" s="589">
        <f t="shared" si="98"/>
        <v>0.5714285714285694</v>
      </c>
    </row>
    <row r="254" spans="1:27" ht="17.25" customHeight="1">
      <c r="A254" s="777"/>
      <c r="B254" s="777"/>
      <c r="C254" s="778">
        <v>11</v>
      </c>
      <c r="D254" s="1193">
        <v>140.5</v>
      </c>
      <c r="E254" s="1193">
        <v>157.4</v>
      </c>
      <c r="F254" s="1193">
        <v>110.2</v>
      </c>
      <c r="G254" s="587"/>
      <c r="H254" s="587">
        <v>100</v>
      </c>
      <c r="I254" s="583">
        <f t="shared" si="57"/>
        <v>-1.5</v>
      </c>
      <c r="J254" s="583">
        <f t="shared" si="58"/>
        <v>4.4000000000000057</v>
      </c>
      <c r="K254" s="583">
        <f t="shared" si="59"/>
        <v>3.2000000000000028</v>
      </c>
      <c r="L254" s="588"/>
      <c r="M254" s="588">
        <f t="shared" si="88"/>
        <v>141.93333333333334</v>
      </c>
      <c r="N254" s="588">
        <f t="shared" si="89"/>
        <v>155.5</v>
      </c>
      <c r="O254" s="588">
        <f t="shared" si="90"/>
        <v>108.2</v>
      </c>
      <c r="P254" s="583"/>
      <c r="Q254" s="588">
        <f t="shared" si="66"/>
        <v>-0.80000000000001137</v>
      </c>
      <c r="R254" s="588">
        <f t="shared" si="67"/>
        <v>-0.20000000000001705</v>
      </c>
      <c r="S254" s="588">
        <f t="shared" si="68"/>
        <v>1.2333333333333485</v>
      </c>
      <c r="T254" s="588"/>
      <c r="U254" s="588">
        <f t="shared" si="91"/>
        <v>140.67142857142858</v>
      </c>
      <c r="V254" s="588">
        <f t="shared" si="92"/>
        <v>153.95714285714286</v>
      </c>
      <c r="W254" s="588">
        <f t="shared" si="93"/>
        <v>106.4</v>
      </c>
      <c r="X254" s="588"/>
      <c r="Y254" s="588">
        <f t="shared" ref="Y254:AA255" si="99">U254-U253</f>
        <v>0.1428571428571388</v>
      </c>
      <c r="Z254" s="588">
        <f t="shared" si="99"/>
        <v>1.6714285714285779</v>
      </c>
      <c r="AA254" s="589">
        <f t="shared" si="99"/>
        <v>1.5428571428571445</v>
      </c>
    </row>
    <row r="255" spans="1:27" ht="17.25" customHeight="1">
      <c r="A255" s="868"/>
      <c r="B255" s="868"/>
      <c r="C255" s="872">
        <v>12</v>
      </c>
      <c r="D255" s="1197">
        <v>140.9</v>
      </c>
      <c r="E255" s="1197">
        <v>154</v>
      </c>
      <c r="F255" s="1197">
        <v>111.1</v>
      </c>
      <c r="G255" s="591"/>
      <c r="H255" s="591">
        <v>100</v>
      </c>
      <c r="I255" s="592">
        <f t="shared" si="57"/>
        <v>0.40000000000000568</v>
      </c>
      <c r="J255" s="592">
        <f t="shared" si="58"/>
        <v>-3.4000000000000057</v>
      </c>
      <c r="K255" s="592">
        <f t="shared" si="59"/>
        <v>0.89999999999999147</v>
      </c>
      <c r="L255" s="593"/>
      <c r="M255" s="593">
        <f t="shared" si="88"/>
        <v>141.13333333333333</v>
      </c>
      <c r="N255" s="593">
        <f t="shared" si="89"/>
        <v>154.79999999999998</v>
      </c>
      <c r="O255" s="593">
        <f t="shared" si="90"/>
        <v>109.43333333333332</v>
      </c>
      <c r="P255" s="592"/>
      <c r="Q255" s="593">
        <f t="shared" si="66"/>
        <v>-0.80000000000001137</v>
      </c>
      <c r="R255" s="593">
        <f t="shared" si="67"/>
        <v>-0.70000000000001705</v>
      </c>
      <c r="S255" s="593">
        <f t="shared" si="68"/>
        <v>1.2333333333333201</v>
      </c>
      <c r="T255" s="593"/>
      <c r="U255" s="593">
        <f t="shared" si="91"/>
        <v>140.82857142857145</v>
      </c>
      <c r="V255" s="593">
        <f t="shared" si="92"/>
        <v>154.82857142857142</v>
      </c>
      <c r="W255" s="593">
        <f t="shared" si="93"/>
        <v>107.67142857142858</v>
      </c>
      <c r="X255" s="593"/>
      <c r="Y255" s="593">
        <f t="shared" si="99"/>
        <v>0.15714285714287257</v>
      </c>
      <c r="Z255" s="593">
        <f t="shared" si="99"/>
        <v>0.87142857142856656</v>
      </c>
      <c r="AA255" s="594">
        <f t="shared" si="99"/>
        <v>1.2714285714285722</v>
      </c>
    </row>
    <row r="256" spans="1:27" ht="17.25" customHeight="1">
      <c r="A256" s="490">
        <v>26</v>
      </c>
      <c r="B256" s="867">
        <v>14</v>
      </c>
      <c r="C256" s="870">
        <v>1</v>
      </c>
      <c r="D256" s="1199">
        <v>141.19999999999999</v>
      </c>
      <c r="E256" s="1199">
        <v>156.69999999999999</v>
      </c>
      <c r="F256" s="1199">
        <v>112</v>
      </c>
      <c r="G256" s="596"/>
      <c r="H256" s="601">
        <v>100</v>
      </c>
      <c r="I256" s="583">
        <f t="shared" ref="I256:I319" si="100">D256-D255</f>
        <v>0.29999999999998295</v>
      </c>
      <c r="J256" s="583">
        <f t="shared" ref="J256:J319" si="101">E256-E255</f>
        <v>2.6999999999999886</v>
      </c>
      <c r="K256" s="583">
        <f t="shared" ref="K256:K319" si="102">F256-F255</f>
        <v>0.90000000000000568</v>
      </c>
      <c r="L256" s="588"/>
      <c r="M256" s="588">
        <f t="shared" si="88"/>
        <v>140.86666666666665</v>
      </c>
      <c r="N256" s="588">
        <f t="shared" si="89"/>
        <v>156.03333333333333</v>
      </c>
      <c r="O256" s="588">
        <f t="shared" si="90"/>
        <v>111.10000000000001</v>
      </c>
      <c r="P256" s="583"/>
      <c r="Q256" s="598">
        <f t="shared" si="66"/>
        <v>-0.26666666666667993</v>
      </c>
      <c r="R256" s="598">
        <f t="shared" si="67"/>
        <v>1.2333333333333485</v>
      </c>
      <c r="S256" s="598">
        <f t="shared" si="68"/>
        <v>1.6666666666666856</v>
      </c>
      <c r="T256" s="588"/>
      <c r="U256" s="588">
        <f t="shared" si="91"/>
        <v>141.27142857142854</v>
      </c>
      <c r="V256" s="588">
        <f t="shared" si="92"/>
        <v>155.42857142857142</v>
      </c>
      <c r="W256" s="588">
        <f t="shared" si="93"/>
        <v>108.55714285714286</v>
      </c>
      <c r="X256" s="588"/>
      <c r="Y256" s="588">
        <f>U256-U255</f>
        <v>0.44285714285709332</v>
      </c>
      <c r="Z256" s="588">
        <f>V256-V255</f>
        <v>0.59999999999999432</v>
      </c>
      <c r="AA256" s="589">
        <f>W256-W255</f>
        <v>0.88571428571428612</v>
      </c>
    </row>
    <row r="257" spans="1:27" ht="17.25" customHeight="1">
      <c r="A257" s="777"/>
      <c r="B257" s="777"/>
      <c r="C257" s="778">
        <v>2</v>
      </c>
      <c r="D257" s="1199">
        <v>140.5</v>
      </c>
      <c r="E257" s="1199">
        <v>156</v>
      </c>
      <c r="F257" s="1199">
        <v>112.4</v>
      </c>
      <c r="G257" s="596"/>
      <c r="H257" s="587">
        <v>100</v>
      </c>
      <c r="I257" s="583">
        <f t="shared" si="100"/>
        <v>-0.69999999999998863</v>
      </c>
      <c r="J257" s="583">
        <f t="shared" si="101"/>
        <v>-0.69999999999998863</v>
      </c>
      <c r="K257" s="583">
        <f t="shared" si="102"/>
        <v>0.40000000000000568</v>
      </c>
      <c r="L257" s="588"/>
      <c r="M257" s="588">
        <f t="shared" si="88"/>
        <v>140.86666666666667</v>
      </c>
      <c r="N257" s="588">
        <f t="shared" si="89"/>
        <v>155.56666666666666</v>
      </c>
      <c r="O257" s="588">
        <f t="shared" si="90"/>
        <v>111.83333333333333</v>
      </c>
      <c r="P257" s="583"/>
      <c r="Q257" s="588">
        <f t="shared" si="66"/>
        <v>0</v>
      </c>
      <c r="R257" s="588">
        <f t="shared" si="67"/>
        <v>-0.46666666666666856</v>
      </c>
      <c r="S257" s="588">
        <f t="shared" si="68"/>
        <v>0.73333333333332007</v>
      </c>
      <c r="T257" s="588"/>
      <c r="U257" s="588">
        <f t="shared" si="91"/>
        <v>141.6142857142857</v>
      </c>
      <c r="V257" s="588">
        <f t="shared" si="92"/>
        <v>155.8857142857143</v>
      </c>
      <c r="W257" s="588">
        <f t="shared" si="93"/>
        <v>109.51428571428571</v>
      </c>
      <c r="X257" s="588"/>
      <c r="Y257" s="588">
        <f t="shared" ref="Y257:Y296" si="103">U257-U256</f>
        <v>0.34285714285715585</v>
      </c>
      <c r="Z257" s="588">
        <f t="shared" ref="Z257:Z296" si="104">V257-V256</f>
        <v>0.45714285714288394</v>
      </c>
      <c r="AA257" s="589">
        <f t="shared" ref="AA257:AA296" si="105">W257-W256</f>
        <v>0.95714285714284131</v>
      </c>
    </row>
    <row r="258" spans="1:27" ht="17.25" customHeight="1">
      <c r="A258" s="777"/>
      <c r="B258" s="777"/>
      <c r="C258" s="778">
        <v>3</v>
      </c>
      <c r="D258" s="1193">
        <v>137.19999999999999</v>
      </c>
      <c r="E258" s="1193">
        <v>145.6</v>
      </c>
      <c r="F258" s="1193">
        <v>106.6</v>
      </c>
      <c r="G258" s="587"/>
      <c r="H258" s="587">
        <v>100</v>
      </c>
      <c r="I258" s="583">
        <f t="shared" si="100"/>
        <v>-3.3000000000000114</v>
      </c>
      <c r="J258" s="583">
        <f t="shared" si="101"/>
        <v>-10.400000000000006</v>
      </c>
      <c r="K258" s="583">
        <f t="shared" si="102"/>
        <v>-5.8000000000000114</v>
      </c>
      <c r="L258" s="588"/>
      <c r="M258" s="588">
        <f t="shared" si="88"/>
        <v>139.63333333333333</v>
      </c>
      <c r="N258" s="588">
        <f t="shared" si="89"/>
        <v>152.76666666666665</v>
      </c>
      <c r="O258" s="588">
        <f t="shared" si="90"/>
        <v>110.33333333333333</v>
      </c>
      <c r="P258" s="583"/>
      <c r="Q258" s="588">
        <f t="shared" si="66"/>
        <v>-1.2333333333333485</v>
      </c>
      <c r="R258" s="588">
        <f t="shared" si="67"/>
        <v>-2.8000000000000114</v>
      </c>
      <c r="S258" s="588">
        <f t="shared" si="68"/>
        <v>-1.5</v>
      </c>
      <c r="T258" s="588"/>
      <c r="U258" s="588">
        <f t="shared" si="91"/>
        <v>140.80000000000001</v>
      </c>
      <c r="V258" s="588">
        <f t="shared" si="92"/>
        <v>154.1142857142857</v>
      </c>
      <c r="W258" s="588">
        <f t="shared" si="93"/>
        <v>109.52857142857144</v>
      </c>
      <c r="X258" s="588"/>
      <c r="Y258" s="588">
        <f t="shared" si="103"/>
        <v>-0.8142857142856883</v>
      </c>
      <c r="Z258" s="588">
        <f t="shared" si="104"/>
        <v>-1.7714285714286007</v>
      </c>
      <c r="AA258" s="589">
        <f t="shared" si="105"/>
        <v>1.4285714285733775E-2</v>
      </c>
    </row>
    <row r="259" spans="1:27" ht="17.25" customHeight="1">
      <c r="A259" s="777"/>
      <c r="B259" s="777"/>
      <c r="C259" s="778">
        <v>4</v>
      </c>
      <c r="D259" s="1193">
        <v>131.19999999999999</v>
      </c>
      <c r="E259" s="1193">
        <v>142.30000000000001</v>
      </c>
      <c r="F259" s="1193">
        <v>108.7</v>
      </c>
      <c r="G259" s="587"/>
      <c r="H259" s="587">
        <v>100</v>
      </c>
      <c r="I259" s="583">
        <f t="shared" si="100"/>
        <v>-6</v>
      </c>
      <c r="J259" s="583">
        <f t="shared" si="101"/>
        <v>-3.2999999999999829</v>
      </c>
      <c r="K259" s="583">
        <f t="shared" si="102"/>
        <v>2.1000000000000085</v>
      </c>
      <c r="L259" s="588"/>
      <c r="M259" s="588">
        <f t="shared" si="88"/>
        <v>136.29999999999998</v>
      </c>
      <c r="N259" s="588">
        <f t="shared" si="89"/>
        <v>147.96666666666667</v>
      </c>
      <c r="O259" s="588">
        <f t="shared" si="90"/>
        <v>109.23333333333333</v>
      </c>
      <c r="P259" s="583"/>
      <c r="Q259" s="588">
        <f t="shared" si="66"/>
        <v>-3.3333333333333428</v>
      </c>
      <c r="R259" s="588">
        <f t="shared" si="67"/>
        <v>-4.7999999999999829</v>
      </c>
      <c r="S259" s="588">
        <f t="shared" si="68"/>
        <v>-1.0999999999999943</v>
      </c>
      <c r="T259" s="588"/>
      <c r="U259" s="588">
        <f t="shared" si="91"/>
        <v>139.07142857142858</v>
      </c>
      <c r="V259" s="588">
        <f t="shared" si="92"/>
        <v>152.14285714285714</v>
      </c>
      <c r="W259" s="588">
        <f t="shared" si="93"/>
        <v>109.71428571428571</v>
      </c>
      <c r="X259" s="588"/>
      <c r="Y259" s="588">
        <f t="shared" si="103"/>
        <v>-1.7285714285714278</v>
      </c>
      <c r="Z259" s="588">
        <f t="shared" si="104"/>
        <v>-1.9714285714285609</v>
      </c>
      <c r="AA259" s="589">
        <f t="shared" si="105"/>
        <v>0.18571428571426907</v>
      </c>
    </row>
    <row r="260" spans="1:27" ht="17.25" customHeight="1">
      <c r="A260" s="777"/>
      <c r="B260" s="777"/>
      <c r="C260" s="778">
        <v>5</v>
      </c>
      <c r="D260" s="1193">
        <v>131.1</v>
      </c>
      <c r="E260" s="1193">
        <v>145.4</v>
      </c>
      <c r="F260" s="1193">
        <v>114.2</v>
      </c>
      <c r="G260" s="587"/>
      <c r="H260" s="587">
        <v>100</v>
      </c>
      <c r="I260" s="583">
        <f t="shared" si="100"/>
        <v>-9.9999999999994316E-2</v>
      </c>
      <c r="J260" s="583">
        <f t="shared" si="101"/>
        <v>3.0999999999999943</v>
      </c>
      <c r="K260" s="583">
        <f t="shared" si="102"/>
        <v>5.5</v>
      </c>
      <c r="L260" s="588"/>
      <c r="M260" s="588">
        <f t="shared" si="88"/>
        <v>133.16666666666666</v>
      </c>
      <c r="N260" s="588">
        <f t="shared" si="89"/>
        <v>144.43333333333331</v>
      </c>
      <c r="O260" s="588">
        <f t="shared" si="90"/>
        <v>109.83333333333333</v>
      </c>
      <c r="P260" s="583"/>
      <c r="Q260" s="588">
        <f t="shared" ref="Q260:Q296" si="106">M260-M259</f>
        <v>-3.1333333333333258</v>
      </c>
      <c r="R260" s="588">
        <f t="shared" ref="R260:R296" si="107">N260-N259</f>
        <v>-3.5333333333333599</v>
      </c>
      <c r="S260" s="588">
        <f t="shared" ref="S260:S296" si="108">O260-O259</f>
        <v>0.59999999999999432</v>
      </c>
      <c r="T260" s="588"/>
      <c r="U260" s="588">
        <f t="shared" si="91"/>
        <v>137.51428571428571</v>
      </c>
      <c r="V260" s="588">
        <f t="shared" si="92"/>
        <v>151.05714285714288</v>
      </c>
      <c r="W260" s="588">
        <f t="shared" si="93"/>
        <v>110.74285714285716</v>
      </c>
      <c r="X260" s="588"/>
      <c r="Y260" s="588">
        <f t="shared" si="103"/>
        <v>-1.5571428571428783</v>
      </c>
      <c r="Z260" s="588">
        <f t="shared" si="104"/>
        <v>-1.0857142857142605</v>
      </c>
      <c r="AA260" s="589">
        <f t="shared" si="105"/>
        <v>1.0285714285714533</v>
      </c>
    </row>
    <row r="261" spans="1:27" ht="17.25" customHeight="1">
      <c r="A261" s="777"/>
      <c r="B261" s="777"/>
      <c r="C261" s="778">
        <v>6</v>
      </c>
      <c r="D261" s="1193">
        <v>129.6</v>
      </c>
      <c r="E261" s="1193">
        <v>146.6</v>
      </c>
      <c r="F261" s="1193">
        <v>114.8</v>
      </c>
      <c r="G261" s="587"/>
      <c r="H261" s="587">
        <v>100</v>
      </c>
      <c r="I261" s="583">
        <f t="shared" si="100"/>
        <v>-1.5</v>
      </c>
      <c r="J261" s="583">
        <f t="shared" si="101"/>
        <v>1.1999999999999886</v>
      </c>
      <c r="K261" s="583">
        <f t="shared" si="102"/>
        <v>0.59999999999999432</v>
      </c>
      <c r="L261" s="588"/>
      <c r="M261" s="588">
        <f t="shared" si="88"/>
        <v>130.63333333333333</v>
      </c>
      <c r="N261" s="588">
        <f t="shared" si="89"/>
        <v>144.76666666666668</v>
      </c>
      <c r="O261" s="588">
        <f t="shared" si="90"/>
        <v>112.56666666666666</v>
      </c>
      <c r="P261" s="583"/>
      <c r="Q261" s="588">
        <f t="shared" si="106"/>
        <v>-2.5333333333333314</v>
      </c>
      <c r="R261" s="588">
        <f t="shared" si="107"/>
        <v>0.33333333333337123</v>
      </c>
      <c r="S261" s="588">
        <f t="shared" si="108"/>
        <v>2.7333333333333343</v>
      </c>
      <c r="T261" s="588"/>
      <c r="U261" s="588">
        <f t="shared" si="91"/>
        <v>135.95714285714286</v>
      </c>
      <c r="V261" s="588">
        <f t="shared" si="92"/>
        <v>149.51428571428571</v>
      </c>
      <c r="W261" s="588">
        <f t="shared" si="93"/>
        <v>111.4</v>
      </c>
      <c r="X261" s="588"/>
      <c r="Y261" s="588">
        <f t="shared" si="103"/>
        <v>-1.5571428571428498</v>
      </c>
      <c r="Z261" s="588">
        <f t="shared" si="104"/>
        <v>-1.5428571428571729</v>
      </c>
      <c r="AA261" s="589">
        <f t="shared" si="105"/>
        <v>0.65714285714284415</v>
      </c>
    </row>
    <row r="262" spans="1:27" ht="17.25" customHeight="1">
      <c r="A262" s="777"/>
      <c r="B262" s="777"/>
      <c r="C262" s="778">
        <v>7</v>
      </c>
      <c r="D262" s="1193">
        <v>126.4</v>
      </c>
      <c r="E262" s="1193">
        <v>143.6</v>
      </c>
      <c r="F262" s="1193">
        <v>114.8</v>
      </c>
      <c r="G262" s="587"/>
      <c r="H262" s="587">
        <v>100</v>
      </c>
      <c r="I262" s="583">
        <f t="shared" si="100"/>
        <v>-3.1999999999999886</v>
      </c>
      <c r="J262" s="583">
        <f t="shared" si="101"/>
        <v>-3</v>
      </c>
      <c r="K262" s="583">
        <f t="shared" si="102"/>
        <v>0</v>
      </c>
      <c r="L262" s="588"/>
      <c r="M262" s="588">
        <f t="shared" si="88"/>
        <v>129.03333333333333</v>
      </c>
      <c r="N262" s="588">
        <f t="shared" si="89"/>
        <v>145.20000000000002</v>
      </c>
      <c r="O262" s="588">
        <f t="shared" si="90"/>
        <v>114.60000000000001</v>
      </c>
      <c r="P262" s="583"/>
      <c r="Q262" s="588">
        <f t="shared" si="106"/>
        <v>-1.5999999999999943</v>
      </c>
      <c r="R262" s="588">
        <f t="shared" si="107"/>
        <v>0.43333333333333712</v>
      </c>
      <c r="S262" s="588">
        <f t="shared" si="108"/>
        <v>2.0333333333333456</v>
      </c>
      <c r="T262" s="588"/>
      <c r="U262" s="588">
        <f t="shared" si="91"/>
        <v>133.88571428571427</v>
      </c>
      <c r="V262" s="588">
        <f t="shared" si="92"/>
        <v>148.02857142857141</v>
      </c>
      <c r="W262" s="588">
        <f t="shared" si="93"/>
        <v>111.92857142857142</v>
      </c>
      <c r="X262" s="588"/>
      <c r="Y262" s="588">
        <f t="shared" si="103"/>
        <v>-2.0714285714285836</v>
      </c>
      <c r="Z262" s="588">
        <f t="shared" si="104"/>
        <v>-1.4857142857142946</v>
      </c>
      <c r="AA262" s="589">
        <f t="shared" si="105"/>
        <v>0.52857142857141071</v>
      </c>
    </row>
    <row r="263" spans="1:27" ht="17.25" customHeight="1">
      <c r="A263" s="777"/>
      <c r="B263" s="777"/>
      <c r="C263" s="778">
        <v>8</v>
      </c>
      <c r="D263" s="1193">
        <v>125.3</v>
      </c>
      <c r="E263" s="1193">
        <v>135.69999999999999</v>
      </c>
      <c r="F263" s="1193">
        <v>114.5</v>
      </c>
      <c r="G263" s="587"/>
      <c r="H263" s="587">
        <v>100</v>
      </c>
      <c r="I263" s="583">
        <f t="shared" si="100"/>
        <v>-1.1000000000000085</v>
      </c>
      <c r="J263" s="583">
        <f t="shared" si="101"/>
        <v>-7.9000000000000057</v>
      </c>
      <c r="K263" s="583">
        <f t="shared" si="102"/>
        <v>-0.29999999999999716</v>
      </c>
      <c r="L263" s="588"/>
      <c r="M263" s="588">
        <f t="shared" si="88"/>
        <v>127.10000000000001</v>
      </c>
      <c r="N263" s="588">
        <f t="shared" si="89"/>
        <v>141.96666666666667</v>
      </c>
      <c r="O263" s="588">
        <f t="shared" si="90"/>
        <v>114.7</v>
      </c>
      <c r="P263" s="583"/>
      <c r="Q263" s="588">
        <f t="shared" si="106"/>
        <v>-1.9333333333333229</v>
      </c>
      <c r="R263" s="588">
        <f t="shared" si="107"/>
        <v>-3.2333333333333485</v>
      </c>
      <c r="S263" s="588">
        <f t="shared" si="108"/>
        <v>9.9999999999994316E-2</v>
      </c>
      <c r="T263" s="588"/>
      <c r="U263" s="588">
        <f t="shared" si="91"/>
        <v>131.6142857142857</v>
      </c>
      <c r="V263" s="588">
        <f t="shared" si="92"/>
        <v>145.02857142857144</v>
      </c>
      <c r="W263" s="588">
        <f t="shared" si="93"/>
        <v>112.28571428571426</v>
      </c>
      <c r="X263" s="588"/>
      <c r="Y263" s="588">
        <f t="shared" si="103"/>
        <v>-2.2714285714285722</v>
      </c>
      <c r="Z263" s="588">
        <f t="shared" si="104"/>
        <v>-2.9999999999999716</v>
      </c>
      <c r="AA263" s="589">
        <f t="shared" si="105"/>
        <v>0.35714285714284699</v>
      </c>
    </row>
    <row r="264" spans="1:27" ht="17.25" customHeight="1">
      <c r="A264" s="777"/>
      <c r="B264" s="777"/>
      <c r="C264" s="778">
        <v>9</v>
      </c>
      <c r="D264" s="1193">
        <v>129.69999999999999</v>
      </c>
      <c r="E264" s="1193">
        <v>141.30000000000001</v>
      </c>
      <c r="F264" s="1193">
        <v>115.3</v>
      </c>
      <c r="G264" s="587"/>
      <c r="H264" s="587">
        <v>100</v>
      </c>
      <c r="I264" s="583">
        <f t="shared" si="100"/>
        <v>4.3999999999999915</v>
      </c>
      <c r="J264" s="583">
        <f t="shared" si="101"/>
        <v>5.6000000000000227</v>
      </c>
      <c r="K264" s="583">
        <f t="shared" si="102"/>
        <v>0.79999999999999716</v>
      </c>
      <c r="L264" s="588"/>
      <c r="M264" s="588">
        <f t="shared" si="88"/>
        <v>127.13333333333333</v>
      </c>
      <c r="N264" s="588">
        <f t="shared" si="89"/>
        <v>140.19999999999999</v>
      </c>
      <c r="O264" s="588">
        <f t="shared" si="90"/>
        <v>114.86666666666667</v>
      </c>
      <c r="P264" s="583"/>
      <c r="Q264" s="588">
        <f t="shared" si="106"/>
        <v>3.3333333333317228E-2</v>
      </c>
      <c r="R264" s="588">
        <f t="shared" si="107"/>
        <v>-1.7666666666666799</v>
      </c>
      <c r="S264" s="588">
        <f t="shared" si="108"/>
        <v>0.1666666666666714</v>
      </c>
      <c r="T264" s="588"/>
      <c r="U264" s="588">
        <f t="shared" si="91"/>
        <v>130.07142857142858</v>
      </c>
      <c r="V264" s="588">
        <f t="shared" si="92"/>
        <v>142.92857142857142</v>
      </c>
      <c r="W264" s="588">
        <f t="shared" si="93"/>
        <v>112.7</v>
      </c>
      <c r="X264" s="588"/>
      <c r="Y264" s="588">
        <f t="shared" si="103"/>
        <v>-1.5428571428571161</v>
      </c>
      <c r="Z264" s="588">
        <f t="shared" si="104"/>
        <v>-2.1000000000000227</v>
      </c>
      <c r="AA264" s="589">
        <f t="shared" si="105"/>
        <v>0.41428571428573946</v>
      </c>
    </row>
    <row r="265" spans="1:27" ht="17.25" customHeight="1">
      <c r="A265" s="777"/>
      <c r="B265" s="777"/>
      <c r="C265" s="778">
        <v>10</v>
      </c>
      <c r="D265" s="1193">
        <v>130.19999999999999</v>
      </c>
      <c r="E265" s="1193">
        <v>143.19999999999999</v>
      </c>
      <c r="F265" s="1193">
        <v>115.3</v>
      </c>
      <c r="G265" s="587"/>
      <c r="H265" s="587">
        <v>100</v>
      </c>
      <c r="I265" s="583">
        <f t="shared" si="100"/>
        <v>0.5</v>
      </c>
      <c r="J265" s="583">
        <f t="shared" si="101"/>
        <v>1.8999999999999773</v>
      </c>
      <c r="K265" s="583">
        <f t="shared" si="102"/>
        <v>0</v>
      </c>
      <c r="L265" s="588"/>
      <c r="M265" s="588">
        <f t="shared" si="88"/>
        <v>128.4</v>
      </c>
      <c r="N265" s="588">
        <f t="shared" si="89"/>
        <v>140.06666666666666</v>
      </c>
      <c r="O265" s="588">
        <f t="shared" si="90"/>
        <v>115.03333333333335</v>
      </c>
      <c r="P265" s="583"/>
      <c r="Q265" s="588">
        <f t="shared" si="106"/>
        <v>1.2666666666666799</v>
      </c>
      <c r="R265" s="588">
        <f t="shared" si="107"/>
        <v>-0.13333333333332575</v>
      </c>
      <c r="S265" s="588">
        <f t="shared" si="108"/>
        <v>0.1666666666666714</v>
      </c>
      <c r="T265" s="588"/>
      <c r="U265" s="588">
        <f t="shared" si="91"/>
        <v>129.07142857142858</v>
      </c>
      <c r="V265" s="588">
        <f t="shared" si="92"/>
        <v>142.58571428571432</v>
      </c>
      <c r="W265" s="588">
        <f t="shared" si="93"/>
        <v>113.94285714285714</v>
      </c>
      <c r="X265" s="588"/>
      <c r="Y265" s="588">
        <f t="shared" si="103"/>
        <v>-1</v>
      </c>
      <c r="Z265" s="588">
        <f t="shared" si="104"/>
        <v>-0.34285714285709901</v>
      </c>
      <c r="AA265" s="589">
        <f t="shared" si="105"/>
        <v>1.2428571428571331</v>
      </c>
    </row>
    <row r="266" spans="1:27" ht="17.25" customHeight="1">
      <c r="A266" s="777"/>
      <c r="B266" s="777"/>
      <c r="C266" s="778">
        <v>11</v>
      </c>
      <c r="D266" s="1193">
        <v>129</v>
      </c>
      <c r="E266" s="1193">
        <v>149.80000000000001</v>
      </c>
      <c r="F266" s="1193">
        <v>113.6</v>
      </c>
      <c r="G266" s="587"/>
      <c r="H266" s="587">
        <v>100</v>
      </c>
      <c r="I266" s="583">
        <f t="shared" si="100"/>
        <v>-1.1999999999999886</v>
      </c>
      <c r="J266" s="583">
        <f t="shared" si="101"/>
        <v>6.6000000000000227</v>
      </c>
      <c r="K266" s="583">
        <f t="shared" si="102"/>
        <v>-1.7000000000000028</v>
      </c>
      <c r="L266" s="588"/>
      <c r="M266" s="588">
        <f t="shared" si="88"/>
        <v>129.63333333333333</v>
      </c>
      <c r="N266" s="588">
        <f t="shared" si="89"/>
        <v>144.76666666666668</v>
      </c>
      <c r="O266" s="588">
        <f t="shared" si="90"/>
        <v>114.73333333333333</v>
      </c>
      <c r="P266" s="583"/>
      <c r="Q266" s="588">
        <f t="shared" si="106"/>
        <v>1.2333333333333201</v>
      </c>
      <c r="R266" s="588">
        <f t="shared" si="107"/>
        <v>4.7000000000000171</v>
      </c>
      <c r="S266" s="588">
        <f t="shared" si="108"/>
        <v>-0.30000000000001137</v>
      </c>
      <c r="T266" s="588"/>
      <c r="U266" s="588">
        <f t="shared" si="91"/>
        <v>128.75714285714284</v>
      </c>
      <c r="V266" s="588">
        <f t="shared" si="92"/>
        <v>143.65714285714284</v>
      </c>
      <c r="W266" s="588">
        <f t="shared" si="93"/>
        <v>114.64285714285714</v>
      </c>
      <c r="X266" s="588"/>
      <c r="Y266" s="588">
        <f t="shared" si="103"/>
        <v>-0.31428571428574514</v>
      </c>
      <c r="Z266" s="588">
        <f t="shared" si="104"/>
        <v>1.0714285714285268</v>
      </c>
      <c r="AA266" s="589">
        <f t="shared" si="105"/>
        <v>0.70000000000000284</v>
      </c>
    </row>
    <row r="267" spans="1:27" ht="17.25" customHeight="1">
      <c r="A267" s="875"/>
      <c r="B267" s="875"/>
      <c r="C267" s="876">
        <v>12</v>
      </c>
      <c r="D267" s="1197">
        <v>136.5</v>
      </c>
      <c r="E267" s="1197">
        <v>141.69999999999999</v>
      </c>
      <c r="F267" s="1197">
        <v>109.9</v>
      </c>
      <c r="G267" s="591"/>
      <c r="H267" s="591">
        <v>100</v>
      </c>
      <c r="I267" s="592">
        <f t="shared" si="100"/>
        <v>7.5</v>
      </c>
      <c r="J267" s="592">
        <f t="shared" si="101"/>
        <v>-8.1000000000000227</v>
      </c>
      <c r="K267" s="592">
        <f t="shared" si="102"/>
        <v>-3.6999999999999886</v>
      </c>
      <c r="L267" s="593"/>
      <c r="M267" s="593">
        <f t="shared" si="88"/>
        <v>131.9</v>
      </c>
      <c r="N267" s="593">
        <f t="shared" si="89"/>
        <v>144.9</v>
      </c>
      <c r="O267" s="593">
        <f t="shared" si="90"/>
        <v>112.93333333333332</v>
      </c>
      <c r="P267" s="592"/>
      <c r="Q267" s="593">
        <f t="shared" si="106"/>
        <v>2.2666666666666799</v>
      </c>
      <c r="R267" s="593">
        <f t="shared" si="107"/>
        <v>0.13333333333332575</v>
      </c>
      <c r="S267" s="593">
        <f t="shared" si="108"/>
        <v>-1.8000000000000114</v>
      </c>
      <c r="T267" s="593"/>
      <c r="U267" s="593">
        <f t="shared" si="91"/>
        <v>129.52857142857144</v>
      </c>
      <c r="V267" s="593">
        <f t="shared" si="92"/>
        <v>143.12857142857143</v>
      </c>
      <c r="W267" s="593">
        <f t="shared" si="93"/>
        <v>114.02857142857144</v>
      </c>
      <c r="X267" s="593"/>
      <c r="Y267" s="593">
        <f t="shared" si="103"/>
        <v>0.77142857142860066</v>
      </c>
      <c r="Z267" s="593">
        <f t="shared" si="104"/>
        <v>-0.52857142857141071</v>
      </c>
      <c r="AA267" s="594">
        <f t="shared" si="105"/>
        <v>-0.61428571428569967</v>
      </c>
    </row>
    <row r="268" spans="1:27" ht="17.25" customHeight="1">
      <c r="A268" s="478">
        <v>27</v>
      </c>
      <c r="B268" s="759">
        <v>15</v>
      </c>
      <c r="C268" s="955">
        <v>1</v>
      </c>
      <c r="D268" s="1199">
        <v>129.80000000000001</v>
      </c>
      <c r="E268" s="1199">
        <v>150.30000000000001</v>
      </c>
      <c r="F268" s="1199">
        <v>102.3</v>
      </c>
      <c r="G268" s="596"/>
      <c r="H268" s="601">
        <v>100</v>
      </c>
      <c r="I268" s="592">
        <f t="shared" si="100"/>
        <v>-6.6999999999999886</v>
      </c>
      <c r="J268" s="592">
        <f t="shared" si="101"/>
        <v>8.6000000000000227</v>
      </c>
      <c r="K268" s="592">
        <f t="shared" si="102"/>
        <v>-7.6000000000000085</v>
      </c>
      <c r="L268" s="593"/>
      <c r="M268" s="593">
        <f t="shared" si="88"/>
        <v>131.76666666666668</v>
      </c>
      <c r="N268" s="593">
        <f t="shared" si="89"/>
        <v>147.26666666666668</v>
      </c>
      <c r="O268" s="593">
        <f t="shared" si="90"/>
        <v>108.60000000000001</v>
      </c>
      <c r="P268" s="592"/>
      <c r="Q268" s="598">
        <f t="shared" si="106"/>
        <v>-0.13333333333332575</v>
      </c>
      <c r="R268" s="598">
        <f t="shared" si="107"/>
        <v>2.3666666666666742</v>
      </c>
      <c r="S268" s="598">
        <f t="shared" si="108"/>
        <v>-4.3333333333333144</v>
      </c>
      <c r="T268" s="593"/>
      <c r="U268" s="593">
        <f t="shared" si="91"/>
        <v>129.55714285714285</v>
      </c>
      <c r="V268" s="593">
        <f t="shared" si="92"/>
        <v>143.65714285714284</v>
      </c>
      <c r="W268" s="593">
        <f t="shared" si="93"/>
        <v>112.24285714285713</v>
      </c>
      <c r="X268" s="593"/>
      <c r="Y268" s="593">
        <f t="shared" si="103"/>
        <v>2.8571428571410706E-2</v>
      </c>
      <c r="Z268" s="593">
        <f t="shared" si="104"/>
        <v>0.52857142857141071</v>
      </c>
      <c r="AA268" s="594">
        <f t="shared" si="105"/>
        <v>-1.785714285714306</v>
      </c>
    </row>
    <row r="269" spans="1:27" ht="17.25" customHeight="1">
      <c r="A269" s="777"/>
      <c r="B269" s="777"/>
      <c r="C269" s="778">
        <v>2</v>
      </c>
      <c r="D269" s="1199">
        <v>125.1</v>
      </c>
      <c r="E269" s="1199">
        <v>144.9</v>
      </c>
      <c r="F269" s="1199">
        <v>106.6</v>
      </c>
      <c r="G269" s="596"/>
      <c r="H269" s="587">
        <v>100</v>
      </c>
      <c r="I269" s="592">
        <f t="shared" si="100"/>
        <v>-4.7000000000000171</v>
      </c>
      <c r="J269" s="592">
        <f t="shared" si="101"/>
        <v>-5.4000000000000057</v>
      </c>
      <c r="K269" s="592">
        <f t="shared" si="102"/>
        <v>4.2999999999999972</v>
      </c>
      <c r="L269" s="593"/>
      <c r="M269" s="593">
        <f t="shared" si="88"/>
        <v>130.46666666666667</v>
      </c>
      <c r="N269" s="593">
        <f t="shared" si="89"/>
        <v>145.63333333333333</v>
      </c>
      <c r="O269" s="593">
        <f t="shared" si="90"/>
        <v>106.26666666666665</v>
      </c>
      <c r="P269" s="592"/>
      <c r="Q269" s="588">
        <f t="shared" si="106"/>
        <v>-1.3000000000000114</v>
      </c>
      <c r="R269" s="588">
        <f t="shared" si="107"/>
        <v>-1.6333333333333542</v>
      </c>
      <c r="S269" s="588">
        <f t="shared" si="108"/>
        <v>-2.333333333333357</v>
      </c>
      <c r="T269" s="593"/>
      <c r="U269" s="593">
        <f t="shared" si="91"/>
        <v>129.37142857142857</v>
      </c>
      <c r="V269" s="593">
        <f t="shared" si="92"/>
        <v>143.84285714285713</v>
      </c>
      <c r="W269" s="593">
        <f t="shared" si="93"/>
        <v>111.07142857142857</v>
      </c>
      <c r="X269" s="593"/>
      <c r="Y269" s="593">
        <f t="shared" si="103"/>
        <v>-0.18571428571428328</v>
      </c>
      <c r="Z269" s="593">
        <f t="shared" si="104"/>
        <v>0.18571428571428328</v>
      </c>
      <c r="AA269" s="594">
        <f t="shared" si="105"/>
        <v>-1.1714285714285637</v>
      </c>
    </row>
    <row r="270" spans="1:27" ht="17.25" customHeight="1">
      <c r="A270" s="777"/>
      <c r="B270" s="777"/>
      <c r="C270" s="778">
        <v>3</v>
      </c>
      <c r="D270" s="1193">
        <v>123.8</v>
      </c>
      <c r="E270" s="1193">
        <v>146</v>
      </c>
      <c r="F270" s="1193">
        <v>105.8</v>
      </c>
      <c r="G270" s="587"/>
      <c r="H270" s="587">
        <v>100</v>
      </c>
      <c r="I270" s="592">
        <f t="shared" si="100"/>
        <v>-1.2999999999999972</v>
      </c>
      <c r="J270" s="592">
        <f t="shared" si="101"/>
        <v>1.0999999999999943</v>
      </c>
      <c r="K270" s="592">
        <f t="shared" si="102"/>
        <v>-0.79999999999999716</v>
      </c>
      <c r="L270" s="593"/>
      <c r="M270" s="593">
        <f t="shared" si="88"/>
        <v>126.23333333333333</v>
      </c>
      <c r="N270" s="593">
        <f t="shared" si="89"/>
        <v>147.06666666666669</v>
      </c>
      <c r="O270" s="593">
        <f t="shared" si="90"/>
        <v>104.89999999999999</v>
      </c>
      <c r="P270" s="592"/>
      <c r="Q270" s="588">
        <f t="shared" si="106"/>
        <v>-4.2333333333333343</v>
      </c>
      <c r="R270" s="588">
        <f t="shared" si="107"/>
        <v>1.4333333333333655</v>
      </c>
      <c r="S270" s="588">
        <f t="shared" si="108"/>
        <v>-1.36666666666666</v>
      </c>
      <c r="T270" s="593"/>
      <c r="U270" s="593">
        <f t="shared" si="91"/>
        <v>129.15714285714287</v>
      </c>
      <c r="V270" s="593">
        <f t="shared" si="92"/>
        <v>145.31428571428572</v>
      </c>
      <c r="W270" s="593">
        <f t="shared" si="93"/>
        <v>109.82857142857142</v>
      </c>
      <c r="X270" s="593"/>
      <c r="Y270" s="593">
        <f t="shared" si="103"/>
        <v>-0.21428571428569398</v>
      </c>
      <c r="Z270" s="593">
        <f t="shared" si="104"/>
        <v>1.4714285714285893</v>
      </c>
      <c r="AA270" s="594">
        <f t="shared" si="105"/>
        <v>-1.2428571428571473</v>
      </c>
    </row>
    <row r="271" spans="1:27" ht="17.25" customHeight="1">
      <c r="A271" s="777"/>
      <c r="B271" s="777"/>
      <c r="C271" s="778">
        <v>4</v>
      </c>
      <c r="D271" s="1193">
        <v>119.9</v>
      </c>
      <c r="E271" s="1193">
        <v>149.30000000000001</v>
      </c>
      <c r="F271" s="1193">
        <v>105.6</v>
      </c>
      <c r="G271" s="587"/>
      <c r="H271" s="587">
        <v>100</v>
      </c>
      <c r="I271" s="592">
        <f t="shared" si="100"/>
        <v>-3.8999999999999915</v>
      </c>
      <c r="J271" s="592">
        <f t="shared" si="101"/>
        <v>3.3000000000000114</v>
      </c>
      <c r="K271" s="592">
        <f t="shared" si="102"/>
        <v>-0.20000000000000284</v>
      </c>
      <c r="L271" s="593"/>
      <c r="M271" s="593">
        <f t="shared" si="88"/>
        <v>122.93333333333332</v>
      </c>
      <c r="N271" s="593">
        <f t="shared" si="89"/>
        <v>146.73333333333332</v>
      </c>
      <c r="O271" s="593">
        <f t="shared" si="90"/>
        <v>106</v>
      </c>
      <c r="P271" s="592"/>
      <c r="Q271" s="588">
        <f t="shared" si="106"/>
        <v>-3.3000000000000114</v>
      </c>
      <c r="R271" s="588">
        <f t="shared" si="107"/>
        <v>-0.33333333333337123</v>
      </c>
      <c r="S271" s="588">
        <f t="shared" si="108"/>
        <v>1.1000000000000085</v>
      </c>
      <c r="T271" s="593"/>
      <c r="U271" s="593">
        <f t="shared" si="91"/>
        <v>127.75714285714285</v>
      </c>
      <c r="V271" s="593">
        <f t="shared" si="92"/>
        <v>146.45714285714286</v>
      </c>
      <c r="W271" s="593">
        <f t="shared" si="93"/>
        <v>108.44285714285714</v>
      </c>
      <c r="X271" s="593"/>
      <c r="Y271" s="593">
        <f t="shared" si="103"/>
        <v>-1.4000000000000199</v>
      </c>
      <c r="Z271" s="593">
        <f t="shared" si="104"/>
        <v>1.1428571428571388</v>
      </c>
      <c r="AA271" s="594">
        <f t="shared" si="105"/>
        <v>-1.3857142857142861</v>
      </c>
    </row>
    <row r="272" spans="1:27" ht="17.25" customHeight="1">
      <c r="A272" s="777"/>
      <c r="B272" s="777"/>
      <c r="C272" s="778">
        <v>5</v>
      </c>
      <c r="D272" s="1193">
        <v>123</v>
      </c>
      <c r="E272" s="1193">
        <v>144</v>
      </c>
      <c r="F272" s="1193">
        <v>104.9</v>
      </c>
      <c r="G272" s="587"/>
      <c r="H272" s="587">
        <v>100</v>
      </c>
      <c r="I272" s="592">
        <f t="shared" si="100"/>
        <v>3.0999999999999943</v>
      </c>
      <c r="J272" s="592">
        <f t="shared" si="101"/>
        <v>-5.3000000000000114</v>
      </c>
      <c r="K272" s="592">
        <f t="shared" si="102"/>
        <v>-0.69999999999998863</v>
      </c>
      <c r="L272" s="593"/>
      <c r="M272" s="593">
        <f t="shared" ref="M272:M303" si="109">AVERAGE(D270:D272)</f>
        <v>122.23333333333333</v>
      </c>
      <c r="N272" s="593">
        <f t="shared" ref="N272:N303" si="110">AVERAGE(E270:E272)</f>
        <v>146.43333333333334</v>
      </c>
      <c r="O272" s="593">
        <f t="shared" ref="O272:O303" si="111">AVERAGE(F270:F272)</f>
        <v>105.43333333333332</v>
      </c>
      <c r="P272" s="592"/>
      <c r="Q272" s="588">
        <f t="shared" si="106"/>
        <v>-0.69999999999998863</v>
      </c>
      <c r="R272" s="588">
        <f t="shared" si="107"/>
        <v>-0.29999999999998295</v>
      </c>
      <c r="S272" s="588">
        <f t="shared" si="108"/>
        <v>-0.56666666666667709</v>
      </c>
      <c r="T272" s="593"/>
      <c r="U272" s="593">
        <f t="shared" ref="U272:U303" si="112">AVERAGE(D266:D272)</f>
        <v>126.72857142857141</v>
      </c>
      <c r="V272" s="593">
        <f t="shared" ref="V272:V303" si="113">AVERAGE(E266:E272)</f>
        <v>146.57142857142858</v>
      </c>
      <c r="W272" s="593">
        <f t="shared" ref="W272:W303" si="114">AVERAGE(F266:F272)</f>
        <v>106.95714285714284</v>
      </c>
      <c r="X272" s="593"/>
      <c r="Y272" s="593">
        <f t="shared" si="103"/>
        <v>-1.0285714285714391</v>
      </c>
      <c r="Z272" s="593">
        <f t="shared" si="104"/>
        <v>0.11428571428572809</v>
      </c>
      <c r="AA272" s="594">
        <f t="shared" si="105"/>
        <v>-1.4857142857142946</v>
      </c>
    </row>
    <row r="273" spans="1:27" ht="17.25" customHeight="1">
      <c r="A273" s="777"/>
      <c r="B273" s="777"/>
      <c r="C273" s="778">
        <v>6</v>
      </c>
      <c r="D273" s="1193">
        <v>121.8</v>
      </c>
      <c r="E273" s="1193">
        <v>140.30000000000001</v>
      </c>
      <c r="F273" s="1193">
        <v>102.6</v>
      </c>
      <c r="G273" s="587"/>
      <c r="H273" s="587">
        <v>100</v>
      </c>
      <c r="I273" s="592">
        <f t="shared" si="100"/>
        <v>-1.2000000000000028</v>
      </c>
      <c r="J273" s="592">
        <f t="shared" si="101"/>
        <v>-3.6999999999999886</v>
      </c>
      <c r="K273" s="592">
        <f t="shared" si="102"/>
        <v>-2.3000000000000114</v>
      </c>
      <c r="L273" s="593"/>
      <c r="M273" s="593">
        <f t="shared" si="109"/>
        <v>121.56666666666666</v>
      </c>
      <c r="N273" s="593">
        <f t="shared" si="110"/>
        <v>144.53333333333333</v>
      </c>
      <c r="O273" s="593">
        <f t="shared" si="111"/>
        <v>104.36666666666667</v>
      </c>
      <c r="P273" s="592"/>
      <c r="Q273" s="588">
        <f t="shared" si="106"/>
        <v>-0.6666666666666714</v>
      </c>
      <c r="R273" s="588">
        <f t="shared" si="107"/>
        <v>-1.9000000000000057</v>
      </c>
      <c r="S273" s="588">
        <f t="shared" si="108"/>
        <v>-1.0666666666666487</v>
      </c>
      <c r="T273" s="593"/>
      <c r="U273" s="593">
        <f t="shared" si="112"/>
        <v>125.69999999999997</v>
      </c>
      <c r="V273" s="593">
        <f t="shared" si="113"/>
        <v>145.21428571428572</v>
      </c>
      <c r="W273" s="593">
        <f t="shared" si="114"/>
        <v>105.38571428571427</v>
      </c>
      <c r="X273" s="593"/>
      <c r="Y273" s="593">
        <f t="shared" si="103"/>
        <v>-1.0285714285714391</v>
      </c>
      <c r="Z273" s="593">
        <f t="shared" si="104"/>
        <v>-1.3571428571428612</v>
      </c>
      <c r="AA273" s="594">
        <f t="shared" si="105"/>
        <v>-1.5714285714285694</v>
      </c>
    </row>
    <row r="274" spans="1:27" ht="17.25" customHeight="1">
      <c r="A274" s="777"/>
      <c r="B274" s="777"/>
      <c r="C274" s="778">
        <v>7</v>
      </c>
      <c r="D274" s="1193">
        <v>121.7</v>
      </c>
      <c r="E274" s="1193">
        <v>142.4</v>
      </c>
      <c r="F274" s="1193">
        <v>100.4</v>
      </c>
      <c r="G274" s="587"/>
      <c r="H274" s="587">
        <v>100</v>
      </c>
      <c r="I274" s="592">
        <f t="shared" si="100"/>
        <v>-9.9999999999994316E-2</v>
      </c>
      <c r="J274" s="592">
        <f t="shared" si="101"/>
        <v>2.0999999999999943</v>
      </c>
      <c r="K274" s="592">
        <f t="shared" si="102"/>
        <v>-2.1999999999999886</v>
      </c>
      <c r="L274" s="593"/>
      <c r="M274" s="593">
        <f t="shared" si="109"/>
        <v>122.16666666666667</v>
      </c>
      <c r="N274" s="593">
        <f t="shared" si="110"/>
        <v>142.23333333333335</v>
      </c>
      <c r="O274" s="593">
        <f t="shared" si="111"/>
        <v>102.63333333333333</v>
      </c>
      <c r="P274" s="592"/>
      <c r="Q274" s="588">
        <f t="shared" si="106"/>
        <v>0.60000000000000853</v>
      </c>
      <c r="R274" s="588">
        <f t="shared" si="107"/>
        <v>-2.2999999999999829</v>
      </c>
      <c r="S274" s="588">
        <f t="shared" si="108"/>
        <v>-1.7333333333333485</v>
      </c>
      <c r="T274" s="593"/>
      <c r="U274" s="593">
        <f t="shared" si="112"/>
        <v>123.58571428571429</v>
      </c>
      <c r="V274" s="593">
        <f t="shared" si="113"/>
        <v>145.31428571428572</v>
      </c>
      <c r="W274" s="593">
        <f t="shared" si="114"/>
        <v>104.02857142857142</v>
      </c>
      <c r="X274" s="593"/>
      <c r="Y274" s="593">
        <f t="shared" si="103"/>
        <v>-2.1142857142856855</v>
      </c>
      <c r="Z274" s="593">
        <f t="shared" si="104"/>
        <v>9.9999999999994316E-2</v>
      </c>
      <c r="AA274" s="594">
        <f t="shared" si="105"/>
        <v>-1.357142857142847</v>
      </c>
    </row>
    <row r="275" spans="1:27" ht="17.25" customHeight="1">
      <c r="A275" s="777"/>
      <c r="B275" s="777"/>
      <c r="C275" s="778">
        <v>8</v>
      </c>
      <c r="D275" s="1193">
        <v>122.3</v>
      </c>
      <c r="E275" s="1193">
        <v>142.30000000000001</v>
      </c>
      <c r="F275" s="1193">
        <v>100.9</v>
      </c>
      <c r="G275" s="587"/>
      <c r="H275" s="587">
        <v>100</v>
      </c>
      <c r="I275" s="592">
        <f t="shared" si="100"/>
        <v>0.59999999999999432</v>
      </c>
      <c r="J275" s="592">
        <f t="shared" si="101"/>
        <v>-9.9999999999994316E-2</v>
      </c>
      <c r="K275" s="592">
        <f t="shared" si="102"/>
        <v>0.5</v>
      </c>
      <c r="L275" s="593"/>
      <c r="M275" s="593">
        <f t="shared" si="109"/>
        <v>121.93333333333334</v>
      </c>
      <c r="N275" s="593">
        <f t="shared" si="110"/>
        <v>141.66666666666669</v>
      </c>
      <c r="O275" s="593">
        <f t="shared" si="111"/>
        <v>101.3</v>
      </c>
      <c r="P275" s="592"/>
      <c r="Q275" s="588">
        <f t="shared" si="106"/>
        <v>-0.23333333333333428</v>
      </c>
      <c r="R275" s="588">
        <f t="shared" si="107"/>
        <v>-0.56666666666666288</v>
      </c>
      <c r="S275" s="588">
        <f t="shared" si="108"/>
        <v>-1.3333333333333286</v>
      </c>
      <c r="T275" s="593"/>
      <c r="U275" s="593">
        <f t="shared" si="112"/>
        <v>122.51428571428571</v>
      </c>
      <c r="V275" s="593">
        <f t="shared" si="113"/>
        <v>144.17142857142858</v>
      </c>
      <c r="W275" s="593">
        <f t="shared" si="114"/>
        <v>103.82857142857142</v>
      </c>
      <c r="X275" s="593"/>
      <c r="Y275" s="593">
        <f t="shared" si="103"/>
        <v>-1.0714285714285836</v>
      </c>
      <c r="Z275" s="593">
        <f t="shared" si="104"/>
        <v>-1.1428571428571388</v>
      </c>
      <c r="AA275" s="594">
        <f t="shared" si="105"/>
        <v>-0.20000000000000284</v>
      </c>
    </row>
    <row r="276" spans="1:27" ht="17.25" customHeight="1">
      <c r="A276" s="777"/>
      <c r="B276" s="777"/>
      <c r="C276" s="778">
        <v>9</v>
      </c>
      <c r="D276" s="1193">
        <v>119.5</v>
      </c>
      <c r="E276" s="1193">
        <v>137.5</v>
      </c>
      <c r="F276" s="1193">
        <v>97.1</v>
      </c>
      <c r="G276" s="587"/>
      <c r="H276" s="587">
        <v>100</v>
      </c>
      <c r="I276" s="592">
        <f t="shared" si="100"/>
        <v>-2.7999999999999972</v>
      </c>
      <c r="J276" s="592">
        <f t="shared" si="101"/>
        <v>-4.8000000000000114</v>
      </c>
      <c r="K276" s="592">
        <f t="shared" si="102"/>
        <v>-3.8000000000000114</v>
      </c>
      <c r="L276" s="593"/>
      <c r="M276" s="593">
        <f t="shared" si="109"/>
        <v>121.16666666666667</v>
      </c>
      <c r="N276" s="593">
        <f t="shared" si="110"/>
        <v>140.73333333333335</v>
      </c>
      <c r="O276" s="593">
        <f t="shared" si="111"/>
        <v>99.466666666666654</v>
      </c>
      <c r="P276" s="592"/>
      <c r="Q276" s="588">
        <f t="shared" si="106"/>
        <v>-0.76666666666666572</v>
      </c>
      <c r="R276" s="588">
        <f t="shared" si="107"/>
        <v>-0.93333333333333712</v>
      </c>
      <c r="S276" s="588">
        <f t="shared" si="108"/>
        <v>-1.8333333333333428</v>
      </c>
      <c r="T276" s="593"/>
      <c r="U276" s="593">
        <f t="shared" si="112"/>
        <v>121.71428571428571</v>
      </c>
      <c r="V276" s="593">
        <f t="shared" si="113"/>
        <v>143.1142857142857</v>
      </c>
      <c r="W276" s="593">
        <f t="shared" si="114"/>
        <v>102.47142857142856</v>
      </c>
      <c r="X276" s="593"/>
      <c r="Y276" s="593">
        <f t="shared" si="103"/>
        <v>-0.79999999999999716</v>
      </c>
      <c r="Z276" s="593">
        <f t="shared" si="104"/>
        <v>-1.0571428571428783</v>
      </c>
      <c r="AA276" s="594">
        <f t="shared" si="105"/>
        <v>-1.3571428571428612</v>
      </c>
    </row>
    <row r="277" spans="1:27" ht="17.25" customHeight="1">
      <c r="A277" s="777"/>
      <c r="B277" s="777"/>
      <c r="C277" s="778">
        <v>10</v>
      </c>
      <c r="D277" s="1193">
        <v>116.9</v>
      </c>
      <c r="E277" s="1193">
        <v>136.9</v>
      </c>
      <c r="F277" s="1193">
        <v>101.4</v>
      </c>
      <c r="G277" s="587"/>
      <c r="H277" s="587">
        <v>100</v>
      </c>
      <c r="I277" s="592">
        <f t="shared" si="100"/>
        <v>-2.5999999999999943</v>
      </c>
      <c r="J277" s="592">
        <f t="shared" si="101"/>
        <v>-0.59999999999999432</v>
      </c>
      <c r="K277" s="592">
        <f t="shared" si="102"/>
        <v>4.3000000000000114</v>
      </c>
      <c r="L277" s="593"/>
      <c r="M277" s="593">
        <f t="shared" si="109"/>
        <v>119.56666666666668</v>
      </c>
      <c r="N277" s="593">
        <f t="shared" si="110"/>
        <v>138.9</v>
      </c>
      <c r="O277" s="593">
        <f t="shared" si="111"/>
        <v>99.8</v>
      </c>
      <c r="P277" s="592"/>
      <c r="Q277" s="588">
        <f t="shared" si="106"/>
        <v>-1.5999999999999943</v>
      </c>
      <c r="R277" s="588">
        <f t="shared" si="107"/>
        <v>-1.8333333333333428</v>
      </c>
      <c r="S277" s="588">
        <f t="shared" si="108"/>
        <v>0.33333333333334281</v>
      </c>
      <c r="T277" s="593"/>
      <c r="U277" s="593">
        <f t="shared" si="112"/>
        <v>120.72857142857141</v>
      </c>
      <c r="V277" s="593">
        <f t="shared" si="113"/>
        <v>141.81428571428572</v>
      </c>
      <c r="W277" s="593">
        <f t="shared" si="114"/>
        <v>101.84285714285714</v>
      </c>
      <c r="X277" s="593"/>
      <c r="Y277" s="593">
        <f t="shared" si="103"/>
        <v>-0.98571428571429465</v>
      </c>
      <c r="Z277" s="593">
        <f t="shared" si="104"/>
        <v>-1.2999999999999829</v>
      </c>
      <c r="AA277" s="594">
        <f t="shared" si="105"/>
        <v>-0.62857142857141923</v>
      </c>
    </row>
    <row r="278" spans="1:27" ht="17.25" customHeight="1">
      <c r="A278" s="777"/>
      <c r="B278" s="777"/>
      <c r="C278" s="778">
        <v>11</v>
      </c>
      <c r="D278" s="1193">
        <v>114.3</v>
      </c>
      <c r="E278" s="1193">
        <v>130.1</v>
      </c>
      <c r="F278" s="1193">
        <v>97.6</v>
      </c>
      <c r="G278" s="587"/>
      <c r="H278" s="587">
        <v>100</v>
      </c>
      <c r="I278" s="592">
        <f t="shared" si="100"/>
        <v>-2.6000000000000085</v>
      </c>
      <c r="J278" s="592">
        <f t="shared" si="101"/>
        <v>-6.8000000000000114</v>
      </c>
      <c r="K278" s="592">
        <f t="shared" si="102"/>
        <v>-3.8000000000000114</v>
      </c>
      <c r="L278" s="593"/>
      <c r="M278" s="593">
        <f t="shared" si="109"/>
        <v>116.89999999999999</v>
      </c>
      <c r="N278" s="593">
        <f t="shared" si="110"/>
        <v>134.83333333333334</v>
      </c>
      <c r="O278" s="593">
        <f t="shared" si="111"/>
        <v>98.7</v>
      </c>
      <c r="P278" s="592"/>
      <c r="Q278" s="588">
        <f t="shared" si="106"/>
        <v>-2.6666666666666856</v>
      </c>
      <c r="R278" s="588">
        <f t="shared" si="107"/>
        <v>-4.0666666666666629</v>
      </c>
      <c r="S278" s="588">
        <f t="shared" si="108"/>
        <v>-1.0999999999999943</v>
      </c>
      <c r="T278" s="593"/>
      <c r="U278" s="593">
        <f t="shared" si="112"/>
        <v>119.92857142857142</v>
      </c>
      <c r="V278" s="593">
        <f t="shared" si="113"/>
        <v>139.07142857142858</v>
      </c>
      <c r="W278" s="593">
        <f t="shared" si="114"/>
        <v>100.7</v>
      </c>
      <c r="X278" s="593"/>
      <c r="Y278" s="593">
        <f t="shared" si="103"/>
        <v>-0.79999999999999716</v>
      </c>
      <c r="Z278" s="593">
        <f t="shared" si="104"/>
        <v>-2.7428571428571331</v>
      </c>
      <c r="AA278" s="594">
        <f t="shared" si="105"/>
        <v>-1.1428571428571388</v>
      </c>
    </row>
    <row r="279" spans="1:27" ht="17.25" customHeight="1">
      <c r="A279" s="777"/>
      <c r="B279" s="777"/>
      <c r="C279" s="778">
        <v>12</v>
      </c>
      <c r="D279" s="1197">
        <v>115.4</v>
      </c>
      <c r="E279" s="1197">
        <v>132.6</v>
      </c>
      <c r="F279" s="1197">
        <v>100.3</v>
      </c>
      <c r="G279" s="591"/>
      <c r="H279" s="591">
        <v>100</v>
      </c>
      <c r="I279" s="592">
        <f t="shared" si="100"/>
        <v>1.1000000000000085</v>
      </c>
      <c r="J279" s="592">
        <f t="shared" si="101"/>
        <v>2.5</v>
      </c>
      <c r="K279" s="592">
        <f t="shared" si="102"/>
        <v>2.7000000000000028</v>
      </c>
      <c r="L279" s="593"/>
      <c r="M279" s="593">
        <f t="shared" si="109"/>
        <v>115.53333333333335</v>
      </c>
      <c r="N279" s="593">
        <f t="shared" si="110"/>
        <v>133.20000000000002</v>
      </c>
      <c r="O279" s="593">
        <f t="shared" si="111"/>
        <v>99.766666666666666</v>
      </c>
      <c r="P279" s="592"/>
      <c r="Q279" s="588">
        <f t="shared" si="106"/>
        <v>-1.3666666666666458</v>
      </c>
      <c r="R279" s="588">
        <f t="shared" si="107"/>
        <v>-1.6333333333333258</v>
      </c>
      <c r="S279" s="588">
        <f t="shared" si="108"/>
        <v>1.0666666666666629</v>
      </c>
      <c r="T279" s="593"/>
      <c r="U279" s="593">
        <f t="shared" si="112"/>
        <v>118.84285714285714</v>
      </c>
      <c r="V279" s="593">
        <f t="shared" si="113"/>
        <v>137.44285714285715</v>
      </c>
      <c r="W279" s="593">
        <f t="shared" si="114"/>
        <v>100.04285714285713</v>
      </c>
      <c r="X279" s="593"/>
      <c r="Y279" s="593">
        <f t="shared" si="103"/>
        <v>-1.0857142857142748</v>
      </c>
      <c r="Z279" s="593">
        <f t="shared" si="104"/>
        <v>-1.6285714285714334</v>
      </c>
      <c r="AA279" s="594">
        <f t="shared" si="105"/>
        <v>-0.65714285714287257</v>
      </c>
    </row>
    <row r="280" spans="1:27" ht="17.25" customHeight="1">
      <c r="A280" s="478">
        <v>28</v>
      </c>
      <c r="B280" s="759">
        <v>16</v>
      </c>
      <c r="C280" s="955">
        <v>1</v>
      </c>
      <c r="D280" s="1199">
        <v>114.8</v>
      </c>
      <c r="E280" s="1199">
        <v>130.5</v>
      </c>
      <c r="F280" s="1199">
        <v>101.6</v>
      </c>
      <c r="G280" s="596"/>
      <c r="H280" s="601">
        <v>100</v>
      </c>
      <c r="I280" s="592">
        <f t="shared" si="100"/>
        <v>-0.60000000000000853</v>
      </c>
      <c r="J280" s="592">
        <f t="shared" si="101"/>
        <v>-2.0999999999999943</v>
      </c>
      <c r="K280" s="592">
        <f t="shared" si="102"/>
        <v>1.2999999999999972</v>
      </c>
      <c r="L280" s="593"/>
      <c r="M280" s="593">
        <f t="shared" si="109"/>
        <v>114.83333333333333</v>
      </c>
      <c r="N280" s="593">
        <f t="shared" si="110"/>
        <v>131.06666666666666</v>
      </c>
      <c r="O280" s="593">
        <f t="shared" si="111"/>
        <v>99.833333333333329</v>
      </c>
      <c r="P280" s="592"/>
      <c r="Q280" s="588">
        <f t="shared" si="106"/>
        <v>-0.70000000000001705</v>
      </c>
      <c r="R280" s="588">
        <f t="shared" si="107"/>
        <v>-2.1333333333333542</v>
      </c>
      <c r="S280" s="588">
        <f t="shared" si="108"/>
        <v>6.6666666666662877E-2</v>
      </c>
      <c r="T280" s="593"/>
      <c r="U280" s="593">
        <f t="shared" si="112"/>
        <v>117.84285714285713</v>
      </c>
      <c r="V280" s="593">
        <f t="shared" si="113"/>
        <v>136.04285714285714</v>
      </c>
      <c r="W280" s="593">
        <f t="shared" si="114"/>
        <v>99.899999999999991</v>
      </c>
      <c r="X280" s="593"/>
      <c r="Y280" s="593">
        <f t="shared" si="103"/>
        <v>-1.0000000000000142</v>
      </c>
      <c r="Z280" s="593">
        <f t="shared" si="104"/>
        <v>-1.4000000000000057</v>
      </c>
      <c r="AA280" s="594">
        <f t="shared" si="105"/>
        <v>-0.1428571428571388</v>
      </c>
    </row>
    <row r="281" spans="1:27" ht="17.25" customHeight="1">
      <c r="A281" s="777"/>
      <c r="B281" s="777"/>
      <c r="C281" s="778">
        <v>2</v>
      </c>
      <c r="D281" s="1199">
        <v>112.7</v>
      </c>
      <c r="E281" s="1199">
        <v>130.4</v>
      </c>
      <c r="F281" s="1199">
        <v>101.5</v>
      </c>
      <c r="G281" s="596"/>
      <c r="H281" s="587">
        <v>100</v>
      </c>
      <c r="I281" s="592">
        <f t="shared" si="100"/>
        <v>-2.0999999999999943</v>
      </c>
      <c r="J281" s="592">
        <f t="shared" si="101"/>
        <v>-9.9999999999994316E-2</v>
      </c>
      <c r="K281" s="592">
        <f t="shared" si="102"/>
        <v>-9.9999999999994316E-2</v>
      </c>
      <c r="L281" s="593"/>
      <c r="M281" s="593">
        <f t="shared" si="109"/>
        <v>114.3</v>
      </c>
      <c r="N281" s="593">
        <f t="shared" si="110"/>
        <v>131.16666666666666</v>
      </c>
      <c r="O281" s="593">
        <f t="shared" si="111"/>
        <v>101.13333333333333</v>
      </c>
      <c r="P281" s="592"/>
      <c r="Q281" s="588">
        <f t="shared" si="106"/>
        <v>-0.53333333333333144</v>
      </c>
      <c r="R281" s="588">
        <f t="shared" si="107"/>
        <v>9.9999999999994316E-2</v>
      </c>
      <c r="S281" s="588">
        <f t="shared" si="108"/>
        <v>1.2999999999999972</v>
      </c>
      <c r="T281" s="593"/>
      <c r="U281" s="593">
        <f t="shared" si="112"/>
        <v>116.55714285714286</v>
      </c>
      <c r="V281" s="593">
        <f t="shared" si="113"/>
        <v>134.32857142857145</v>
      </c>
      <c r="W281" s="593">
        <f t="shared" si="114"/>
        <v>100.05714285714285</v>
      </c>
      <c r="X281" s="593"/>
      <c r="Y281" s="593">
        <f t="shared" si="103"/>
        <v>-1.2857142857142634</v>
      </c>
      <c r="Z281" s="593">
        <f t="shared" si="104"/>
        <v>-1.714285714285694</v>
      </c>
      <c r="AA281" s="594">
        <f t="shared" si="105"/>
        <v>0.15714285714285836</v>
      </c>
    </row>
    <row r="282" spans="1:27" ht="17.25" customHeight="1">
      <c r="A282" s="777"/>
      <c r="B282" s="777"/>
      <c r="C282" s="778">
        <v>3</v>
      </c>
      <c r="D282" s="1193">
        <v>110.2</v>
      </c>
      <c r="E282" s="1193">
        <v>129.4</v>
      </c>
      <c r="F282" s="1193">
        <v>101.2</v>
      </c>
      <c r="G282" s="587"/>
      <c r="H282" s="587">
        <v>100</v>
      </c>
      <c r="I282" s="592">
        <f t="shared" si="100"/>
        <v>-2.5</v>
      </c>
      <c r="J282" s="592">
        <f t="shared" si="101"/>
        <v>-1</v>
      </c>
      <c r="K282" s="592">
        <f t="shared" si="102"/>
        <v>-0.29999999999999716</v>
      </c>
      <c r="L282" s="593"/>
      <c r="M282" s="593">
        <f t="shared" si="109"/>
        <v>112.56666666666666</v>
      </c>
      <c r="N282" s="593">
        <f t="shared" si="110"/>
        <v>130.1</v>
      </c>
      <c r="O282" s="593">
        <f t="shared" si="111"/>
        <v>101.43333333333334</v>
      </c>
      <c r="P282" s="592"/>
      <c r="Q282" s="588">
        <f t="shared" si="106"/>
        <v>-1.7333333333333343</v>
      </c>
      <c r="R282" s="588">
        <f t="shared" si="107"/>
        <v>-1.0666666666666629</v>
      </c>
      <c r="S282" s="588">
        <f t="shared" si="108"/>
        <v>0.30000000000001137</v>
      </c>
      <c r="T282" s="593"/>
      <c r="U282" s="593">
        <f t="shared" si="112"/>
        <v>114.82857142857144</v>
      </c>
      <c r="V282" s="593">
        <f t="shared" si="113"/>
        <v>132.48571428571429</v>
      </c>
      <c r="W282" s="593">
        <f t="shared" si="114"/>
        <v>100.10000000000001</v>
      </c>
      <c r="X282" s="593"/>
      <c r="Y282" s="593">
        <f t="shared" si="103"/>
        <v>-1.7285714285714278</v>
      </c>
      <c r="Z282" s="593">
        <f t="shared" si="104"/>
        <v>-1.8428571428571558</v>
      </c>
      <c r="AA282" s="594">
        <f t="shared" si="105"/>
        <v>4.2857142857158692E-2</v>
      </c>
    </row>
    <row r="283" spans="1:27" ht="17.25" customHeight="1">
      <c r="A283" s="777"/>
      <c r="B283" s="777"/>
      <c r="C283" s="778">
        <v>4</v>
      </c>
      <c r="D283" s="1193">
        <v>111.5</v>
      </c>
      <c r="E283" s="1193">
        <v>130.69999999999999</v>
      </c>
      <c r="F283" s="1193">
        <v>99.8</v>
      </c>
      <c r="G283" s="587"/>
      <c r="H283" s="587">
        <v>100</v>
      </c>
      <c r="I283" s="592">
        <f t="shared" si="100"/>
        <v>1.2999999999999972</v>
      </c>
      <c r="J283" s="592">
        <f t="shared" si="101"/>
        <v>1.2999999999999829</v>
      </c>
      <c r="K283" s="592">
        <f t="shared" si="102"/>
        <v>-1.4000000000000057</v>
      </c>
      <c r="L283" s="593"/>
      <c r="M283" s="593">
        <f t="shared" si="109"/>
        <v>111.46666666666665</v>
      </c>
      <c r="N283" s="593">
        <f t="shared" si="110"/>
        <v>130.16666666666666</v>
      </c>
      <c r="O283" s="593">
        <f t="shared" si="111"/>
        <v>100.83333333333333</v>
      </c>
      <c r="P283" s="592"/>
      <c r="Q283" s="588">
        <f t="shared" si="106"/>
        <v>-1.1000000000000085</v>
      </c>
      <c r="R283" s="588">
        <f t="shared" si="107"/>
        <v>6.6666666666662877E-2</v>
      </c>
      <c r="S283" s="588">
        <f t="shared" si="108"/>
        <v>-0.60000000000000853</v>
      </c>
      <c r="T283" s="593"/>
      <c r="U283" s="593">
        <f t="shared" si="112"/>
        <v>113.6857142857143</v>
      </c>
      <c r="V283" s="593">
        <f t="shared" si="113"/>
        <v>131.51428571428571</v>
      </c>
      <c r="W283" s="593">
        <f t="shared" si="114"/>
        <v>100.48571428571428</v>
      </c>
      <c r="X283" s="593"/>
      <c r="Y283" s="593">
        <f t="shared" si="103"/>
        <v>-1.1428571428571388</v>
      </c>
      <c r="Z283" s="593">
        <f t="shared" si="104"/>
        <v>-0.97142857142858929</v>
      </c>
      <c r="AA283" s="594">
        <f t="shared" si="105"/>
        <v>0.38571428571427191</v>
      </c>
    </row>
    <row r="284" spans="1:27" ht="17.25" customHeight="1" thickBot="1">
      <c r="A284" s="777"/>
      <c r="B284" s="777"/>
      <c r="C284" s="778">
        <v>5</v>
      </c>
      <c r="D284" s="1200">
        <v>110.8</v>
      </c>
      <c r="E284" s="1200">
        <v>128.4</v>
      </c>
      <c r="F284" s="1200">
        <v>99</v>
      </c>
      <c r="G284" s="587"/>
      <c r="H284" s="587">
        <v>100</v>
      </c>
      <c r="I284" s="592">
        <f t="shared" si="100"/>
        <v>-0.70000000000000284</v>
      </c>
      <c r="J284" s="592">
        <f t="shared" si="101"/>
        <v>-2.2999999999999829</v>
      </c>
      <c r="K284" s="592">
        <f t="shared" si="102"/>
        <v>-0.79999999999999716</v>
      </c>
      <c r="L284" s="593"/>
      <c r="M284" s="593">
        <f t="shared" si="109"/>
        <v>110.83333333333333</v>
      </c>
      <c r="N284" s="593">
        <f t="shared" si="110"/>
        <v>129.5</v>
      </c>
      <c r="O284" s="593">
        <f t="shared" si="111"/>
        <v>100</v>
      </c>
      <c r="P284" s="592"/>
      <c r="Q284" s="588">
        <f t="shared" si="106"/>
        <v>-0.63333333333332575</v>
      </c>
      <c r="R284" s="588">
        <f t="shared" si="107"/>
        <v>-0.66666666666665719</v>
      </c>
      <c r="S284" s="588">
        <f t="shared" si="108"/>
        <v>-0.8333333333333286</v>
      </c>
      <c r="T284" s="593"/>
      <c r="U284" s="593">
        <f t="shared" si="112"/>
        <v>112.8142857142857</v>
      </c>
      <c r="V284" s="593">
        <f t="shared" si="113"/>
        <v>130.30000000000001</v>
      </c>
      <c r="W284" s="593">
        <f t="shared" si="114"/>
        <v>100.14285714285714</v>
      </c>
      <c r="X284" s="593"/>
      <c r="Y284" s="593">
        <f t="shared" si="103"/>
        <v>-0.87142857142859498</v>
      </c>
      <c r="Z284" s="593">
        <f t="shared" si="104"/>
        <v>-1.214285714285694</v>
      </c>
      <c r="AA284" s="594">
        <f t="shared" si="105"/>
        <v>-0.34285714285714164</v>
      </c>
    </row>
    <row r="285" spans="1:27" ht="17.25" customHeight="1" thickTop="1">
      <c r="A285" s="777"/>
      <c r="B285" s="777"/>
      <c r="C285" s="778">
        <v>6</v>
      </c>
      <c r="D285" s="1199">
        <v>106.6</v>
      </c>
      <c r="E285" s="1199">
        <v>126.2</v>
      </c>
      <c r="F285" s="1199">
        <v>97.4</v>
      </c>
      <c r="G285" s="587"/>
      <c r="H285" s="587">
        <v>100</v>
      </c>
      <c r="I285" s="592">
        <f t="shared" si="100"/>
        <v>-4.2000000000000028</v>
      </c>
      <c r="J285" s="592">
        <f t="shared" si="101"/>
        <v>-2.2000000000000028</v>
      </c>
      <c r="K285" s="592">
        <f t="shared" si="102"/>
        <v>-1.5999999999999943</v>
      </c>
      <c r="L285" s="593"/>
      <c r="M285" s="593">
        <f t="shared" si="109"/>
        <v>109.63333333333333</v>
      </c>
      <c r="N285" s="593">
        <f t="shared" si="110"/>
        <v>128.43333333333334</v>
      </c>
      <c r="O285" s="593">
        <f t="shared" si="111"/>
        <v>98.733333333333348</v>
      </c>
      <c r="P285" s="592"/>
      <c r="Q285" s="588">
        <f t="shared" si="106"/>
        <v>-1.2000000000000028</v>
      </c>
      <c r="R285" s="588">
        <f t="shared" si="107"/>
        <v>-1.0666666666666629</v>
      </c>
      <c r="S285" s="588">
        <f t="shared" si="108"/>
        <v>-1.2666666666666515</v>
      </c>
      <c r="T285" s="593"/>
      <c r="U285" s="593">
        <f t="shared" si="112"/>
        <v>111.71428571428569</v>
      </c>
      <c r="V285" s="593">
        <f t="shared" si="113"/>
        <v>129.74285714285713</v>
      </c>
      <c r="W285" s="593">
        <f t="shared" si="114"/>
        <v>100.11428571428571</v>
      </c>
      <c r="X285" s="593"/>
      <c r="Y285" s="593">
        <f t="shared" si="103"/>
        <v>-1.1000000000000085</v>
      </c>
      <c r="Z285" s="593">
        <f t="shared" si="104"/>
        <v>-0.55714285714287826</v>
      </c>
      <c r="AA285" s="594">
        <f t="shared" si="105"/>
        <v>-2.8571428571424917E-2</v>
      </c>
    </row>
    <row r="286" spans="1:27" ht="17.25" customHeight="1">
      <c r="A286" s="777"/>
      <c r="B286" s="777"/>
      <c r="C286" s="778">
        <v>7</v>
      </c>
      <c r="D286" s="1193">
        <v>108.3</v>
      </c>
      <c r="E286" s="1193">
        <v>125.4</v>
      </c>
      <c r="F286" s="1193">
        <v>99.8</v>
      </c>
      <c r="G286" s="587"/>
      <c r="H286" s="587">
        <v>100</v>
      </c>
      <c r="I286" s="592">
        <f t="shared" si="100"/>
        <v>1.7000000000000028</v>
      </c>
      <c r="J286" s="592">
        <f t="shared" si="101"/>
        <v>-0.79999999999999716</v>
      </c>
      <c r="K286" s="592">
        <f t="shared" si="102"/>
        <v>2.3999999999999915</v>
      </c>
      <c r="L286" s="593"/>
      <c r="M286" s="593">
        <f t="shared" si="109"/>
        <v>108.56666666666666</v>
      </c>
      <c r="N286" s="593">
        <f t="shared" si="110"/>
        <v>126.66666666666667</v>
      </c>
      <c r="O286" s="593">
        <f t="shared" si="111"/>
        <v>98.733333333333334</v>
      </c>
      <c r="P286" s="592"/>
      <c r="Q286" s="588">
        <f t="shared" si="106"/>
        <v>-1.0666666666666629</v>
      </c>
      <c r="R286" s="588">
        <f t="shared" si="107"/>
        <v>-1.7666666666666657</v>
      </c>
      <c r="S286" s="588">
        <f t="shared" si="108"/>
        <v>0</v>
      </c>
      <c r="T286" s="593"/>
      <c r="U286" s="593">
        <f t="shared" si="112"/>
        <v>110.7</v>
      </c>
      <c r="V286" s="593">
        <f t="shared" si="113"/>
        <v>128.71428571428572</v>
      </c>
      <c r="W286" s="593">
        <f t="shared" si="114"/>
        <v>100.04285714285713</v>
      </c>
      <c r="X286" s="593"/>
      <c r="Y286" s="593">
        <f t="shared" si="103"/>
        <v>-1.0142857142856911</v>
      </c>
      <c r="Z286" s="593">
        <f t="shared" si="104"/>
        <v>-1.0285714285714107</v>
      </c>
      <c r="AA286" s="594">
        <f t="shared" si="105"/>
        <v>-7.1428571428583609E-2</v>
      </c>
    </row>
    <row r="287" spans="1:27" ht="17.25" customHeight="1">
      <c r="A287" s="777"/>
      <c r="B287" s="777"/>
      <c r="C287" s="778">
        <v>8</v>
      </c>
      <c r="D287" s="1193">
        <v>106.1</v>
      </c>
      <c r="E287" s="1193">
        <v>125</v>
      </c>
      <c r="F287" s="1193">
        <v>97.8</v>
      </c>
      <c r="G287" s="587"/>
      <c r="H287" s="587">
        <v>100</v>
      </c>
      <c r="I287" s="592">
        <f t="shared" si="100"/>
        <v>-2.2000000000000028</v>
      </c>
      <c r="J287" s="592">
        <f t="shared" si="101"/>
        <v>-0.40000000000000568</v>
      </c>
      <c r="K287" s="592">
        <f t="shared" si="102"/>
        <v>-2</v>
      </c>
      <c r="L287" s="593"/>
      <c r="M287" s="593">
        <f t="shared" si="109"/>
        <v>107</v>
      </c>
      <c r="N287" s="593">
        <f t="shared" si="110"/>
        <v>125.53333333333335</v>
      </c>
      <c r="O287" s="593">
        <f t="shared" si="111"/>
        <v>98.333333333333329</v>
      </c>
      <c r="P287" s="592"/>
      <c r="Q287" s="588">
        <f t="shared" si="106"/>
        <v>-1.5666666666666629</v>
      </c>
      <c r="R287" s="588">
        <f t="shared" si="107"/>
        <v>-1.1333333333333258</v>
      </c>
      <c r="S287" s="588">
        <f t="shared" si="108"/>
        <v>-0.40000000000000568</v>
      </c>
      <c r="T287" s="593"/>
      <c r="U287" s="593">
        <f t="shared" si="112"/>
        <v>109.45714285714284</v>
      </c>
      <c r="V287" s="593">
        <f t="shared" si="113"/>
        <v>127.92857142857143</v>
      </c>
      <c r="W287" s="593">
        <f t="shared" si="114"/>
        <v>99.499999999999986</v>
      </c>
      <c r="X287" s="593"/>
      <c r="Y287" s="593">
        <f t="shared" si="103"/>
        <v>-1.2428571428571615</v>
      </c>
      <c r="Z287" s="593">
        <f t="shared" si="104"/>
        <v>-0.7857142857142918</v>
      </c>
      <c r="AA287" s="594">
        <f t="shared" si="105"/>
        <v>-0.54285714285714448</v>
      </c>
    </row>
    <row r="288" spans="1:27" ht="17.25" customHeight="1">
      <c r="A288" s="777"/>
      <c r="B288" s="777"/>
      <c r="C288" s="778">
        <v>9</v>
      </c>
      <c r="D288" s="1193">
        <v>108.9</v>
      </c>
      <c r="E288" s="1193">
        <v>131.9</v>
      </c>
      <c r="F288" s="1193">
        <v>98.1</v>
      </c>
      <c r="G288" s="587"/>
      <c r="H288" s="587">
        <v>100</v>
      </c>
      <c r="I288" s="592">
        <f t="shared" si="100"/>
        <v>2.8000000000000114</v>
      </c>
      <c r="J288" s="592">
        <f t="shared" si="101"/>
        <v>6.9000000000000057</v>
      </c>
      <c r="K288" s="592">
        <f t="shared" si="102"/>
        <v>0.29999999999999716</v>
      </c>
      <c r="L288" s="593"/>
      <c r="M288" s="593">
        <f t="shared" si="109"/>
        <v>107.76666666666665</v>
      </c>
      <c r="N288" s="593">
        <f t="shared" si="110"/>
        <v>127.43333333333334</v>
      </c>
      <c r="O288" s="593">
        <f t="shared" si="111"/>
        <v>98.566666666666663</v>
      </c>
      <c r="P288" s="592"/>
      <c r="Q288" s="588">
        <f t="shared" si="106"/>
        <v>0.76666666666665151</v>
      </c>
      <c r="R288" s="588">
        <f t="shared" si="107"/>
        <v>1.8999999999999915</v>
      </c>
      <c r="S288" s="588">
        <f t="shared" si="108"/>
        <v>0.23333333333333428</v>
      </c>
      <c r="T288" s="593"/>
      <c r="U288" s="593">
        <f t="shared" si="112"/>
        <v>108.91428571428571</v>
      </c>
      <c r="V288" s="593">
        <f t="shared" si="113"/>
        <v>128.14285714285714</v>
      </c>
      <c r="W288" s="593">
        <f t="shared" si="114"/>
        <v>99.01428571428572</v>
      </c>
      <c r="X288" s="593"/>
      <c r="Y288" s="593">
        <f t="shared" si="103"/>
        <v>-0.54285714285713027</v>
      </c>
      <c r="Z288" s="593">
        <f t="shared" si="104"/>
        <v>0.2142857142857082</v>
      </c>
      <c r="AA288" s="594">
        <f t="shared" si="105"/>
        <v>-0.48571428571426623</v>
      </c>
    </row>
    <row r="289" spans="1:27" ht="17.25" customHeight="1">
      <c r="A289" s="777"/>
      <c r="B289" s="777"/>
      <c r="C289" s="778">
        <v>10</v>
      </c>
      <c r="D289" s="1193">
        <v>110.3</v>
      </c>
      <c r="E289" s="1193">
        <v>128.9</v>
      </c>
      <c r="F289" s="1193">
        <v>99.8</v>
      </c>
      <c r="G289" s="587"/>
      <c r="H289" s="587">
        <v>100</v>
      </c>
      <c r="I289" s="592">
        <f t="shared" si="100"/>
        <v>1.3999999999999915</v>
      </c>
      <c r="J289" s="592">
        <f t="shared" si="101"/>
        <v>-3</v>
      </c>
      <c r="K289" s="592">
        <f t="shared" si="102"/>
        <v>1.7000000000000028</v>
      </c>
      <c r="L289" s="593"/>
      <c r="M289" s="593">
        <f t="shared" si="109"/>
        <v>108.43333333333334</v>
      </c>
      <c r="N289" s="593">
        <f t="shared" si="110"/>
        <v>128.6</v>
      </c>
      <c r="O289" s="593">
        <f t="shared" si="111"/>
        <v>98.566666666666663</v>
      </c>
      <c r="P289" s="592"/>
      <c r="Q289" s="588">
        <f t="shared" si="106"/>
        <v>0.66666666666668561</v>
      </c>
      <c r="R289" s="588">
        <f t="shared" si="107"/>
        <v>1.1666666666666572</v>
      </c>
      <c r="S289" s="588">
        <f t="shared" si="108"/>
        <v>0</v>
      </c>
      <c r="T289" s="593"/>
      <c r="U289" s="593">
        <f t="shared" si="112"/>
        <v>108.92857142857142</v>
      </c>
      <c r="V289" s="593">
        <f t="shared" si="113"/>
        <v>128.07142857142858</v>
      </c>
      <c r="W289" s="593">
        <f t="shared" si="114"/>
        <v>98.814285714285717</v>
      </c>
      <c r="X289" s="593"/>
      <c r="Y289" s="593">
        <f t="shared" si="103"/>
        <v>1.4285714285705353E-2</v>
      </c>
      <c r="Z289" s="593">
        <f t="shared" si="104"/>
        <v>-7.1428571428555188E-2</v>
      </c>
      <c r="AA289" s="594">
        <f t="shared" si="105"/>
        <v>-0.20000000000000284</v>
      </c>
    </row>
    <row r="290" spans="1:27" ht="17.25" customHeight="1">
      <c r="A290" s="777"/>
      <c r="B290" s="777"/>
      <c r="C290" s="778">
        <v>11</v>
      </c>
      <c r="D290" s="1193">
        <v>111.7</v>
      </c>
      <c r="E290" s="1193">
        <v>131.19999999999999</v>
      </c>
      <c r="F290" s="1193">
        <v>101.1</v>
      </c>
      <c r="G290" s="587"/>
      <c r="H290" s="587">
        <v>100</v>
      </c>
      <c r="I290" s="592">
        <f t="shared" si="100"/>
        <v>1.4000000000000057</v>
      </c>
      <c r="J290" s="592">
        <f t="shared" si="101"/>
        <v>2.2999999999999829</v>
      </c>
      <c r="K290" s="592">
        <f t="shared" si="102"/>
        <v>1.2999999999999972</v>
      </c>
      <c r="L290" s="593"/>
      <c r="M290" s="593">
        <f t="shared" si="109"/>
        <v>110.3</v>
      </c>
      <c r="N290" s="593">
        <f t="shared" si="110"/>
        <v>130.66666666666666</v>
      </c>
      <c r="O290" s="593">
        <f t="shared" si="111"/>
        <v>99.666666666666671</v>
      </c>
      <c r="P290" s="592"/>
      <c r="Q290" s="588">
        <f t="shared" si="106"/>
        <v>1.86666666666666</v>
      </c>
      <c r="R290" s="588">
        <f t="shared" si="107"/>
        <v>2.0666666666666629</v>
      </c>
      <c r="S290" s="588">
        <f t="shared" si="108"/>
        <v>1.1000000000000085</v>
      </c>
      <c r="T290" s="593"/>
      <c r="U290" s="593">
        <f t="shared" si="112"/>
        <v>108.95714285714284</v>
      </c>
      <c r="V290" s="593">
        <f t="shared" si="113"/>
        <v>128.14285714285714</v>
      </c>
      <c r="W290" s="593">
        <f t="shared" si="114"/>
        <v>99</v>
      </c>
      <c r="X290" s="593"/>
      <c r="Y290" s="593">
        <f t="shared" si="103"/>
        <v>2.8571428571424917E-2</v>
      </c>
      <c r="Z290" s="593">
        <f t="shared" si="104"/>
        <v>7.1428571428555188E-2</v>
      </c>
      <c r="AA290" s="594">
        <f t="shared" si="105"/>
        <v>0.18571428571428328</v>
      </c>
    </row>
    <row r="291" spans="1:27" ht="17.25" customHeight="1">
      <c r="A291" s="777"/>
      <c r="B291" s="777"/>
      <c r="C291" s="778">
        <v>12</v>
      </c>
      <c r="D291" s="1197">
        <v>116.5</v>
      </c>
      <c r="E291" s="1197">
        <v>134.19999999999999</v>
      </c>
      <c r="F291" s="1197">
        <v>101.2</v>
      </c>
      <c r="G291" s="591"/>
      <c r="H291" s="628">
        <v>100</v>
      </c>
      <c r="I291" s="592">
        <f t="shared" si="100"/>
        <v>4.7999999999999972</v>
      </c>
      <c r="J291" s="592">
        <f t="shared" si="101"/>
        <v>3</v>
      </c>
      <c r="K291" s="592">
        <f t="shared" si="102"/>
        <v>0.10000000000000853</v>
      </c>
      <c r="L291" s="593"/>
      <c r="M291" s="593">
        <f t="shared" si="109"/>
        <v>112.83333333333333</v>
      </c>
      <c r="N291" s="593">
        <f t="shared" si="110"/>
        <v>131.43333333333334</v>
      </c>
      <c r="O291" s="593">
        <f t="shared" si="111"/>
        <v>100.69999999999999</v>
      </c>
      <c r="P291" s="592"/>
      <c r="Q291" s="588">
        <f t="shared" si="106"/>
        <v>2.5333333333333314</v>
      </c>
      <c r="R291" s="588">
        <f t="shared" si="107"/>
        <v>0.76666666666667993</v>
      </c>
      <c r="S291" s="588">
        <f t="shared" si="108"/>
        <v>1.0333333333333172</v>
      </c>
      <c r="T291" s="593"/>
      <c r="U291" s="593">
        <f t="shared" si="112"/>
        <v>109.77142857142857</v>
      </c>
      <c r="V291" s="593">
        <f t="shared" si="113"/>
        <v>128.97142857142856</v>
      </c>
      <c r="W291" s="593">
        <f t="shared" si="114"/>
        <v>99.314285714285717</v>
      </c>
      <c r="X291" s="593"/>
      <c r="Y291" s="593">
        <f t="shared" si="103"/>
        <v>0.81428571428573093</v>
      </c>
      <c r="Z291" s="593">
        <f t="shared" si="104"/>
        <v>0.82857142857142208</v>
      </c>
      <c r="AA291" s="594">
        <f t="shared" si="105"/>
        <v>0.31428571428571672</v>
      </c>
    </row>
    <row r="292" spans="1:27" ht="17.25" customHeight="1">
      <c r="A292" s="478">
        <v>29</v>
      </c>
      <c r="B292" s="759">
        <v>17</v>
      </c>
      <c r="C292" s="955">
        <v>1</v>
      </c>
      <c r="D292" s="1199">
        <v>111.4</v>
      </c>
      <c r="E292" s="1199">
        <v>136.4</v>
      </c>
      <c r="F292" s="1199">
        <v>101</v>
      </c>
      <c r="G292" s="596"/>
      <c r="H292" s="601">
        <v>100</v>
      </c>
      <c r="I292" s="592">
        <f t="shared" si="100"/>
        <v>-5.0999999999999943</v>
      </c>
      <c r="J292" s="592">
        <f t="shared" si="101"/>
        <v>2.2000000000000171</v>
      </c>
      <c r="K292" s="592">
        <f t="shared" si="102"/>
        <v>-0.20000000000000284</v>
      </c>
      <c r="L292" s="593"/>
      <c r="M292" s="593">
        <f t="shared" si="109"/>
        <v>113.2</v>
      </c>
      <c r="N292" s="593">
        <f t="shared" si="110"/>
        <v>133.93333333333331</v>
      </c>
      <c r="O292" s="593">
        <f t="shared" si="111"/>
        <v>101.10000000000001</v>
      </c>
      <c r="P292" s="592"/>
      <c r="Q292" s="588">
        <f t="shared" si="106"/>
        <v>0.36666666666667425</v>
      </c>
      <c r="R292" s="588">
        <f t="shared" si="107"/>
        <v>2.4999999999999716</v>
      </c>
      <c r="S292" s="588">
        <f t="shared" si="108"/>
        <v>0.4000000000000199</v>
      </c>
      <c r="T292" s="593"/>
      <c r="U292" s="593">
        <f t="shared" si="112"/>
        <v>110.45714285714284</v>
      </c>
      <c r="V292" s="593">
        <f t="shared" si="113"/>
        <v>130.42857142857144</v>
      </c>
      <c r="W292" s="593">
        <f t="shared" si="114"/>
        <v>99.828571428571436</v>
      </c>
      <c r="X292" s="593"/>
      <c r="Y292" s="593">
        <f t="shared" si="103"/>
        <v>0.68571428571426907</v>
      </c>
      <c r="Z292" s="593">
        <f t="shared" si="104"/>
        <v>1.4571428571428839</v>
      </c>
      <c r="AA292" s="594">
        <f t="shared" si="105"/>
        <v>0.51428571428571956</v>
      </c>
    </row>
    <row r="293" spans="1:27" ht="17.25" customHeight="1">
      <c r="A293" s="777"/>
      <c r="B293" s="777"/>
      <c r="C293" s="778">
        <v>2</v>
      </c>
      <c r="D293" s="1199">
        <v>113</v>
      </c>
      <c r="E293" s="1199">
        <v>137.69999999999999</v>
      </c>
      <c r="F293" s="1199">
        <v>101.4</v>
      </c>
      <c r="G293" s="596"/>
      <c r="H293" s="587">
        <v>100</v>
      </c>
      <c r="I293" s="592">
        <f t="shared" si="100"/>
        <v>1.5999999999999943</v>
      </c>
      <c r="J293" s="592">
        <f t="shared" si="101"/>
        <v>1.2999999999999829</v>
      </c>
      <c r="K293" s="592">
        <f t="shared" si="102"/>
        <v>0.40000000000000568</v>
      </c>
      <c r="L293" s="593"/>
      <c r="M293" s="593">
        <f t="shared" si="109"/>
        <v>113.63333333333333</v>
      </c>
      <c r="N293" s="593">
        <f t="shared" si="110"/>
        <v>136.1</v>
      </c>
      <c r="O293" s="593">
        <f t="shared" si="111"/>
        <v>101.2</v>
      </c>
      <c r="P293" s="592"/>
      <c r="Q293" s="588">
        <f t="shared" si="106"/>
        <v>0.43333333333332291</v>
      </c>
      <c r="R293" s="588">
        <f t="shared" si="107"/>
        <v>2.1666666666666856</v>
      </c>
      <c r="S293" s="588">
        <f t="shared" si="108"/>
        <v>9.9999999999994316E-2</v>
      </c>
      <c r="T293" s="593"/>
      <c r="U293" s="593">
        <f t="shared" si="112"/>
        <v>111.12857142857142</v>
      </c>
      <c r="V293" s="593">
        <f t="shared" si="113"/>
        <v>132.18571428571428</v>
      </c>
      <c r="W293" s="593">
        <f t="shared" si="114"/>
        <v>100.05714285714285</v>
      </c>
      <c r="X293" s="593"/>
      <c r="Y293" s="593">
        <f t="shared" si="103"/>
        <v>0.67142857142857792</v>
      </c>
      <c r="Z293" s="593">
        <f t="shared" si="104"/>
        <v>1.7571428571428385</v>
      </c>
      <c r="AA293" s="594">
        <f t="shared" si="105"/>
        <v>0.22857142857141355</v>
      </c>
    </row>
    <row r="294" spans="1:27" ht="17.25" customHeight="1">
      <c r="A294" s="777"/>
      <c r="B294" s="777"/>
      <c r="C294" s="778">
        <v>3</v>
      </c>
      <c r="D294" s="1193">
        <v>110.6</v>
      </c>
      <c r="E294" s="1193">
        <v>135.6</v>
      </c>
      <c r="F294" s="1193">
        <v>100.5</v>
      </c>
      <c r="G294" s="587"/>
      <c r="H294" s="587">
        <v>100</v>
      </c>
      <c r="I294" s="592">
        <f t="shared" si="100"/>
        <v>-2.4000000000000057</v>
      </c>
      <c r="J294" s="592">
        <f t="shared" si="101"/>
        <v>-2.0999999999999943</v>
      </c>
      <c r="K294" s="592">
        <f t="shared" si="102"/>
        <v>-0.90000000000000568</v>
      </c>
      <c r="L294" s="593"/>
      <c r="M294" s="593">
        <f t="shared" si="109"/>
        <v>111.66666666666667</v>
      </c>
      <c r="N294" s="593">
        <f t="shared" si="110"/>
        <v>136.56666666666669</v>
      </c>
      <c r="O294" s="593">
        <f t="shared" si="111"/>
        <v>100.96666666666665</v>
      </c>
      <c r="P294" s="592"/>
      <c r="Q294" s="588">
        <f t="shared" si="106"/>
        <v>-1.9666666666666544</v>
      </c>
      <c r="R294" s="588">
        <f t="shared" si="107"/>
        <v>0.46666666666669698</v>
      </c>
      <c r="S294" s="588">
        <f t="shared" si="108"/>
        <v>-0.23333333333334849</v>
      </c>
      <c r="T294" s="593"/>
      <c r="U294" s="593">
        <f t="shared" si="112"/>
        <v>111.77142857142857</v>
      </c>
      <c r="V294" s="593">
        <f t="shared" si="113"/>
        <v>133.69999999999999</v>
      </c>
      <c r="W294" s="593">
        <f t="shared" si="114"/>
        <v>100.44285714285715</v>
      </c>
      <c r="X294" s="593"/>
      <c r="Y294" s="593">
        <f t="shared" si="103"/>
        <v>0.64285714285715301</v>
      </c>
      <c r="Z294" s="593">
        <f t="shared" si="104"/>
        <v>1.5142857142857054</v>
      </c>
      <c r="AA294" s="594">
        <f t="shared" si="105"/>
        <v>0.38571428571430033</v>
      </c>
    </row>
    <row r="295" spans="1:27" ht="17.25" customHeight="1">
      <c r="A295" s="777"/>
      <c r="B295" s="777"/>
      <c r="C295" s="778">
        <v>4</v>
      </c>
      <c r="D295" s="1193">
        <v>113.9</v>
      </c>
      <c r="E295" s="1193">
        <v>141.9</v>
      </c>
      <c r="F295" s="1193">
        <v>102.5</v>
      </c>
      <c r="G295" s="587"/>
      <c r="H295" s="587">
        <v>100</v>
      </c>
      <c r="I295" s="592">
        <f t="shared" si="100"/>
        <v>3.3000000000000114</v>
      </c>
      <c r="J295" s="592">
        <f t="shared" si="101"/>
        <v>6.3000000000000114</v>
      </c>
      <c r="K295" s="592">
        <f t="shared" si="102"/>
        <v>2</v>
      </c>
      <c r="L295" s="593"/>
      <c r="M295" s="593">
        <f t="shared" si="109"/>
        <v>112.5</v>
      </c>
      <c r="N295" s="593">
        <f t="shared" si="110"/>
        <v>138.39999999999998</v>
      </c>
      <c r="O295" s="593">
        <f t="shared" si="111"/>
        <v>101.46666666666665</v>
      </c>
      <c r="P295" s="592"/>
      <c r="Q295" s="588">
        <f t="shared" si="106"/>
        <v>0.8333333333333286</v>
      </c>
      <c r="R295" s="588">
        <f t="shared" si="107"/>
        <v>1.833333333333286</v>
      </c>
      <c r="S295" s="588">
        <f t="shared" si="108"/>
        <v>0.5</v>
      </c>
      <c r="T295" s="593"/>
      <c r="U295" s="593">
        <f t="shared" si="112"/>
        <v>112.48571428571428</v>
      </c>
      <c r="V295" s="593">
        <f t="shared" si="113"/>
        <v>135.12857142857143</v>
      </c>
      <c r="W295" s="593">
        <f t="shared" si="114"/>
        <v>101.07142857142857</v>
      </c>
      <c r="X295" s="593"/>
      <c r="Y295" s="593">
        <f t="shared" si="103"/>
        <v>0.7142857142857082</v>
      </c>
      <c r="Z295" s="593">
        <f t="shared" si="104"/>
        <v>1.4285714285714448</v>
      </c>
      <c r="AA295" s="594">
        <f t="shared" si="105"/>
        <v>0.62857142857141923</v>
      </c>
    </row>
    <row r="296" spans="1:27" ht="17.25" customHeight="1">
      <c r="A296" s="777"/>
      <c r="B296" s="777"/>
      <c r="C296" s="778">
        <v>5</v>
      </c>
      <c r="D296" s="1193">
        <v>112.5</v>
      </c>
      <c r="E296" s="1193">
        <v>141.69999999999999</v>
      </c>
      <c r="F296" s="1193">
        <v>98.7</v>
      </c>
      <c r="G296" s="587"/>
      <c r="H296" s="587">
        <v>100</v>
      </c>
      <c r="I296" s="592">
        <f t="shared" si="100"/>
        <v>-1.4000000000000057</v>
      </c>
      <c r="J296" s="592">
        <f t="shared" si="101"/>
        <v>-0.20000000000001705</v>
      </c>
      <c r="K296" s="592">
        <f t="shared" si="102"/>
        <v>-3.7999999999999972</v>
      </c>
      <c r="L296" s="593"/>
      <c r="M296" s="593">
        <f t="shared" si="109"/>
        <v>112.33333333333333</v>
      </c>
      <c r="N296" s="593">
        <f t="shared" si="110"/>
        <v>139.73333333333332</v>
      </c>
      <c r="O296" s="593">
        <f t="shared" si="111"/>
        <v>100.56666666666666</v>
      </c>
      <c r="P296" s="592"/>
      <c r="Q296" s="588">
        <f t="shared" si="106"/>
        <v>-0.1666666666666714</v>
      </c>
      <c r="R296" s="588">
        <f t="shared" si="107"/>
        <v>1.3333333333333428</v>
      </c>
      <c r="S296" s="588">
        <f t="shared" si="108"/>
        <v>-0.89999999999999147</v>
      </c>
      <c r="T296" s="593"/>
      <c r="U296" s="593">
        <f t="shared" si="112"/>
        <v>112.8</v>
      </c>
      <c r="V296" s="593">
        <f t="shared" si="113"/>
        <v>136.95714285714286</v>
      </c>
      <c r="W296" s="593">
        <f t="shared" si="114"/>
        <v>100.91428571428573</v>
      </c>
      <c r="X296" s="593"/>
      <c r="Y296" s="593">
        <f t="shared" si="103"/>
        <v>0.31428571428571672</v>
      </c>
      <c r="Z296" s="593">
        <f t="shared" si="104"/>
        <v>1.8285714285714221</v>
      </c>
      <c r="AA296" s="594">
        <f t="shared" si="105"/>
        <v>-0.15714285714284415</v>
      </c>
    </row>
    <row r="297" spans="1:27" ht="17.25" customHeight="1">
      <c r="A297" s="777"/>
      <c r="B297" s="777"/>
      <c r="C297" s="778">
        <v>6</v>
      </c>
      <c r="D297" s="1193">
        <v>114.6</v>
      </c>
      <c r="E297" s="1193">
        <v>142.6</v>
      </c>
      <c r="F297" s="1193">
        <v>100.6</v>
      </c>
      <c r="G297" s="587"/>
      <c r="H297" s="587">
        <v>100</v>
      </c>
      <c r="I297" s="592">
        <f t="shared" si="100"/>
        <v>2.0999999999999943</v>
      </c>
      <c r="J297" s="592">
        <f t="shared" si="101"/>
        <v>0.90000000000000568</v>
      </c>
      <c r="K297" s="592">
        <f t="shared" si="102"/>
        <v>1.8999999999999915</v>
      </c>
      <c r="L297" s="593"/>
      <c r="M297" s="593">
        <f t="shared" si="109"/>
        <v>113.66666666666667</v>
      </c>
      <c r="N297" s="593">
        <f t="shared" si="110"/>
        <v>142.06666666666669</v>
      </c>
      <c r="O297" s="593">
        <f t="shared" si="111"/>
        <v>100.59999999999998</v>
      </c>
      <c r="P297" s="592"/>
      <c r="Q297" s="588">
        <f t="shared" ref="Q297:Q352" si="115">M297-M296</f>
        <v>1.3333333333333428</v>
      </c>
      <c r="R297" s="588">
        <f t="shared" ref="R297:R352" si="116">N297-N296</f>
        <v>2.3333333333333712</v>
      </c>
      <c r="S297" s="588">
        <f t="shared" ref="S297:S352" si="117">O297-O296</f>
        <v>3.3333333333317228E-2</v>
      </c>
      <c r="T297" s="593"/>
      <c r="U297" s="593">
        <f t="shared" si="112"/>
        <v>113.21428571428571</v>
      </c>
      <c r="V297" s="593">
        <f t="shared" si="113"/>
        <v>138.58571428571429</v>
      </c>
      <c r="W297" s="593">
        <f t="shared" si="114"/>
        <v>100.84285714285716</v>
      </c>
      <c r="X297" s="593"/>
      <c r="Y297" s="593">
        <f t="shared" ref="Y297:Y352" si="118">U297-U296</f>
        <v>0.41428571428571104</v>
      </c>
      <c r="Z297" s="593">
        <f t="shared" ref="Z297:Z352" si="119">V297-V296</f>
        <v>1.6285714285714334</v>
      </c>
      <c r="AA297" s="594">
        <f t="shared" ref="AA297:AA352" si="120">W297-W296</f>
        <v>-7.1428571428569398E-2</v>
      </c>
    </row>
    <row r="298" spans="1:27" ht="17.25" customHeight="1">
      <c r="A298" s="777"/>
      <c r="B298" s="777"/>
      <c r="C298" s="778">
        <v>7</v>
      </c>
      <c r="D298" s="1193">
        <v>114.9</v>
      </c>
      <c r="E298" s="1193">
        <v>144</v>
      </c>
      <c r="F298" s="1193">
        <v>100.2</v>
      </c>
      <c r="G298" s="587"/>
      <c r="H298" s="587">
        <v>100</v>
      </c>
      <c r="I298" s="592">
        <f t="shared" si="100"/>
        <v>0.30000000000001137</v>
      </c>
      <c r="J298" s="592">
        <f t="shared" si="101"/>
        <v>1.4000000000000057</v>
      </c>
      <c r="K298" s="592">
        <f t="shared" si="102"/>
        <v>-0.39999999999999147</v>
      </c>
      <c r="L298" s="593"/>
      <c r="M298" s="593">
        <f t="shared" si="109"/>
        <v>114</v>
      </c>
      <c r="N298" s="593">
        <f t="shared" si="110"/>
        <v>142.76666666666665</v>
      </c>
      <c r="O298" s="593">
        <f t="shared" si="111"/>
        <v>99.833333333333329</v>
      </c>
      <c r="P298" s="592"/>
      <c r="Q298" s="588">
        <f t="shared" si="115"/>
        <v>0.3333333333333286</v>
      </c>
      <c r="R298" s="588">
        <f t="shared" si="116"/>
        <v>0.69999999999996021</v>
      </c>
      <c r="S298" s="588">
        <f t="shared" si="117"/>
        <v>-0.76666666666665151</v>
      </c>
      <c r="T298" s="593"/>
      <c r="U298" s="593">
        <f t="shared" si="112"/>
        <v>112.98571428571428</v>
      </c>
      <c r="V298" s="593">
        <f t="shared" si="113"/>
        <v>139.98571428571429</v>
      </c>
      <c r="W298" s="593">
        <f t="shared" si="114"/>
        <v>100.7</v>
      </c>
      <c r="X298" s="593"/>
      <c r="Y298" s="593">
        <f t="shared" si="118"/>
        <v>-0.22857142857142776</v>
      </c>
      <c r="Z298" s="593">
        <f t="shared" si="119"/>
        <v>1.4000000000000057</v>
      </c>
      <c r="AA298" s="594">
        <f t="shared" si="120"/>
        <v>-0.14285714285715301</v>
      </c>
    </row>
    <row r="299" spans="1:27" ht="17.25" customHeight="1">
      <c r="A299" s="777"/>
      <c r="B299" s="777"/>
      <c r="C299" s="778">
        <v>8</v>
      </c>
      <c r="D299" s="1193">
        <v>109.2</v>
      </c>
      <c r="E299" s="1193">
        <v>140.9</v>
      </c>
      <c r="F299" s="1193">
        <v>100.1</v>
      </c>
      <c r="G299" s="587"/>
      <c r="H299" s="587">
        <v>100</v>
      </c>
      <c r="I299" s="592">
        <f t="shared" si="100"/>
        <v>-5.7000000000000028</v>
      </c>
      <c r="J299" s="592">
        <f t="shared" si="101"/>
        <v>-3.0999999999999943</v>
      </c>
      <c r="K299" s="592">
        <f t="shared" si="102"/>
        <v>-0.10000000000000853</v>
      </c>
      <c r="L299" s="593"/>
      <c r="M299" s="593">
        <f t="shared" si="109"/>
        <v>112.89999999999999</v>
      </c>
      <c r="N299" s="593">
        <f t="shared" si="110"/>
        <v>142.5</v>
      </c>
      <c r="O299" s="593">
        <f t="shared" si="111"/>
        <v>100.3</v>
      </c>
      <c r="P299" s="592"/>
      <c r="Q299" s="588">
        <f t="shared" si="115"/>
        <v>-1.1000000000000085</v>
      </c>
      <c r="R299" s="588">
        <f t="shared" si="116"/>
        <v>-0.26666666666665151</v>
      </c>
      <c r="S299" s="588">
        <f t="shared" si="117"/>
        <v>0.46666666666666856</v>
      </c>
      <c r="T299" s="593"/>
      <c r="U299" s="593">
        <f t="shared" si="112"/>
        <v>112.67142857142858</v>
      </c>
      <c r="V299" s="593">
        <f t="shared" si="113"/>
        <v>140.62857142857141</v>
      </c>
      <c r="W299" s="593">
        <f t="shared" si="114"/>
        <v>100.57142857142857</v>
      </c>
      <c r="X299" s="593"/>
      <c r="Y299" s="593">
        <f t="shared" si="118"/>
        <v>-0.31428571428570251</v>
      </c>
      <c r="Z299" s="593">
        <f t="shared" si="119"/>
        <v>0.64285714285711038</v>
      </c>
      <c r="AA299" s="594">
        <f t="shared" si="120"/>
        <v>-0.12857142857143344</v>
      </c>
    </row>
    <row r="300" spans="1:27" ht="17.25" customHeight="1">
      <c r="A300" s="777"/>
      <c r="B300" s="777"/>
      <c r="C300" s="778">
        <v>9</v>
      </c>
      <c r="D300" s="1193">
        <v>110.7</v>
      </c>
      <c r="E300" s="1193">
        <v>137.1</v>
      </c>
      <c r="F300" s="1193">
        <v>100.6</v>
      </c>
      <c r="G300" s="587"/>
      <c r="H300" s="587">
        <v>100</v>
      </c>
      <c r="I300" s="592">
        <f t="shared" si="100"/>
        <v>1.5</v>
      </c>
      <c r="J300" s="592">
        <f t="shared" si="101"/>
        <v>-3.8000000000000114</v>
      </c>
      <c r="K300" s="592">
        <f t="shared" si="102"/>
        <v>0.5</v>
      </c>
      <c r="L300" s="593"/>
      <c r="M300" s="593">
        <f t="shared" si="109"/>
        <v>111.60000000000001</v>
      </c>
      <c r="N300" s="593">
        <f t="shared" si="110"/>
        <v>140.66666666666666</v>
      </c>
      <c r="O300" s="593">
        <f t="shared" si="111"/>
        <v>100.3</v>
      </c>
      <c r="P300" s="592"/>
      <c r="Q300" s="588">
        <f t="shared" si="115"/>
        <v>-1.2999999999999829</v>
      </c>
      <c r="R300" s="588">
        <f t="shared" si="116"/>
        <v>-1.8333333333333428</v>
      </c>
      <c r="S300" s="588">
        <f t="shared" si="117"/>
        <v>0</v>
      </c>
      <c r="T300" s="593"/>
      <c r="U300" s="593">
        <f t="shared" si="112"/>
        <v>112.34285714285716</v>
      </c>
      <c r="V300" s="593">
        <f t="shared" si="113"/>
        <v>140.54285714285714</v>
      </c>
      <c r="W300" s="593">
        <f t="shared" si="114"/>
        <v>100.45714285714284</v>
      </c>
      <c r="X300" s="593"/>
      <c r="Y300" s="593">
        <f t="shared" si="118"/>
        <v>-0.32857142857142208</v>
      </c>
      <c r="Z300" s="593">
        <f t="shared" si="119"/>
        <v>-8.5714285714260541E-2</v>
      </c>
      <c r="AA300" s="594">
        <f t="shared" si="120"/>
        <v>-0.11428571428572809</v>
      </c>
    </row>
    <row r="301" spans="1:27" ht="17.25" customHeight="1">
      <c r="A301" s="777"/>
      <c r="B301" s="777"/>
      <c r="C301" s="778">
        <v>10</v>
      </c>
      <c r="D301" s="1193">
        <v>109</v>
      </c>
      <c r="E301" s="1193">
        <v>140.80000000000001</v>
      </c>
      <c r="F301" s="1193">
        <v>99.2</v>
      </c>
      <c r="G301" s="587"/>
      <c r="H301" s="587">
        <v>100</v>
      </c>
      <c r="I301" s="592">
        <f t="shared" si="100"/>
        <v>-1.7000000000000028</v>
      </c>
      <c r="J301" s="592">
        <f t="shared" si="101"/>
        <v>3.7000000000000171</v>
      </c>
      <c r="K301" s="592">
        <f t="shared" si="102"/>
        <v>-1.3999999999999915</v>
      </c>
      <c r="L301" s="593"/>
      <c r="M301" s="593">
        <f t="shared" si="109"/>
        <v>109.63333333333333</v>
      </c>
      <c r="N301" s="593">
        <f t="shared" si="110"/>
        <v>139.6</v>
      </c>
      <c r="O301" s="593">
        <f t="shared" si="111"/>
        <v>99.966666666666654</v>
      </c>
      <c r="P301" s="592"/>
      <c r="Q301" s="588">
        <f t="shared" si="115"/>
        <v>-1.9666666666666828</v>
      </c>
      <c r="R301" s="588">
        <f t="shared" si="116"/>
        <v>-1.0666666666666629</v>
      </c>
      <c r="S301" s="588">
        <f t="shared" si="117"/>
        <v>-0.33333333333334281</v>
      </c>
      <c r="T301" s="593"/>
      <c r="U301" s="593">
        <f t="shared" si="112"/>
        <v>112.11428571428573</v>
      </c>
      <c r="V301" s="593">
        <f t="shared" si="113"/>
        <v>141.28571428571428</v>
      </c>
      <c r="W301" s="593">
        <f t="shared" si="114"/>
        <v>100.27142857142857</v>
      </c>
      <c r="X301" s="593"/>
      <c r="Y301" s="593">
        <f t="shared" si="118"/>
        <v>-0.22857142857142776</v>
      </c>
      <c r="Z301" s="593">
        <f t="shared" si="119"/>
        <v>0.74285714285713311</v>
      </c>
      <c r="AA301" s="594">
        <f t="shared" si="120"/>
        <v>-0.18571428571426907</v>
      </c>
    </row>
    <row r="302" spans="1:27" ht="17.25" customHeight="1">
      <c r="A302" s="777"/>
      <c r="B302" s="777"/>
      <c r="C302" s="778">
        <v>11</v>
      </c>
      <c r="D302" s="1193">
        <v>112.5</v>
      </c>
      <c r="E302" s="1193">
        <v>144.5</v>
      </c>
      <c r="F302" s="1193">
        <v>100.6</v>
      </c>
      <c r="G302" s="587"/>
      <c r="H302" s="587">
        <v>100</v>
      </c>
      <c r="I302" s="592">
        <f t="shared" si="100"/>
        <v>3.5</v>
      </c>
      <c r="J302" s="592">
        <f t="shared" si="101"/>
        <v>3.6999999999999886</v>
      </c>
      <c r="K302" s="592">
        <f t="shared" si="102"/>
        <v>1.3999999999999915</v>
      </c>
      <c r="L302" s="593"/>
      <c r="M302" s="593">
        <f t="shared" si="109"/>
        <v>110.73333333333333</v>
      </c>
      <c r="N302" s="593">
        <f t="shared" si="110"/>
        <v>140.79999999999998</v>
      </c>
      <c r="O302" s="593">
        <f t="shared" si="111"/>
        <v>100.13333333333333</v>
      </c>
      <c r="P302" s="592"/>
      <c r="Q302" s="588">
        <f t="shared" si="115"/>
        <v>1.1000000000000085</v>
      </c>
      <c r="R302" s="588">
        <f t="shared" si="116"/>
        <v>1.1999999999999886</v>
      </c>
      <c r="S302" s="588">
        <f t="shared" si="117"/>
        <v>0.1666666666666714</v>
      </c>
      <c r="T302" s="593"/>
      <c r="U302" s="593">
        <f t="shared" si="112"/>
        <v>111.91428571428571</v>
      </c>
      <c r="V302" s="593">
        <f t="shared" si="113"/>
        <v>141.65714285714284</v>
      </c>
      <c r="W302" s="593">
        <f t="shared" si="114"/>
        <v>100.00000000000001</v>
      </c>
      <c r="X302" s="593"/>
      <c r="Y302" s="593">
        <f t="shared" si="118"/>
        <v>-0.20000000000001705</v>
      </c>
      <c r="Z302" s="593">
        <f t="shared" si="119"/>
        <v>0.37142857142856656</v>
      </c>
      <c r="AA302" s="594">
        <f t="shared" si="120"/>
        <v>-0.27142857142855803</v>
      </c>
    </row>
    <row r="303" spans="1:27" ht="17.25" customHeight="1">
      <c r="A303" s="777"/>
      <c r="B303" s="777"/>
      <c r="C303" s="778">
        <v>12</v>
      </c>
      <c r="D303" s="1197">
        <v>114.5</v>
      </c>
      <c r="E303" s="1197">
        <v>144.9</v>
      </c>
      <c r="F303" s="1197">
        <v>103.3</v>
      </c>
      <c r="G303" s="591"/>
      <c r="H303" s="628">
        <v>100</v>
      </c>
      <c r="I303" s="592">
        <f t="shared" si="100"/>
        <v>2</v>
      </c>
      <c r="J303" s="592">
        <f t="shared" si="101"/>
        <v>0.40000000000000568</v>
      </c>
      <c r="K303" s="592">
        <f t="shared" si="102"/>
        <v>2.7000000000000028</v>
      </c>
      <c r="L303" s="593"/>
      <c r="M303" s="593">
        <f t="shared" si="109"/>
        <v>112</v>
      </c>
      <c r="N303" s="593">
        <f t="shared" si="110"/>
        <v>143.4</v>
      </c>
      <c r="O303" s="593">
        <f t="shared" si="111"/>
        <v>101.03333333333335</v>
      </c>
      <c r="P303" s="592"/>
      <c r="Q303" s="588">
        <f t="shared" si="115"/>
        <v>1.2666666666666657</v>
      </c>
      <c r="R303" s="588">
        <f t="shared" si="116"/>
        <v>2.6000000000000227</v>
      </c>
      <c r="S303" s="588">
        <f t="shared" si="117"/>
        <v>0.9000000000000199</v>
      </c>
      <c r="T303" s="593"/>
      <c r="U303" s="593">
        <f t="shared" si="112"/>
        <v>112.2</v>
      </c>
      <c r="V303" s="593">
        <f t="shared" si="113"/>
        <v>142.11428571428573</v>
      </c>
      <c r="W303" s="593">
        <f t="shared" si="114"/>
        <v>100.65714285714284</v>
      </c>
      <c r="X303" s="593"/>
      <c r="Y303" s="593">
        <f t="shared" si="118"/>
        <v>0.2857142857142918</v>
      </c>
      <c r="Z303" s="593">
        <f t="shared" si="119"/>
        <v>0.45714285714288394</v>
      </c>
      <c r="AA303" s="594">
        <f t="shared" si="120"/>
        <v>0.65714285714282994</v>
      </c>
    </row>
    <row r="304" spans="1:27" ht="17.25" customHeight="1">
      <c r="A304" s="478">
        <v>30</v>
      </c>
      <c r="B304" s="759">
        <v>18</v>
      </c>
      <c r="C304" s="955">
        <v>1</v>
      </c>
      <c r="D304" s="1199">
        <v>115</v>
      </c>
      <c r="E304" s="1199">
        <v>144.80000000000001</v>
      </c>
      <c r="F304" s="1199">
        <v>104.9</v>
      </c>
      <c r="G304" s="596"/>
      <c r="H304" s="601">
        <v>100</v>
      </c>
      <c r="I304" s="592">
        <f t="shared" si="100"/>
        <v>0.5</v>
      </c>
      <c r="J304" s="592">
        <f t="shared" si="101"/>
        <v>-9.9999999999994316E-2</v>
      </c>
      <c r="K304" s="592">
        <f t="shared" si="102"/>
        <v>1.6000000000000085</v>
      </c>
      <c r="L304" s="593"/>
      <c r="M304" s="593">
        <f t="shared" ref="M304:M335" si="121">AVERAGE(D302:D304)</f>
        <v>114</v>
      </c>
      <c r="N304" s="593">
        <f t="shared" ref="N304:N335" si="122">AVERAGE(E302:E304)</f>
        <v>144.73333333333332</v>
      </c>
      <c r="O304" s="593">
        <f t="shared" ref="O304:O335" si="123">AVERAGE(F302:F304)</f>
        <v>102.93333333333332</v>
      </c>
      <c r="P304" s="592"/>
      <c r="Q304" s="588">
        <f t="shared" si="115"/>
        <v>2</v>
      </c>
      <c r="R304" s="588">
        <f t="shared" si="116"/>
        <v>1.3333333333333144</v>
      </c>
      <c r="S304" s="588">
        <f t="shared" si="117"/>
        <v>1.8999999999999773</v>
      </c>
      <c r="T304" s="593"/>
      <c r="U304" s="593">
        <f t="shared" ref="U304:U335" si="124">AVERAGE(D298:D304)</f>
        <v>112.25714285714285</v>
      </c>
      <c r="V304" s="593">
        <f t="shared" ref="V304:V335" si="125">AVERAGE(E298:E304)</f>
        <v>142.42857142857142</v>
      </c>
      <c r="W304" s="593">
        <f t="shared" ref="W304:W335" si="126">AVERAGE(F298:F304)</f>
        <v>101.27142857142856</v>
      </c>
      <c r="X304" s="593"/>
      <c r="Y304" s="593">
        <f t="shared" si="118"/>
        <v>5.7142857142849834E-2</v>
      </c>
      <c r="Z304" s="593">
        <f t="shared" si="119"/>
        <v>0.3142857142856883</v>
      </c>
      <c r="AA304" s="594">
        <f t="shared" si="120"/>
        <v>0.61428571428571388</v>
      </c>
    </row>
    <row r="305" spans="1:27" ht="17.25" customHeight="1">
      <c r="A305" s="777"/>
      <c r="B305" s="777"/>
      <c r="C305" s="778">
        <v>2</v>
      </c>
      <c r="D305" s="1199">
        <v>115.3</v>
      </c>
      <c r="E305" s="1199">
        <v>141.4</v>
      </c>
      <c r="F305" s="1199">
        <v>102.9</v>
      </c>
      <c r="G305" s="596"/>
      <c r="H305" s="587">
        <v>100</v>
      </c>
      <c r="I305" s="592">
        <f t="shared" si="100"/>
        <v>0.29999999999999716</v>
      </c>
      <c r="J305" s="592">
        <f t="shared" si="101"/>
        <v>-3.4000000000000057</v>
      </c>
      <c r="K305" s="592">
        <f t="shared" si="102"/>
        <v>-2</v>
      </c>
      <c r="L305" s="593"/>
      <c r="M305" s="593">
        <f t="shared" si="121"/>
        <v>114.93333333333334</v>
      </c>
      <c r="N305" s="593">
        <f t="shared" si="122"/>
        <v>143.70000000000002</v>
      </c>
      <c r="O305" s="593">
        <f t="shared" si="123"/>
        <v>103.7</v>
      </c>
      <c r="P305" s="592"/>
      <c r="Q305" s="588">
        <f t="shared" si="115"/>
        <v>0.93333333333333712</v>
      </c>
      <c r="R305" s="588">
        <f t="shared" si="116"/>
        <v>-1.033333333333303</v>
      </c>
      <c r="S305" s="588">
        <f t="shared" si="117"/>
        <v>0.76666666666667993</v>
      </c>
      <c r="T305" s="593"/>
      <c r="U305" s="593">
        <f t="shared" si="124"/>
        <v>112.3142857142857</v>
      </c>
      <c r="V305" s="593">
        <f t="shared" si="125"/>
        <v>142.05714285714285</v>
      </c>
      <c r="W305" s="593">
        <f t="shared" si="126"/>
        <v>101.65714285714286</v>
      </c>
      <c r="X305" s="593"/>
      <c r="Y305" s="593">
        <f t="shared" si="118"/>
        <v>5.7142857142849834E-2</v>
      </c>
      <c r="Z305" s="593">
        <f t="shared" si="119"/>
        <v>-0.37142857142856656</v>
      </c>
      <c r="AA305" s="594">
        <f t="shared" si="120"/>
        <v>0.38571428571430033</v>
      </c>
    </row>
    <row r="306" spans="1:27" ht="17.25" customHeight="1">
      <c r="A306" s="777"/>
      <c r="B306" s="777"/>
      <c r="C306" s="778">
        <v>3</v>
      </c>
      <c r="D306" s="1193">
        <v>118.3</v>
      </c>
      <c r="E306" s="1193">
        <v>144.5</v>
      </c>
      <c r="F306" s="1193">
        <v>102.7</v>
      </c>
      <c r="G306" s="587"/>
      <c r="H306" s="587">
        <v>100</v>
      </c>
      <c r="I306" s="592">
        <f t="shared" si="100"/>
        <v>3</v>
      </c>
      <c r="J306" s="592">
        <f t="shared" si="101"/>
        <v>3.0999999999999943</v>
      </c>
      <c r="K306" s="592">
        <f t="shared" si="102"/>
        <v>-0.20000000000000284</v>
      </c>
      <c r="L306" s="593"/>
      <c r="M306" s="593">
        <f t="shared" si="121"/>
        <v>116.2</v>
      </c>
      <c r="N306" s="593">
        <f t="shared" si="122"/>
        <v>143.56666666666669</v>
      </c>
      <c r="O306" s="593">
        <f t="shared" si="123"/>
        <v>103.5</v>
      </c>
      <c r="P306" s="592"/>
      <c r="Q306" s="588">
        <f t="shared" si="115"/>
        <v>1.2666666666666657</v>
      </c>
      <c r="R306" s="588">
        <f t="shared" si="116"/>
        <v>-0.13333333333332575</v>
      </c>
      <c r="S306" s="588">
        <f t="shared" si="117"/>
        <v>-0.20000000000000284</v>
      </c>
      <c r="T306" s="593"/>
      <c r="U306" s="593">
        <f t="shared" si="124"/>
        <v>113.61428571428571</v>
      </c>
      <c r="V306" s="593">
        <f t="shared" si="125"/>
        <v>142.57142857142856</v>
      </c>
      <c r="W306" s="593">
        <f t="shared" si="126"/>
        <v>102.02857142857144</v>
      </c>
      <c r="X306" s="593"/>
      <c r="Y306" s="593">
        <f t="shared" si="118"/>
        <v>1.3000000000000114</v>
      </c>
      <c r="Z306" s="593">
        <f t="shared" si="119"/>
        <v>0.51428571428570535</v>
      </c>
      <c r="AA306" s="594">
        <f t="shared" si="120"/>
        <v>0.37142857142858077</v>
      </c>
    </row>
    <row r="307" spans="1:27" ht="17.25" customHeight="1">
      <c r="A307" s="777"/>
      <c r="B307" s="777"/>
      <c r="C307" s="778">
        <v>4</v>
      </c>
      <c r="D307" s="1193">
        <v>121.1</v>
      </c>
      <c r="E307" s="1193">
        <v>146.6</v>
      </c>
      <c r="F307" s="1193">
        <v>99.1</v>
      </c>
      <c r="G307" s="587"/>
      <c r="H307" s="587">
        <v>100</v>
      </c>
      <c r="I307" s="592">
        <f t="shared" si="100"/>
        <v>2.7999999999999972</v>
      </c>
      <c r="J307" s="592">
        <f t="shared" si="101"/>
        <v>2.0999999999999943</v>
      </c>
      <c r="K307" s="592">
        <f t="shared" si="102"/>
        <v>-3.6000000000000085</v>
      </c>
      <c r="L307" s="593"/>
      <c r="M307" s="593">
        <f t="shared" si="121"/>
        <v>118.23333333333333</v>
      </c>
      <c r="N307" s="593">
        <f t="shared" si="122"/>
        <v>144.16666666666666</v>
      </c>
      <c r="O307" s="593">
        <f t="shared" si="123"/>
        <v>101.56666666666668</v>
      </c>
      <c r="P307" s="592"/>
      <c r="Q307" s="588">
        <f t="shared" si="115"/>
        <v>2.0333333333333314</v>
      </c>
      <c r="R307" s="588">
        <f t="shared" si="116"/>
        <v>0.59999999999996589</v>
      </c>
      <c r="S307" s="588">
        <f t="shared" si="117"/>
        <v>-1.9333333333333229</v>
      </c>
      <c r="T307" s="593"/>
      <c r="U307" s="593">
        <f t="shared" si="124"/>
        <v>115.1</v>
      </c>
      <c r="V307" s="593">
        <f t="shared" si="125"/>
        <v>143.92857142857142</v>
      </c>
      <c r="W307" s="593">
        <f t="shared" si="126"/>
        <v>101.81428571428572</v>
      </c>
      <c r="X307" s="593"/>
      <c r="Y307" s="593">
        <f t="shared" si="118"/>
        <v>1.4857142857142804</v>
      </c>
      <c r="Z307" s="593">
        <f t="shared" si="119"/>
        <v>1.3571428571428612</v>
      </c>
      <c r="AA307" s="594">
        <f t="shared" si="120"/>
        <v>-0.21428571428572241</v>
      </c>
    </row>
    <row r="308" spans="1:27" ht="17.25" customHeight="1">
      <c r="A308" s="777"/>
      <c r="B308" s="777"/>
      <c r="C308" s="778">
        <v>5</v>
      </c>
      <c r="D308" s="1193">
        <v>119.6</v>
      </c>
      <c r="E308" s="1193">
        <v>145.4</v>
      </c>
      <c r="F308" s="1193">
        <v>103.3</v>
      </c>
      <c r="G308" s="587"/>
      <c r="H308" s="587">
        <v>100</v>
      </c>
      <c r="I308" s="592">
        <f t="shared" si="100"/>
        <v>-1.5</v>
      </c>
      <c r="J308" s="592">
        <f t="shared" si="101"/>
        <v>-1.1999999999999886</v>
      </c>
      <c r="K308" s="592">
        <f t="shared" si="102"/>
        <v>4.2000000000000028</v>
      </c>
      <c r="L308" s="593"/>
      <c r="M308" s="593">
        <f t="shared" si="121"/>
        <v>119.66666666666667</v>
      </c>
      <c r="N308" s="593">
        <f t="shared" si="122"/>
        <v>145.5</v>
      </c>
      <c r="O308" s="593">
        <f t="shared" si="123"/>
        <v>101.7</v>
      </c>
      <c r="P308" s="592"/>
      <c r="Q308" s="588">
        <f t="shared" si="115"/>
        <v>1.4333333333333371</v>
      </c>
      <c r="R308" s="588">
        <f t="shared" si="116"/>
        <v>1.3333333333333428</v>
      </c>
      <c r="S308" s="588">
        <f t="shared" si="117"/>
        <v>0.13333333333332575</v>
      </c>
      <c r="T308" s="593"/>
      <c r="U308" s="593">
        <f t="shared" si="124"/>
        <v>116.61428571428573</v>
      </c>
      <c r="V308" s="593">
        <f t="shared" si="125"/>
        <v>144.58571428571429</v>
      </c>
      <c r="W308" s="593">
        <f t="shared" si="126"/>
        <v>102.39999999999999</v>
      </c>
      <c r="X308" s="593"/>
      <c r="Y308" s="593">
        <f t="shared" si="118"/>
        <v>1.5142857142857338</v>
      </c>
      <c r="Z308" s="593">
        <f t="shared" si="119"/>
        <v>0.65714285714287257</v>
      </c>
      <c r="AA308" s="594">
        <f t="shared" si="120"/>
        <v>0.58571428571427475</v>
      </c>
    </row>
    <row r="309" spans="1:27" ht="17.25" customHeight="1">
      <c r="A309" s="777"/>
      <c r="B309" s="777"/>
      <c r="C309" s="778">
        <v>6</v>
      </c>
      <c r="D309" s="1193">
        <v>119.7</v>
      </c>
      <c r="E309" s="1193">
        <v>148.19999999999999</v>
      </c>
      <c r="F309" s="1193">
        <v>103.1</v>
      </c>
      <c r="G309" s="587"/>
      <c r="H309" s="587">
        <v>100</v>
      </c>
      <c r="I309" s="592">
        <f t="shared" si="100"/>
        <v>0.10000000000000853</v>
      </c>
      <c r="J309" s="592">
        <f t="shared" si="101"/>
        <v>2.7999999999999829</v>
      </c>
      <c r="K309" s="592">
        <f t="shared" si="102"/>
        <v>-0.20000000000000284</v>
      </c>
      <c r="L309" s="593"/>
      <c r="M309" s="593">
        <f t="shared" si="121"/>
        <v>120.13333333333333</v>
      </c>
      <c r="N309" s="593">
        <f t="shared" si="122"/>
        <v>146.73333333333332</v>
      </c>
      <c r="O309" s="593">
        <f t="shared" si="123"/>
        <v>101.83333333333333</v>
      </c>
      <c r="P309" s="592"/>
      <c r="Q309" s="588">
        <f t="shared" si="115"/>
        <v>0.46666666666665435</v>
      </c>
      <c r="R309" s="588">
        <f t="shared" si="116"/>
        <v>1.2333333333333201</v>
      </c>
      <c r="S309" s="588">
        <f t="shared" si="117"/>
        <v>0.13333333333332575</v>
      </c>
      <c r="T309" s="593"/>
      <c r="U309" s="593">
        <f t="shared" si="124"/>
        <v>117.64285714285715</v>
      </c>
      <c r="V309" s="593">
        <f t="shared" si="125"/>
        <v>145.1142857142857</v>
      </c>
      <c r="W309" s="593">
        <f t="shared" si="126"/>
        <v>102.75714285714285</v>
      </c>
      <c r="X309" s="593"/>
      <c r="Y309" s="593">
        <f t="shared" si="118"/>
        <v>1.0285714285714249</v>
      </c>
      <c r="Z309" s="593">
        <f t="shared" si="119"/>
        <v>0.52857142857141071</v>
      </c>
      <c r="AA309" s="594">
        <f t="shared" si="120"/>
        <v>0.3571428571428612</v>
      </c>
    </row>
    <row r="310" spans="1:27" ht="17.25" customHeight="1">
      <c r="A310" s="777"/>
      <c r="B310" s="777"/>
      <c r="C310" s="778">
        <v>7</v>
      </c>
      <c r="D310" s="1193">
        <v>123.2</v>
      </c>
      <c r="E310" s="1193">
        <v>147.69999999999999</v>
      </c>
      <c r="F310" s="1193">
        <v>104.8</v>
      </c>
      <c r="G310" s="587"/>
      <c r="H310" s="587">
        <v>100</v>
      </c>
      <c r="I310" s="592">
        <f t="shared" si="100"/>
        <v>3.5</v>
      </c>
      <c r="J310" s="592">
        <f t="shared" si="101"/>
        <v>-0.5</v>
      </c>
      <c r="K310" s="592">
        <f t="shared" si="102"/>
        <v>1.7000000000000028</v>
      </c>
      <c r="L310" s="593"/>
      <c r="M310" s="593">
        <f t="shared" si="121"/>
        <v>120.83333333333333</v>
      </c>
      <c r="N310" s="593">
        <f t="shared" si="122"/>
        <v>147.1</v>
      </c>
      <c r="O310" s="593">
        <f t="shared" si="123"/>
        <v>103.73333333333333</v>
      </c>
      <c r="P310" s="592"/>
      <c r="Q310" s="588">
        <f t="shared" si="115"/>
        <v>0.70000000000000284</v>
      </c>
      <c r="R310" s="588">
        <f t="shared" si="116"/>
        <v>0.36666666666667425</v>
      </c>
      <c r="S310" s="588">
        <f t="shared" si="117"/>
        <v>1.9000000000000057</v>
      </c>
      <c r="T310" s="593"/>
      <c r="U310" s="593">
        <f t="shared" si="124"/>
        <v>118.88571428571431</v>
      </c>
      <c r="V310" s="593">
        <f t="shared" si="125"/>
        <v>145.51428571428573</v>
      </c>
      <c r="W310" s="593">
        <f t="shared" si="126"/>
        <v>102.97142857142856</v>
      </c>
      <c r="X310" s="593"/>
      <c r="Y310" s="593">
        <f t="shared" si="118"/>
        <v>1.2428571428571615</v>
      </c>
      <c r="Z310" s="593">
        <f t="shared" si="119"/>
        <v>0.40000000000003411</v>
      </c>
      <c r="AA310" s="594">
        <f t="shared" si="120"/>
        <v>0.2142857142857082</v>
      </c>
    </row>
    <row r="311" spans="1:27" ht="17.25" customHeight="1">
      <c r="A311" s="777"/>
      <c r="B311" s="777"/>
      <c r="C311" s="778">
        <v>8</v>
      </c>
      <c r="D311" s="1193">
        <v>122.5</v>
      </c>
      <c r="E311" s="1193">
        <v>145.30000000000001</v>
      </c>
      <c r="F311" s="1193">
        <v>101.6</v>
      </c>
      <c r="G311" s="587">
        <v>170</v>
      </c>
      <c r="H311" s="587">
        <v>100</v>
      </c>
      <c r="I311" s="592">
        <f t="shared" si="100"/>
        <v>-0.70000000000000284</v>
      </c>
      <c r="J311" s="592">
        <f t="shared" si="101"/>
        <v>-2.3999999999999773</v>
      </c>
      <c r="K311" s="592">
        <f t="shared" si="102"/>
        <v>-3.2000000000000028</v>
      </c>
      <c r="L311" s="593"/>
      <c r="M311" s="593">
        <f t="shared" si="121"/>
        <v>121.8</v>
      </c>
      <c r="N311" s="593">
        <f t="shared" si="122"/>
        <v>147.06666666666666</v>
      </c>
      <c r="O311" s="593">
        <f t="shared" si="123"/>
        <v>103.16666666666667</v>
      </c>
      <c r="P311" s="592"/>
      <c r="Q311" s="588">
        <f t="shared" si="115"/>
        <v>0.96666666666666856</v>
      </c>
      <c r="R311" s="588">
        <f t="shared" si="116"/>
        <v>-3.3333333333331439E-2</v>
      </c>
      <c r="S311" s="588">
        <f t="shared" si="117"/>
        <v>-0.56666666666666288</v>
      </c>
      <c r="T311" s="593"/>
      <c r="U311" s="593">
        <f t="shared" si="124"/>
        <v>119.95714285714287</v>
      </c>
      <c r="V311" s="593">
        <f t="shared" si="125"/>
        <v>145.58571428571426</v>
      </c>
      <c r="W311" s="593">
        <f t="shared" si="126"/>
        <v>102.5</v>
      </c>
      <c r="X311" s="593"/>
      <c r="Y311" s="593">
        <f t="shared" si="118"/>
        <v>1.0714285714285552</v>
      </c>
      <c r="Z311" s="593">
        <f t="shared" si="119"/>
        <v>7.1428571428526766E-2</v>
      </c>
      <c r="AA311" s="594">
        <f t="shared" si="120"/>
        <v>-0.47142857142856087</v>
      </c>
    </row>
    <row r="312" spans="1:27" ht="17.25" customHeight="1">
      <c r="A312" s="777"/>
      <c r="B312" s="777"/>
      <c r="C312" s="778">
        <v>9</v>
      </c>
      <c r="D312" s="1193">
        <v>123.2</v>
      </c>
      <c r="E312" s="1193">
        <v>144.30000000000001</v>
      </c>
      <c r="F312" s="1193">
        <v>99.8</v>
      </c>
      <c r="G312" s="587">
        <v>170</v>
      </c>
      <c r="H312" s="587">
        <v>100</v>
      </c>
      <c r="I312" s="592">
        <f t="shared" si="100"/>
        <v>0.70000000000000284</v>
      </c>
      <c r="J312" s="592">
        <f t="shared" si="101"/>
        <v>-1</v>
      </c>
      <c r="K312" s="592">
        <f t="shared" si="102"/>
        <v>-1.7999999999999972</v>
      </c>
      <c r="L312" s="593"/>
      <c r="M312" s="593">
        <f t="shared" si="121"/>
        <v>122.96666666666665</v>
      </c>
      <c r="N312" s="593">
        <f t="shared" si="122"/>
        <v>145.76666666666668</v>
      </c>
      <c r="O312" s="593">
        <f t="shared" si="123"/>
        <v>102.06666666666666</v>
      </c>
      <c r="P312" s="592"/>
      <c r="Q312" s="588">
        <f t="shared" si="115"/>
        <v>1.1666666666666572</v>
      </c>
      <c r="R312" s="588">
        <f t="shared" si="116"/>
        <v>-1.2999999999999829</v>
      </c>
      <c r="S312" s="588">
        <f t="shared" si="117"/>
        <v>-1.1000000000000085</v>
      </c>
      <c r="T312" s="593"/>
      <c r="U312" s="593">
        <f t="shared" si="124"/>
        <v>121.08571428571429</v>
      </c>
      <c r="V312" s="593">
        <f t="shared" si="125"/>
        <v>146</v>
      </c>
      <c r="W312" s="593">
        <f t="shared" si="126"/>
        <v>102.05714285714285</v>
      </c>
      <c r="X312" s="593"/>
      <c r="Y312" s="593">
        <f t="shared" si="118"/>
        <v>1.1285714285714192</v>
      </c>
      <c r="Z312" s="593">
        <f t="shared" si="119"/>
        <v>0.41428571428573946</v>
      </c>
      <c r="AA312" s="594">
        <f t="shared" si="120"/>
        <v>-0.44285714285715017</v>
      </c>
    </row>
    <row r="313" spans="1:27" ht="17.25" customHeight="1">
      <c r="A313" s="777"/>
      <c r="B313" s="777"/>
      <c r="C313" s="778">
        <v>10</v>
      </c>
      <c r="D313" s="1193">
        <v>125.1</v>
      </c>
      <c r="E313" s="1193">
        <v>144.1</v>
      </c>
      <c r="F313" s="1193">
        <v>98.7</v>
      </c>
      <c r="G313" s="587">
        <v>170</v>
      </c>
      <c r="H313" s="587">
        <v>100</v>
      </c>
      <c r="I313" s="592">
        <f t="shared" si="100"/>
        <v>1.8999999999999915</v>
      </c>
      <c r="J313" s="592">
        <f t="shared" si="101"/>
        <v>-0.20000000000001705</v>
      </c>
      <c r="K313" s="592">
        <f t="shared" si="102"/>
        <v>-1.0999999999999943</v>
      </c>
      <c r="L313" s="593"/>
      <c r="M313" s="593">
        <f t="shared" si="121"/>
        <v>123.59999999999998</v>
      </c>
      <c r="N313" s="593">
        <f t="shared" si="122"/>
        <v>144.56666666666669</v>
      </c>
      <c r="O313" s="593">
        <f t="shared" si="123"/>
        <v>100.03333333333332</v>
      </c>
      <c r="P313" s="592"/>
      <c r="Q313" s="588">
        <f t="shared" si="115"/>
        <v>0.63333333333332575</v>
      </c>
      <c r="R313" s="588">
        <f t="shared" si="116"/>
        <v>-1.1999999999999886</v>
      </c>
      <c r="S313" s="588">
        <f t="shared" si="117"/>
        <v>-2.0333333333333456</v>
      </c>
      <c r="T313" s="593"/>
      <c r="U313" s="593">
        <f t="shared" si="124"/>
        <v>122.05714285714285</v>
      </c>
      <c r="V313" s="593">
        <f t="shared" si="125"/>
        <v>145.94285714285715</v>
      </c>
      <c r="W313" s="593">
        <f t="shared" si="126"/>
        <v>101.48571428571428</v>
      </c>
      <c r="X313" s="593"/>
      <c r="Y313" s="593">
        <f t="shared" si="118"/>
        <v>0.97142857142856087</v>
      </c>
      <c r="Z313" s="593">
        <f t="shared" si="119"/>
        <v>-5.7142857142849834E-2</v>
      </c>
      <c r="AA313" s="594">
        <f t="shared" si="120"/>
        <v>-0.5714285714285694</v>
      </c>
    </row>
    <row r="314" spans="1:27" ht="17.25" customHeight="1">
      <c r="A314" s="777"/>
      <c r="B314" s="777"/>
      <c r="C314" s="778">
        <v>11</v>
      </c>
      <c r="D314" s="1193">
        <v>129.19999999999999</v>
      </c>
      <c r="E314" s="1193">
        <v>140.30000000000001</v>
      </c>
      <c r="F314" s="1193">
        <v>98.3</v>
      </c>
      <c r="G314" s="587">
        <v>170</v>
      </c>
      <c r="H314" s="587">
        <v>100</v>
      </c>
      <c r="I314" s="592">
        <f t="shared" si="100"/>
        <v>4.0999999999999943</v>
      </c>
      <c r="J314" s="592">
        <f t="shared" si="101"/>
        <v>-3.7999999999999829</v>
      </c>
      <c r="K314" s="592">
        <f t="shared" si="102"/>
        <v>-0.40000000000000568</v>
      </c>
      <c r="L314" s="593"/>
      <c r="M314" s="593">
        <f t="shared" si="121"/>
        <v>125.83333333333333</v>
      </c>
      <c r="N314" s="593">
        <f t="shared" si="122"/>
        <v>142.9</v>
      </c>
      <c r="O314" s="593">
        <f t="shared" si="123"/>
        <v>98.933333333333337</v>
      </c>
      <c r="P314" s="592"/>
      <c r="Q314" s="588">
        <f t="shared" si="115"/>
        <v>2.2333333333333485</v>
      </c>
      <c r="R314" s="588">
        <f t="shared" si="116"/>
        <v>-1.6666666666666856</v>
      </c>
      <c r="S314" s="588">
        <f t="shared" si="117"/>
        <v>-1.0999999999999801</v>
      </c>
      <c r="T314" s="593"/>
      <c r="U314" s="593">
        <f t="shared" si="124"/>
        <v>123.21428571428571</v>
      </c>
      <c r="V314" s="593">
        <f t="shared" si="125"/>
        <v>145.04285714285717</v>
      </c>
      <c r="W314" s="593">
        <f t="shared" si="126"/>
        <v>101.37142857142855</v>
      </c>
      <c r="X314" s="593"/>
      <c r="Y314" s="593">
        <f t="shared" si="118"/>
        <v>1.1571428571428584</v>
      </c>
      <c r="Z314" s="593">
        <f t="shared" si="119"/>
        <v>-0.89999999999997726</v>
      </c>
      <c r="AA314" s="594">
        <f t="shared" si="120"/>
        <v>-0.11428571428572809</v>
      </c>
    </row>
    <row r="315" spans="1:27" ht="17.25" customHeight="1">
      <c r="A315" s="777"/>
      <c r="B315" s="777"/>
      <c r="C315" s="778">
        <v>12</v>
      </c>
      <c r="D315" s="1197">
        <v>125.9</v>
      </c>
      <c r="E315" s="1197">
        <v>141.5</v>
      </c>
      <c r="F315" s="1197">
        <v>99.2</v>
      </c>
      <c r="G315" s="591">
        <v>170</v>
      </c>
      <c r="H315" s="628">
        <v>100</v>
      </c>
      <c r="I315" s="592">
        <f t="shared" si="100"/>
        <v>-3.2999999999999829</v>
      </c>
      <c r="J315" s="592">
        <f t="shared" si="101"/>
        <v>1.1999999999999886</v>
      </c>
      <c r="K315" s="592">
        <f t="shared" si="102"/>
        <v>0.90000000000000568</v>
      </c>
      <c r="L315" s="593"/>
      <c r="M315" s="593">
        <f t="shared" si="121"/>
        <v>126.73333333333333</v>
      </c>
      <c r="N315" s="593">
        <f t="shared" si="122"/>
        <v>141.96666666666667</v>
      </c>
      <c r="O315" s="593">
        <f t="shared" si="123"/>
        <v>98.733333333333334</v>
      </c>
      <c r="P315" s="592"/>
      <c r="Q315" s="588">
        <f t="shared" si="115"/>
        <v>0.90000000000000568</v>
      </c>
      <c r="R315" s="588">
        <f t="shared" si="116"/>
        <v>-0.93333333333333712</v>
      </c>
      <c r="S315" s="588">
        <f t="shared" si="117"/>
        <v>-0.20000000000000284</v>
      </c>
      <c r="T315" s="593"/>
      <c r="U315" s="593">
        <f t="shared" si="124"/>
        <v>124.11428571428569</v>
      </c>
      <c r="V315" s="593">
        <f t="shared" si="125"/>
        <v>144.48571428571429</v>
      </c>
      <c r="W315" s="593">
        <f t="shared" si="126"/>
        <v>100.78571428571429</v>
      </c>
      <c r="X315" s="593"/>
      <c r="Y315" s="593">
        <f t="shared" si="118"/>
        <v>0.89999999999997726</v>
      </c>
      <c r="Z315" s="593">
        <f t="shared" si="119"/>
        <v>-0.55714285714287826</v>
      </c>
      <c r="AA315" s="594">
        <f t="shared" si="120"/>
        <v>-0.58571428571426054</v>
      </c>
    </row>
    <row r="316" spans="1:27" ht="17.25" customHeight="1">
      <c r="A316" s="478" t="s">
        <v>716</v>
      </c>
      <c r="B316" s="759">
        <v>19</v>
      </c>
      <c r="C316" s="955">
        <v>1</v>
      </c>
      <c r="D316" s="1199">
        <v>125.7</v>
      </c>
      <c r="E316" s="1199">
        <v>133</v>
      </c>
      <c r="F316" s="1199">
        <v>94.8</v>
      </c>
      <c r="G316" s="596">
        <v>170</v>
      </c>
      <c r="H316" s="601">
        <v>100</v>
      </c>
      <c r="I316" s="592">
        <f t="shared" si="100"/>
        <v>-0.20000000000000284</v>
      </c>
      <c r="J316" s="592">
        <f t="shared" si="101"/>
        <v>-8.5</v>
      </c>
      <c r="K316" s="592">
        <f t="shared" si="102"/>
        <v>-4.4000000000000057</v>
      </c>
      <c r="L316" s="593"/>
      <c r="M316" s="593">
        <f t="shared" si="121"/>
        <v>126.93333333333334</v>
      </c>
      <c r="N316" s="593">
        <f t="shared" si="122"/>
        <v>138.26666666666668</v>
      </c>
      <c r="O316" s="593">
        <f t="shared" si="123"/>
        <v>97.433333333333337</v>
      </c>
      <c r="P316" s="592"/>
      <c r="Q316" s="588">
        <f t="shared" si="115"/>
        <v>0.20000000000000284</v>
      </c>
      <c r="R316" s="588">
        <f t="shared" si="116"/>
        <v>-3.6999999999999886</v>
      </c>
      <c r="S316" s="588">
        <f t="shared" si="117"/>
        <v>-1.2999999999999972</v>
      </c>
      <c r="T316" s="593"/>
      <c r="U316" s="593">
        <f t="shared" si="124"/>
        <v>124.97142857142858</v>
      </c>
      <c r="V316" s="593">
        <f t="shared" si="125"/>
        <v>142.31428571428572</v>
      </c>
      <c r="W316" s="593">
        <f t="shared" si="126"/>
        <v>99.6</v>
      </c>
      <c r="X316" s="593"/>
      <c r="Y316" s="593">
        <f t="shared" si="118"/>
        <v>0.85714285714288962</v>
      </c>
      <c r="Z316" s="593">
        <f t="shared" si="119"/>
        <v>-2.1714285714285779</v>
      </c>
      <c r="AA316" s="594">
        <f t="shared" si="120"/>
        <v>-1.1857142857142975</v>
      </c>
    </row>
    <row r="317" spans="1:27" ht="17.25" customHeight="1">
      <c r="A317" s="777"/>
      <c r="B317" s="777"/>
      <c r="C317" s="778">
        <v>2</v>
      </c>
      <c r="D317" s="1199">
        <v>124.5</v>
      </c>
      <c r="E317" s="1199">
        <v>136.30000000000001</v>
      </c>
      <c r="F317" s="1199">
        <v>96.2</v>
      </c>
      <c r="G317" s="596">
        <v>170</v>
      </c>
      <c r="H317" s="587">
        <v>100</v>
      </c>
      <c r="I317" s="592">
        <f t="shared" si="100"/>
        <v>-1.2000000000000028</v>
      </c>
      <c r="J317" s="592">
        <f t="shared" si="101"/>
        <v>3.3000000000000114</v>
      </c>
      <c r="K317" s="592">
        <f t="shared" si="102"/>
        <v>1.4000000000000057</v>
      </c>
      <c r="L317" s="593"/>
      <c r="M317" s="593">
        <f t="shared" si="121"/>
        <v>125.36666666666667</v>
      </c>
      <c r="N317" s="593">
        <f t="shared" si="122"/>
        <v>136.93333333333334</v>
      </c>
      <c r="O317" s="593">
        <f t="shared" si="123"/>
        <v>96.733333333333334</v>
      </c>
      <c r="P317" s="592"/>
      <c r="Q317" s="588">
        <f t="shared" si="115"/>
        <v>-1.5666666666666629</v>
      </c>
      <c r="R317" s="588">
        <f t="shared" si="116"/>
        <v>-1.3333333333333428</v>
      </c>
      <c r="S317" s="588">
        <f t="shared" si="117"/>
        <v>-0.70000000000000284</v>
      </c>
      <c r="T317" s="593"/>
      <c r="U317" s="593">
        <f t="shared" si="124"/>
        <v>125.15714285714286</v>
      </c>
      <c r="V317" s="593">
        <f t="shared" si="125"/>
        <v>140.68571428571428</v>
      </c>
      <c r="W317" s="593">
        <f t="shared" si="126"/>
        <v>98.371428571428581</v>
      </c>
      <c r="X317" s="593"/>
      <c r="Y317" s="593">
        <f t="shared" si="118"/>
        <v>0.18571428571428328</v>
      </c>
      <c r="Z317" s="593">
        <f t="shared" si="119"/>
        <v>-1.6285714285714334</v>
      </c>
      <c r="AA317" s="594">
        <f t="shared" si="120"/>
        <v>-1.2285714285714135</v>
      </c>
    </row>
    <row r="318" spans="1:27" ht="17.25" customHeight="1">
      <c r="A318" s="777"/>
      <c r="B318" s="777"/>
      <c r="C318" s="778">
        <v>3</v>
      </c>
      <c r="D318" s="1193">
        <v>120.7</v>
      </c>
      <c r="E318" s="1193">
        <v>135.69999999999999</v>
      </c>
      <c r="F318" s="1193">
        <v>96.7</v>
      </c>
      <c r="G318" s="587">
        <v>170</v>
      </c>
      <c r="H318" s="587">
        <v>100</v>
      </c>
      <c r="I318" s="592">
        <f t="shared" si="100"/>
        <v>-3.7999999999999972</v>
      </c>
      <c r="J318" s="592">
        <f t="shared" si="101"/>
        <v>-0.60000000000002274</v>
      </c>
      <c r="K318" s="592">
        <f t="shared" si="102"/>
        <v>0.5</v>
      </c>
      <c r="L318" s="593"/>
      <c r="M318" s="593">
        <f t="shared" si="121"/>
        <v>123.63333333333333</v>
      </c>
      <c r="N318" s="593">
        <f t="shared" si="122"/>
        <v>135</v>
      </c>
      <c r="O318" s="593">
        <f t="shared" si="123"/>
        <v>95.899999999999991</v>
      </c>
      <c r="P318" s="592"/>
      <c r="Q318" s="588">
        <f t="shared" si="115"/>
        <v>-1.7333333333333485</v>
      </c>
      <c r="R318" s="588">
        <f t="shared" si="116"/>
        <v>-1.9333333333333371</v>
      </c>
      <c r="S318" s="588">
        <f t="shared" si="117"/>
        <v>-0.83333333333334281</v>
      </c>
      <c r="T318" s="593"/>
      <c r="U318" s="593">
        <f t="shared" si="124"/>
        <v>124.9</v>
      </c>
      <c r="V318" s="593">
        <f t="shared" si="125"/>
        <v>139.31428571428572</v>
      </c>
      <c r="W318" s="593">
        <f t="shared" si="126"/>
        <v>97.671428571428578</v>
      </c>
      <c r="X318" s="593"/>
      <c r="Y318" s="593">
        <f t="shared" si="118"/>
        <v>-0.25714285714285268</v>
      </c>
      <c r="Z318" s="593">
        <f t="shared" si="119"/>
        <v>-1.3714285714285666</v>
      </c>
      <c r="AA318" s="594">
        <f t="shared" si="120"/>
        <v>-0.70000000000000284</v>
      </c>
    </row>
    <row r="319" spans="1:27" ht="17.25" customHeight="1">
      <c r="A319" s="777"/>
      <c r="B319" s="777"/>
      <c r="C319" s="778">
        <v>4</v>
      </c>
      <c r="D319" s="1193">
        <v>122.2</v>
      </c>
      <c r="E319" s="1193">
        <v>132.19999999999999</v>
      </c>
      <c r="F319" s="1193">
        <v>95</v>
      </c>
      <c r="G319" s="587">
        <v>170</v>
      </c>
      <c r="H319" s="587">
        <v>100</v>
      </c>
      <c r="I319" s="592">
        <f t="shared" si="100"/>
        <v>1.5</v>
      </c>
      <c r="J319" s="592">
        <f t="shared" si="101"/>
        <v>-3.5</v>
      </c>
      <c r="K319" s="592">
        <f t="shared" si="102"/>
        <v>-1.7000000000000028</v>
      </c>
      <c r="L319" s="593"/>
      <c r="M319" s="593">
        <f t="shared" si="121"/>
        <v>122.46666666666665</v>
      </c>
      <c r="N319" s="593">
        <f t="shared" si="122"/>
        <v>134.73333333333332</v>
      </c>
      <c r="O319" s="593">
        <f t="shared" si="123"/>
        <v>95.966666666666654</v>
      </c>
      <c r="P319" s="592"/>
      <c r="Q319" s="588">
        <f t="shared" si="115"/>
        <v>-1.1666666666666714</v>
      </c>
      <c r="R319" s="588">
        <f t="shared" si="116"/>
        <v>-0.26666666666667993</v>
      </c>
      <c r="S319" s="588">
        <f t="shared" si="117"/>
        <v>6.6666666666662877E-2</v>
      </c>
      <c r="T319" s="593"/>
      <c r="U319" s="593">
        <f t="shared" si="124"/>
        <v>124.75714285714287</v>
      </c>
      <c r="V319" s="593">
        <f t="shared" si="125"/>
        <v>137.58571428571432</v>
      </c>
      <c r="W319" s="593">
        <f t="shared" si="126"/>
        <v>96.98571428571428</v>
      </c>
      <c r="X319" s="593"/>
      <c r="Y319" s="593">
        <f t="shared" si="118"/>
        <v>-0.1428571428571388</v>
      </c>
      <c r="Z319" s="593">
        <f t="shared" si="119"/>
        <v>-1.7285714285713993</v>
      </c>
      <c r="AA319" s="594">
        <f t="shared" si="120"/>
        <v>-0.68571428571429749</v>
      </c>
    </row>
    <row r="320" spans="1:27" ht="17.25" customHeight="1">
      <c r="A320" s="777"/>
      <c r="B320" s="777"/>
      <c r="C320" s="778">
        <v>5</v>
      </c>
      <c r="D320" s="1193">
        <v>126.5</v>
      </c>
      <c r="E320" s="1193">
        <v>134.5</v>
      </c>
      <c r="F320" s="1193">
        <v>101.2</v>
      </c>
      <c r="G320" s="587">
        <v>170</v>
      </c>
      <c r="H320" s="587">
        <v>100</v>
      </c>
      <c r="I320" s="592">
        <f t="shared" ref="I320:I384" si="127">D320-D319</f>
        <v>4.2999999999999972</v>
      </c>
      <c r="J320" s="592">
        <f t="shared" ref="J320:J384" si="128">E320-E319</f>
        <v>2.3000000000000114</v>
      </c>
      <c r="K320" s="592">
        <f t="shared" ref="K320:K384" si="129">F320-F319</f>
        <v>6.2000000000000028</v>
      </c>
      <c r="L320" s="593"/>
      <c r="M320" s="593">
        <f t="shared" si="121"/>
        <v>123.13333333333333</v>
      </c>
      <c r="N320" s="593">
        <f t="shared" si="122"/>
        <v>134.13333333333333</v>
      </c>
      <c r="O320" s="593">
        <f t="shared" si="123"/>
        <v>97.633333333333326</v>
      </c>
      <c r="P320" s="592"/>
      <c r="Q320" s="588">
        <f t="shared" si="115"/>
        <v>0.6666666666666714</v>
      </c>
      <c r="R320" s="588">
        <f t="shared" si="116"/>
        <v>-0.59999999999999432</v>
      </c>
      <c r="S320" s="588">
        <f t="shared" si="117"/>
        <v>1.6666666666666714</v>
      </c>
      <c r="T320" s="593"/>
      <c r="U320" s="593">
        <f t="shared" si="124"/>
        <v>124.95714285714287</v>
      </c>
      <c r="V320" s="593">
        <f t="shared" si="125"/>
        <v>136.21428571428572</v>
      </c>
      <c r="W320" s="593">
        <f t="shared" si="126"/>
        <v>97.342857142857156</v>
      </c>
      <c r="X320" s="593"/>
      <c r="Y320" s="593">
        <f t="shared" si="118"/>
        <v>0.20000000000000284</v>
      </c>
      <c r="Z320" s="593">
        <f t="shared" si="119"/>
        <v>-1.371428571428595</v>
      </c>
      <c r="AA320" s="594">
        <f t="shared" si="120"/>
        <v>0.35714285714287541</v>
      </c>
    </row>
    <row r="321" spans="1:27" ht="17.25" customHeight="1">
      <c r="A321" s="777"/>
      <c r="B321" s="777"/>
      <c r="C321" s="778">
        <v>6</v>
      </c>
      <c r="D321" s="1193">
        <v>125.4</v>
      </c>
      <c r="E321" s="1193">
        <v>129.5</v>
      </c>
      <c r="F321" s="1193">
        <v>103.7</v>
      </c>
      <c r="G321" s="587">
        <v>170</v>
      </c>
      <c r="H321" s="587">
        <v>100</v>
      </c>
      <c r="I321" s="592">
        <f t="shared" si="127"/>
        <v>-1.0999999999999943</v>
      </c>
      <c r="J321" s="592">
        <f t="shared" si="128"/>
        <v>-5</v>
      </c>
      <c r="K321" s="592">
        <f t="shared" si="129"/>
        <v>2.5</v>
      </c>
      <c r="L321" s="593"/>
      <c r="M321" s="593">
        <f t="shared" si="121"/>
        <v>124.7</v>
      </c>
      <c r="N321" s="593">
        <f t="shared" si="122"/>
        <v>132.06666666666666</v>
      </c>
      <c r="O321" s="593">
        <f t="shared" si="123"/>
        <v>99.966666666666654</v>
      </c>
      <c r="P321" s="592"/>
      <c r="Q321" s="588">
        <f t="shared" si="115"/>
        <v>1.5666666666666771</v>
      </c>
      <c r="R321" s="588">
        <f t="shared" si="116"/>
        <v>-2.0666666666666629</v>
      </c>
      <c r="S321" s="588">
        <f t="shared" si="117"/>
        <v>2.3333333333333286</v>
      </c>
      <c r="T321" s="593"/>
      <c r="U321" s="593">
        <f t="shared" si="124"/>
        <v>124.41428571428571</v>
      </c>
      <c r="V321" s="593">
        <f t="shared" si="125"/>
        <v>134.67142857142858</v>
      </c>
      <c r="W321" s="593">
        <f t="shared" si="126"/>
        <v>98.114285714285728</v>
      </c>
      <c r="X321" s="593"/>
      <c r="Y321" s="593">
        <f t="shared" si="118"/>
        <v>-0.54285714285715869</v>
      </c>
      <c r="Z321" s="593">
        <f t="shared" si="119"/>
        <v>-1.5428571428571445</v>
      </c>
      <c r="AA321" s="594">
        <f t="shared" si="120"/>
        <v>0.77142857142857224</v>
      </c>
    </row>
    <row r="322" spans="1:27" ht="17.25" customHeight="1">
      <c r="A322" s="777"/>
      <c r="B322" s="777"/>
      <c r="C322" s="778">
        <v>7</v>
      </c>
      <c r="D322" s="1193">
        <v>123.1</v>
      </c>
      <c r="E322" s="1193">
        <v>127.4</v>
      </c>
      <c r="F322" s="1193">
        <v>97.2</v>
      </c>
      <c r="G322" s="587">
        <v>170</v>
      </c>
      <c r="H322" s="587">
        <v>100</v>
      </c>
      <c r="I322" s="592">
        <f t="shared" si="127"/>
        <v>-2.3000000000000114</v>
      </c>
      <c r="J322" s="592">
        <f t="shared" si="128"/>
        <v>-2.0999999999999943</v>
      </c>
      <c r="K322" s="592">
        <f t="shared" si="129"/>
        <v>-6.5</v>
      </c>
      <c r="L322" s="593"/>
      <c r="M322" s="593">
        <f t="shared" si="121"/>
        <v>125</v>
      </c>
      <c r="N322" s="593">
        <f t="shared" si="122"/>
        <v>130.46666666666667</v>
      </c>
      <c r="O322" s="593">
        <f t="shared" si="123"/>
        <v>100.7</v>
      </c>
      <c r="P322" s="592"/>
      <c r="Q322" s="588">
        <f t="shared" si="115"/>
        <v>0.29999999999999716</v>
      </c>
      <c r="R322" s="588">
        <f t="shared" si="116"/>
        <v>-1.5999999999999943</v>
      </c>
      <c r="S322" s="588">
        <f t="shared" si="117"/>
        <v>0.73333333333334849</v>
      </c>
      <c r="T322" s="593"/>
      <c r="U322" s="593">
        <f t="shared" si="124"/>
        <v>124.01428571428571</v>
      </c>
      <c r="V322" s="593">
        <f t="shared" si="125"/>
        <v>132.65714285714287</v>
      </c>
      <c r="W322" s="593">
        <f t="shared" si="126"/>
        <v>97.828571428571436</v>
      </c>
      <c r="X322" s="593"/>
      <c r="Y322" s="593">
        <f t="shared" si="118"/>
        <v>-0.40000000000000568</v>
      </c>
      <c r="Z322" s="593">
        <f t="shared" si="119"/>
        <v>-2.0142857142857054</v>
      </c>
      <c r="AA322" s="594">
        <f t="shared" si="120"/>
        <v>-0.2857142857142918</v>
      </c>
    </row>
    <row r="323" spans="1:27" ht="17.25" customHeight="1">
      <c r="A323" s="777"/>
      <c r="B323" s="777"/>
      <c r="C323" s="778">
        <v>8</v>
      </c>
      <c r="D323" s="1193">
        <v>118.4</v>
      </c>
      <c r="E323" s="1193">
        <v>124.6</v>
      </c>
      <c r="F323" s="1193">
        <v>103</v>
      </c>
      <c r="G323" s="587">
        <v>170</v>
      </c>
      <c r="H323" s="587">
        <v>100</v>
      </c>
      <c r="I323" s="592">
        <f t="shared" si="127"/>
        <v>-4.6999999999999886</v>
      </c>
      <c r="J323" s="592">
        <f t="shared" si="128"/>
        <v>-2.8000000000000114</v>
      </c>
      <c r="K323" s="592">
        <f t="shared" si="129"/>
        <v>5.7999999999999972</v>
      </c>
      <c r="L323" s="593"/>
      <c r="M323" s="593">
        <f t="shared" si="121"/>
        <v>122.3</v>
      </c>
      <c r="N323" s="593">
        <f t="shared" si="122"/>
        <v>127.16666666666667</v>
      </c>
      <c r="O323" s="593">
        <f t="shared" si="123"/>
        <v>101.3</v>
      </c>
      <c r="P323" s="592"/>
      <c r="Q323" s="588">
        <f t="shared" si="115"/>
        <v>-2.7000000000000028</v>
      </c>
      <c r="R323" s="588">
        <f t="shared" si="116"/>
        <v>-3.2999999999999972</v>
      </c>
      <c r="S323" s="588">
        <f t="shared" si="117"/>
        <v>0.59999999999999432</v>
      </c>
      <c r="T323" s="593"/>
      <c r="U323" s="593">
        <f t="shared" si="124"/>
        <v>122.97142857142856</v>
      </c>
      <c r="V323" s="593">
        <f t="shared" si="125"/>
        <v>131.45714285714286</v>
      </c>
      <c r="W323" s="593">
        <f t="shared" si="126"/>
        <v>99</v>
      </c>
      <c r="X323" s="593"/>
      <c r="Y323" s="593">
        <f t="shared" si="118"/>
        <v>-1.0428571428571445</v>
      </c>
      <c r="Z323" s="593">
        <f t="shared" si="119"/>
        <v>-1.2000000000000171</v>
      </c>
      <c r="AA323" s="594">
        <f t="shared" si="120"/>
        <v>1.1714285714285637</v>
      </c>
    </row>
    <row r="324" spans="1:27" ht="17.25" customHeight="1">
      <c r="A324" s="777"/>
      <c r="B324" s="777"/>
      <c r="C324" s="778">
        <v>9</v>
      </c>
      <c r="D324" s="1193">
        <v>117.2</v>
      </c>
      <c r="E324" s="1193">
        <v>126.8</v>
      </c>
      <c r="F324" s="1193">
        <v>103.7</v>
      </c>
      <c r="G324" s="587">
        <v>170</v>
      </c>
      <c r="H324" s="587">
        <v>100</v>
      </c>
      <c r="I324" s="592">
        <f t="shared" si="127"/>
        <v>-1.2000000000000028</v>
      </c>
      <c r="J324" s="592">
        <f t="shared" si="128"/>
        <v>2.2000000000000028</v>
      </c>
      <c r="K324" s="592">
        <f t="shared" si="129"/>
        <v>0.70000000000000284</v>
      </c>
      <c r="L324" s="593"/>
      <c r="M324" s="593">
        <f t="shared" si="121"/>
        <v>119.56666666666666</v>
      </c>
      <c r="N324" s="593">
        <f t="shared" si="122"/>
        <v>126.26666666666667</v>
      </c>
      <c r="O324" s="593">
        <f t="shared" si="123"/>
        <v>101.3</v>
      </c>
      <c r="P324" s="592"/>
      <c r="Q324" s="588">
        <f t="shared" si="115"/>
        <v>-2.7333333333333343</v>
      </c>
      <c r="R324" s="588">
        <f t="shared" si="116"/>
        <v>-0.90000000000000568</v>
      </c>
      <c r="S324" s="588">
        <f t="shared" si="117"/>
        <v>0</v>
      </c>
      <c r="T324" s="593"/>
      <c r="U324" s="593">
        <f t="shared" si="124"/>
        <v>121.92857142857143</v>
      </c>
      <c r="V324" s="593">
        <f t="shared" si="125"/>
        <v>130.1</v>
      </c>
      <c r="W324" s="593">
        <f t="shared" si="126"/>
        <v>100.07142857142857</v>
      </c>
      <c r="X324" s="593"/>
      <c r="Y324" s="593">
        <f t="shared" si="118"/>
        <v>-1.0428571428571303</v>
      </c>
      <c r="Z324" s="593">
        <f t="shared" si="119"/>
        <v>-1.3571428571428612</v>
      </c>
      <c r="AA324" s="594">
        <f t="shared" si="120"/>
        <v>1.0714285714285694</v>
      </c>
    </row>
    <row r="325" spans="1:27" ht="17.25" customHeight="1">
      <c r="A325" s="777"/>
      <c r="B325" s="777"/>
      <c r="C325" s="778">
        <v>10</v>
      </c>
      <c r="D325" s="1193">
        <v>114.1</v>
      </c>
      <c r="E325" s="1193">
        <v>126.5</v>
      </c>
      <c r="F325" s="1193">
        <v>100.1</v>
      </c>
      <c r="G325" s="587">
        <v>170</v>
      </c>
      <c r="H325" s="587">
        <v>100</v>
      </c>
      <c r="I325" s="592">
        <f t="shared" si="127"/>
        <v>-3.1000000000000085</v>
      </c>
      <c r="J325" s="592">
        <f t="shared" si="128"/>
        <v>-0.29999999999999716</v>
      </c>
      <c r="K325" s="592">
        <f t="shared" si="129"/>
        <v>-3.6000000000000085</v>
      </c>
      <c r="L325" s="593"/>
      <c r="M325" s="593">
        <f t="shared" si="121"/>
        <v>116.56666666666668</v>
      </c>
      <c r="N325" s="593">
        <f t="shared" si="122"/>
        <v>125.96666666666665</v>
      </c>
      <c r="O325" s="593">
        <f t="shared" si="123"/>
        <v>102.26666666666665</v>
      </c>
      <c r="P325" s="592"/>
      <c r="Q325" s="588">
        <f t="shared" si="115"/>
        <v>-2.9999999999999858</v>
      </c>
      <c r="R325" s="588">
        <f t="shared" si="116"/>
        <v>-0.30000000000001137</v>
      </c>
      <c r="S325" s="588">
        <f t="shared" si="117"/>
        <v>0.96666666666665435</v>
      </c>
      <c r="T325" s="593"/>
      <c r="U325" s="593">
        <f t="shared" si="124"/>
        <v>120.98571428571429</v>
      </c>
      <c r="V325" s="593">
        <f t="shared" si="125"/>
        <v>128.78571428571428</v>
      </c>
      <c r="W325" s="593">
        <f t="shared" si="126"/>
        <v>100.55714285714285</v>
      </c>
      <c r="X325" s="593"/>
      <c r="Y325" s="593">
        <f t="shared" si="118"/>
        <v>-0.94285714285713595</v>
      </c>
      <c r="Z325" s="593">
        <f t="shared" si="119"/>
        <v>-1.3142857142857167</v>
      </c>
      <c r="AA325" s="594">
        <f t="shared" si="120"/>
        <v>0.48571428571428044</v>
      </c>
    </row>
    <row r="326" spans="1:27" ht="17.25" customHeight="1">
      <c r="A326" s="777"/>
      <c r="B326" s="777"/>
      <c r="C326" s="778">
        <v>11</v>
      </c>
      <c r="D326" s="1193">
        <v>119.8</v>
      </c>
      <c r="E326" s="1193">
        <v>120.2</v>
      </c>
      <c r="F326" s="1193">
        <v>101.2</v>
      </c>
      <c r="G326" s="587">
        <v>170</v>
      </c>
      <c r="H326" s="587">
        <v>100</v>
      </c>
      <c r="I326" s="592">
        <f t="shared" si="127"/>
        <v>5.7000000000000028</v>
      </c>
      <c r="J326" s="592">
        <f t="shared" si="128"/>
        <v>-6.2999999999999972</v>
      </c>
      <c r="K326" s="592">
        <f t="shared" si="129"/>
        <v>1.1000000000000085</v>
      </c>
      <c r="L326" s="593"/>
      <c r="M326" s="593">
        <f t="shared" si="121"/>
        <v>117.03333333333335</v>
      </c>
      <c r="N326" s="593">
        <f t="shared" si="122"/>
        <v>124.5</v>
      </c>
      <c r="O326" s="593">
        <f t="shared" si="123"/>
        <v>101.66666666666667</v>
      </c>
      <c r="P326" s="592"/>
      <c r="Q326" s="588">
        <f t="shared" si="115"/>
        <v>0.46666666666666856</v>
      </c>
      <c r="R326" s="588">
        <f t="shared" si="116"/>
        <v>-1.4666666666666544</v>
      </c>
      <c r="S326" s="588">
        <f t="shared" si="117"/>
        <v>-0.5999999999999801</v>
      </c>
      <c r="T326" s="593"/>
      <c r="U326" s="593">
        <f t="shared" si="124"/>
        <v>120.64285714285714</v>
      </c>
      <c r="V326" s="593">
        <f t="shared" si="125"/>
        <v>127.07142857142857</v>
      </c>
      <c r="W326" s="593">
        <f t="shared" si="126"/>
        <v>101.44285714285715</v>
      </c>
      <c r="X326" s="593"/>
      <c r="Y326" s="593">
        <f t="shared" si="118"/>
        <v>-0.34285714285715585</v>
      </c>
      <c r="Z326" s="593">
        <f t="shared" si="119"/>
        <v>-1.7142857142857082</v>
      </c>
      <c r="AA326" s="594">
        <f t="shared" si="120"/>
        <v>0.88571428571430033</v>
      </c>
    </row>
    <row r="327" spans="1:27" ht="17.25" customHeight="1">
      <c r="A327" s="777"/>
      <c r="B327" s="777"/>
      <c r="C327" s="778">
        <v>12</v>
      </c>
      <c r="D327" s="1197">
        <v>113.2</v>
      </c>
      <c r="E327" s="1197">
        <v>112.9</v>
      </c>
      <c r="F327" s="1197">
        <v>102.5</v>
      </c>
      <c r="G327" s="591">
        <v>170</v>
      </c>
      <c r="H327" s="1110">
        <v>100</v>
      </c>
      <c r="I327" s="602">
        <f t="shared" si="127"/>
        <v>-6.5999999999999943</v>
      </c>
      <c r="J327" s="602">
        <f t="shared" si="128"/>
        <v>-7.2999999999999972</v>
      </c>
      <c r="K327" s="602">
        <f t="shared" si="129"/>
        <v>1.2999999999999972</v>
      </c>
      <c r="L327" s="603"/>
      <c r="M327" s="603">
        <f t="shared" si="121"/>
        <v>115.69999999999999</v>
      </c>
      <c r="N327" s="603">
        <f t="shared" si="122"/>
        <v>119.86666666666667</v>
      </c>
      <c r="O327" s="603">
        <f t="shared" si="123"/>
        <v>101.26666666666667</v>
      </c>
      <c r="P327" s="602"/>
      <c r="Q327" s="603">
        <f t="shared" si="115"/>
        <v>-1.333333333333357</v>
      </c>
      <c r="R327" s="603">
        <f t="shared" si="116"/>
        <v>-4.6333333333333258</v>
      </c>
      <c r="S327" s="603">
        <f t="shared" si="117"/>
        <v>-0.40000000000000568</v>
      </c>
      <c r="T327" s="603"/>
      <c r="U327" s="603">
        <f t="shared" si="124"/>
        <v>118.74285714285713</v>
      </c>
      <c r="V327" s="603">
        <f t="shared" si="125"/>
        <v>123.98571428571428</v>
      </c>
      <c r="W327" s="603">
        <f t="shared" si="126"/>
        <v>101.62857142857142</v>
      </c>
      <c r="X327" s="603"/>
      <c r="Y327" s="603">
        <f t="shared" si="118"/>
        <v>-1.9000000000000057</v>
      </c>
      <c r="Z327" s="603">
        <f t="shared" si="119"/>
        <v>-3.085714285714289</v>
      </c>
      <c r="AA327" s="604">
        <f t="shared" si="120"/>
        <v>0.18571428571426907</v>
      </c>
    </row>
    <row r="328" spans="1:27" ht="17.25" customHeight="1">
      <c r="A328" s="478">
        <v>2</v>
      </c>
      <c r="B328" s="759">
        <v>20</v>
      </c>
      <c r="C328" s="955">
        <v>1</v>
      </c>
      <c r="D328" s="1199">
        <v>112.2</v>
      </c>
      <c r="E328" s="1199">
        <v>109</v>
      </c>
      <c r="F328" s="1199">
        <v>103.7</v>
      </c>
      <c r="G328" s="596">
        <v>170</v>
      </c>
      <c r="H328" s="581">
        <v>100</v>
      </c>
      <c r="I328" s="582">
        <f t="shared" si="127"/>
        <v>-1</v>
      </c>
      <c r="J328" s="582">
        <f t="shared" si="128"/>
        <v>-3.9000000000000057</v>
      </c>
      <c r="K328" s="582">
        <f t="shared" si="129"/>
        <v>1.2000000000000028</v>
      </c>
      <c r="L328" s="584"/>
      <c r="M328" s="584">
        <f t="shared" si="121"/>
        <v>115.06666666666666</v>
      </c>
      <c r="N328" s="584">
        <f t="shared" si="122"/>
        <v>114.03333333333335</v>
      </c>
      <c r="O328" s="584">
        <f t="shared" si="123"/>
        <v>102.46666666666665</v>
      </c>
      <c r="P328" s="582"/>
      <c r="Q328" s="584">
        <f t="shared" si="115"/>
        <v>-0.63333333333332575</v>
      </c>
      <c r="R328" s="584">
        <f t="shared" si="116"/>
        <v>-5.8333333333333286</v>
      </c>
      <c r="S328" s="584">
        <f t="shared" si="117"/>
        <v>1.1999999999999886</v>
      </c>
      <c r="T328" s="584"/>
      <c r="U328" s="584">
        <f t="shared" si="124"/>
        <v>116.85714285714286</v>
      </c>
      <c r="V328" s="584">
        <f t="shared" si="125"/>
        <v>121.05714285714285</v>
      </c>
      <c r="W328" s="584">
        <f t="shared" si="126"/>
        <v>101.62857142857145</v>
      </c>
      <c r="X328" s="584"/>
      <c r="Y328" s="584">
        <f t="shared" si="118"/>
        <v>-1.8857142857142719</v>
      </c>
      <c r="Z328" s="584">
        <f t="shared" si="119"/>
        <v>-2.9285714285714306</v>
      </c>
      <c r="AA328" s="585">
        <f t="shared" si="120"/>
        <v>0</v>
      </c>
    </row>
    <row r="329" spans="1:27" ht="17.25" customHeight="1">
      <c r="A329" s="777"/>
      <c r="B329" s="777"/>
      <c r="C329" s="778">
        <v>2</v>
      </c>
      <c r="D329" s="1199">
        <v>113</v>
      </c>
      <c r="E329" s="1199">
        <v>117.2</v>
      </c>
      <c r="F329" s="1199">
        <v>103.5</v>
      </c>
      <c r="G329" s="596">
        <v>170</v>
      </c>
      <c r="H329" s="587">
        <v>100</v>
      </c>
      <c r="I329" s="583">
        <f t="shared" si="127"/>
        <v>0.79999999999999716</v>
      </c>
      <c r="J329" s="583">
        <f t="shared" si="128"/>
        <v>8.2000000000000028</v>
      </c>
      <c r="K329" s="583">
        <f t="shared" si="129"/>
        <v>-0.20000000000000284</v>
      </c>
      <c r="L329" s="588"/>
      <c r="M329" s="588">
        <f t="shared" si="121"/>
        <v>112.8</v>
      </c>
      <c r="N329" s="588">
        <f t="shared" si="122"/>
        <v>113.03333333333335</v>
      </c>
      <c r="O329" s="588">
        <f t="shared" si="123"/>
        <v>103.23333333333333</v>
      </c>
      <c r="P329" s="583"/>
      <c r="Q329" s="588">
        <f t="shared" si="115"/>
        <v>-2.2666666666666657</v>
      </c>
      <c r="R329" s="588">
        <f t="shared" si="116"/>
        <v>-1</v>
      </c>
      <c r="S329" s="588">
        <f t="shared" si="117"/>
        <v>0.76666666666667993</v>
      </c>
      <c r="T329" s="588"/>
      <c r="U329" s="588">
        <f t="shared" si="124"/>
        <v>115.41428571428573</v>
      </c>
      <c r="V329" s="588">
        <f t="shared" si="125"/>
        <v>119.60000000000001</v>
      </c>
      <c r="W329" s="588">
        <f t="shared" si="126"/>
        <v>102.52857142857142</v>
      </c>
      <c r="X329" s="588"/>
      <c r="Y329" s="588">
        <f t="shared" si="118"/>
        <v>-1.442857142857136</v>
      </c>
      <c r="Z329" s="588">
        <f t="shared" si="119"/>
        <v>-1.4571428571428413</v>
      </c>
      <c r="AA329" s="589">
        <f t="shared" si="120"/>
        <v>0.89999999999997726</v>
      </c>
    </row>
    <row r="330" spans="1:27" ht="17.25" customHeight="1">
      <c r="A330" s="777"/>
      <c r="B330" s="777"/>
      <c r="C330" s="778">
        <v>3</v>
      </c>
      <c r="D330" s="1193">
        <v>107.3</v>
      </c>
      <c r="E330" s="1193">
        <v>111.2</v>
      </c>
      <c r="F330" s="1193">
        <v>100.8</v>
      </c>
      <c r="G330" s="587">
        <v>170</v>
      </c>
      <c r="H330" s="587">
        <v>100</v>
      </c>
      <c r="I330" s="583">
        <f t="shared" si="127"/>
        <v>-5.7000000000000028</v>
      </c>
      <c r="J330" s="583">
        <f t="shared" si="128"/>
        <v>-6</v>
      </c>
      <c r="K330" s="583">
        <f t="shared" si="129"/>
        <v>-2.7000000000000028</v>
      </c>
      <c r="L330" s="588"/>
      <c r="M330" s="588">
        <f t="shared" si="121"/>
        <v>110.83333333333333</v>
      </c>
      <c r="N330" s="588">
        <f t="shared" si="122"/>
        <v>112.46666666666665</v>
      </c>
      <c r="O330" s="588">
        <f t="shared" si="123"/>
        <v>102.66666666666667</v>
      </c>
      <c r="P330" s="583"/>
      <c r="Q330" s="588">
        <f t="shared" si="115"/>
        <v>-1.9666666666666686</v>
      </c>
      <c r="R330" s="588">
        <f t="shared" si="116"/>
        <v>-0.5666666666666913</v>
      </c>
      <c r="S330" s="588">
        <f t="shared" si="117"/>
        <v>-0.56666666666666288</v>
      </c>
      <c r="T330" s="588"/>
      <c r="U330" s="588">
        <f t="shared" si="124"/>
        <v>113.82857142857142</v>
      </c>
      <c r="V330" s="588">
        <f t="shared" si="125"/>
        <v>117.6857142857143</v>
      </c>
      <c r="W330" s="588">
        <f t="shared" si="126"/>
        <v>102.21428571428571</v>
      </c>
      <c r="X330" s="588"/>
      <c r="Y330" s="588">
        <f t="shared" si="118"/>
        <v>-1.5857142857143032</v>
      </c>
      <c r="Z330" s="588">
        <f t="shared" si="119"/>
        <v>-1.914285714285711</v>
      </c>
      <c r="AA330" s="589">
        <f t="shared" si="120"/>
        <v>-0.31428571428571672</v>
      </c>
    </row>
    <row r="331" spans="1:27" ht="17.25" customHeight="1">
      <c r="A331" s="777"/>
      <c r="B331" s="777"/>
      <c r="C331" s="778">
        <v>4</v>
      </c>
      <c r="D331" s="1193">
        <v>97.6</v>
      </c>
      <c r="E331" s="1193">
        <v>106.4</v>
      </c>
      <c r="F331" s="1193">
        <v>101</v>
      </c>
      <c r="G331" s="587">
        <v>170</v>
      </c>
      <c r="H331" s="587">
        <v>100</v>
      </c>
      <c r="I331" s="583">
        <f t="shared" si="127"/>
        <v>-9.7000000000000028</v>
      </c>
      <c r="J331" s="583">
        <f t="shared" si="128"/>
        <v>-4.7999999999999972</v>
      </c>
      <c r="K331" s="583">
        <f t="shared" si="129"/>
        <v>0.20000000000000284</v>
      </c>
      <c r="L331" s="588"/>
      <c r="M331" s="588">
        <f t="shared" si="121"/>
        <v>105.96666666666665</v>
      </c>
      <c r="N331" s="588">
        <f t="shared" si="122"/>
        <v>111.60000000000001</v>
      </c>
      <c r="O331" s="588">
        <f t="shared" si="123"/>
        <v>101.76666666666667</v>
      </c>
      <c r="P331" s="583"/>
      <c r="Q331" s="588">
        <f t="shared" si="115"/>
        <v>-4.8666666666666742</v>
      </c>
      <c r="R331" s="588">
        <f t="shared" si="116"/>
        <v>-0.86666666666664582</v>
      </c>
      <c r="S331" s="588">
        <f t="shared" si="117"/>
        <v>-0.90000000000000568</v>
      </c>
      <c r="T331" s="588"/>
      <c r="U331" s="588">
        <f t="shared" si="124"/>
        <v>111.02857142857142</v>
      </c>
      <c r="V331" s="588">
        <f t="shared" si="125"/>
        <v>114.77142857142859</v>
      </c>
      <c r="W331" s="588">
        <f t="shared" si="126"/>
        <v>101.82857142857142</v>
      </c>
      <c r="X331" s="588"/>
      <c r="Y331" s="588">
        <f t="shared" si="118"/>
        <v>-2.7999999999999972</v>
      </c>
      <c r="Z331" s="588">
        <f t="shared" si="119"/>
        <v>-2.914285714285711</v>
      </c>
      <c r="AA331" s="589">
        <f t="shared" si="120"/>
        <v>-0.38571428571428612</v>
      </c>
    </row>
    <row r="332" spans="1:27" ht="17.25" customHeight="1">
      <c r="A332" s="777"/>
      <c r="B332" s="777"/>
      <c r="C332" s="778">
        <v>5</v>
      </c>
      <c r="D332" s="1193">
        <v>88.9</v>
      </c>
      <c r="E332" s="1193">
        <v>90.4</v>
      </c>
      <c r="F332" s="1193">
        <v>97.5</v>
      </c>
      <c r="G332" s="587">
        <v>170</v>
      </c>
      <c r="H332" s="587">
        <v>100</v>
      </c>
      <c r="I332" s="583">
        <f t="shared" si="127"/>
        <v>-8.6999999999999886</v>
      </c>
      <c r="J332" s="583">
        <f t="shared" si="128"/>
        <v>-16</v>
      </c>
      <c r="K332" s="583">
        <f t="shared" si="129"/>
        <v>-3.5</v>
      </c>
      <c r="L332" s="588"/>
      <c r="M332" s="588">
        <f t="shared" si="121"/>
        <v>97.933333333333323</v>
      </c>
      <c r="N332" s="588">
        <f t="shared" si="122"/>
        <v>102.66666666666667</v>
      </c>
      <c r="O332" s="588">
        <f t="shared" si="123"/>
        <v>99.766666666666666</v>
      </c>
      <c r="P332" s="583"/>
      <c r="Q332" s="588">
        <f t="shared" si="115"/>
        <v>-8.0333333333333314</v>
      </c>
      <c r="R332" s="588">
        <f t="shared" si="116"/>
        <v>-8.9333333333333371</v>
      </c>
      <c r="S332" s="588">
        <f t="shared" si="117"/>
        <v>-2</v>
      </c>
      <c r="T332" s="588"/>
      <c r="U332" s="588">
        <f t="shared" si="124"/>
        <v>107.42857142857143</v>
      </c>
      <c r="V332" s="588">
        <f t="shared" si="125"/>
        <v>109.61428571428571</v>
      </c>
      <c r="W332" s="588">
        <f t="shared" si="126"/>
        <v>101.45714285714287</v>
      </c>
      <c r="X332" s="588"/>
      <c r="Y332" s="588">
        <f t="shared" si="118"/>
        <v>-3.5999999999999943</v>
      </c>
      <c r="Z332" s="588">
        <f t="shared" si="119"/>
        <v>-5.1571428571428726</v>
      </c>
      <c r="AA332" s="589">
        <f t="shared" si="120"/>
        <v>-0.37142857142855235</v>
      </c>
    </row>
    <row r="333" spans="1:27" ht="17.25" customHeight="1">
      <c r="A333" s="777"/>
      <c r="B333" s="777"/>
      <c r="C333" s="778">
        <v>6</v>
      </c>
      <c r="D333" s="1193">
        <v>86.7</v>
      </c>
      <c r="E333" s="1193">
        <v>88.4</v>
      </c>
      <c r="F333" s="1193">
        <v>102.2</v>
      </c>
      <c r="G333" s="587"/>
      <c r="H333" s="587">
        <v>100</v>
      </c>
      <c r="I333" s="583">
        <f t="shared" si="127"/>
        <v>-2.2000000000000028</v>
      </c>
      <c r="J333" s="583">
        <f t="shared" si="128"/>
        <v>-2</v>
      </c>
      <c r="K333" s="583">
        <f t="shared" si="129"/>
        <v>4.7000000000000028</v>
      </c>
      <c r="L333" s="588"/>
      <c r="M333" s="588">
        <f t="shared" si="121"/>
        <v>91.066666666666663</v>
      </c>
      <c r="N333" s="588">
        <f t="shared" si="122"/>
        <v>95.066666666666677</v>
      </c>
      <c r="O333" s="588">
        <f t="shared" si="123"/>
        <v>100.23333333333333</v>
      </c>
      <c r="P333" s="583"/>
      <c r="Q333" s="588">
        <f t="shared" si="115"/>
        <v>-6.86666666666666</v>
      </c>
      <c r="R333" s="588">
        <f t="shared" si="116"/>
        <v>-7.5999999999999943</v>
      </c>
      <c r="S333" s="588">
        <f t="shared" si="117"/>
        <v>0.46666666666666856</v>
      </c>
      <c r="T333" s="588"/>
      <c r="U333" s="588">
        <f t="shared" si="124"/>
        <v>102.7</v>
      </c>
      <c r="V333" s="588">
        <f t="shared" si="125"/>
        <v>105.07142857142857</v>
      </c>
      <c r="W333" s="588">
        <f t="shared" si="126"/>
        <v>101.60000000000001</v>
      </c>
      <c r="X333" s="588"/>
      <c r="Y333" s="588">
        <f t="shared" si="118"/>
        <v>-4.7285714285714278</v>
      </c>
      <c r="Z333" s="588">
        <f t="shared" si="119"/>
        <v>-4.5428571428571445</v>
      </c>
      <c r="AA333" s="589">
        <f t="shared" si="120"/>
        <v>0.1428571428571388</v>
      </c>
    </row>
    <row r="334" spans="1:27" ht="17.25" customHeight="1">
      <c r="A334" s="777"/>
      <c r="B334" s="777"/>
      <c r="C334" s="778">
        <v>7</v>
      </c>
      <c r="D334" s="1193">
        <v>91.8</v>
      </c>
      <c r="E334" s="1193">
        <v>90.1</v>
      </c>
      <c r="F334" s="1193">
        <v>103</v>
      </c>
      <c r="G334" s="587"/>
      <c r="H334" s="587">
        <v>100</v>
      </c>
      <c r="I334" s="583">
        <f t="shared" si="127"/>
        <v>5.0999999999999943</v>
      </c>
      <c r="J334" s="583">
        <f t="shared" si="128"/>
        <v>1.6999999999999886</v>
      </c>
      <c r="K334" s="583">
        <f t="shared" si="129"/>
        <v>0.79999999999999716</v>
      </c>
      <c r="L334" s="588"/>
      <c r="M334" s="588">
        <f t="shared" si="121"/>
        <v>89.13333333333334</v>
      </c>
      <c r="N334" s="588">
        <f t="shared" si="122"/>
        <v>89.633333333333326</v>
      </c>
      <c r="O334" s="588">
        <f t="shared" si="123"/>
        <v>100.89999999999999</v>
      </c>
      <c r="P334" s="583"/>
      <c r="Q334" s="588">
        <f t="shared" si="115"/>
        <v>-1.9333333333333229</v>
      </c>
      <c r="R334" s="588">
        <f t="shared" si="116"/>
        <v>-5.4333333333333513</v>
      </c>
      <c r="S334" s="588">
        <f t="shared" si="117"/>
        <v>0.66666666666665719</v>
      </c>
      <c r="T334" s="588"/>
      <c r="U334" s="588">
        <f t="shared" si="124"/>
        <v>99.642857142857139</v>
      </c>
      <c r="V334" s="588">
        <f t="shared" si="125"/>
        <v>101.8142857142857</v>
      </c>
      <c r="W334" s="588">
        <f t="shared" si="126"/>
        <v>101.67142857142858</v>
      </c>
      <c r="X334" s="588"/>
      <c r="Y334" s="588">
        <f t="shared" si="118"/>
        <v>-3.057142857142864</v>
      </c>
      <c r="Z334" s="588">
        <f t="shared" si="119"/>
        <v>-3.2571428571428669</v>
      </c>
      <c r="AA334" s="589">
        <f t="shared" si="120"/>
        <v>7.1428571428569398E-2</v>
      </c>
    </row>
    <row r="335" spans="1:27" ht="17.25" customHeight="1">
      <c r="A335" s="777"/>
      <c r="B335" s="777"/>
      <c r="C335" s="778">
        <v>8</v>
      </c>
      <c r="D335" s="1193">
        <v>96.5</v>
      </c>
      <c r="E335" s="1193">
        <v>92.1</v>
      </c>
      <c r="F335" s="1193">
        <v>97.6</v>
      </c>
      <c r="G335" s="587"/>
      <c r="H335" s="587">
        <v>100</v>
      </c>
      <c r="I335" s="583">
        <f t="shared" si="127"/>
        <v>4.7000000000000028</v>
      </c>
      <c r="J335" s="583">
        <f t="shared" si="128"/>
        <v>2</v>
      </c>
      <c r="K335" s="583">
        <f t="shared" si="129"/>
        <v>-5.4000000000000057</v>
      </c>
      <c r="L335" s="588"/>
      <c r="M335" s="588">
        <f t="shared" si="121"/>
        <v>91.666666666666671</v>
      </c>
      <c r="N335" s="588">
        <f t="shared" si="122"/>
        <v>90.2</v>
      </c>
      <c r="O335" s="588">
        <f t="shared" si="123"/>
        <v>100.93333333333332</v>
      </c>
      <c r="P335" s="583"/>
      <c r="Q335" s="588">
        <f t="shared" si="115"/>
        <v>2.5333333333333314</v>
      </c>
      <c r="R335" s="588">
        <f t="shared" si="116"/>
        <v>0.56666666666667709</v>
      </c>
      <c r="S335" s="588">
        <f t="shared" si="117"/>
        <v>3.3333333333331439E-2</v>
      </c>
      <c r="T335" s="588"/>
      <c r="U335" s="588">
        <f t="shared" si="124"/>
        <v>97.399999999999991</v>
      </c>
      <c r="V335" s="588">
        <f t="shared" si="125"/>
        <v>99.4</v>
      </c>
      <c r="W335" s="588">
        <f t="shared" si="126"/>
        <v>100.8</v>
      </c>
      <c r="X335" s="588"/>
      <c r="Y335" s="588">
        <f t="shared" si="118"/>
        <v>-2.2428571428571473</v>
      </c>
      <c r="Z335" s="588">
        <f t="shared" si="119"/>
        <v>-2.4142857142856968</v>
      </c>
      <c r="AA335" s="589">
        <f t="shared" si="120"/>
        <v>-0.87142857142858077</v>
      </c>
    </row>
    <row r="336" spans="1:27" ht="17.25" customHeight="1">
      <c r="A336" s="777"/>
      <c r="B336" s="777"/>
      <c r="C336" s="778">
        <v>9</v>
      </c>
      <c r="D336" s="1193">
        <v>98.6</v>
      </c>
      <c r="E336" s="1193">
        <v>93.1</v>
      </c>
      <c r="F336" s="1193">
        <v>99</v>
      </c>
      <c r="G336" s="587"/>
      <c r="H336" s="587">
        <v>100</v>
      </c>
      <c r="I336" s="583">
        <f t="shared" si="127"/>
        <v>2.0999999999999943</v>
      </c>
      <c r="J336" s="583">
        <f t="shared" si="128"/>
        <v>1</v>
      </c>
      <c r="K336" s="583">
        <f t="shared" si="129"/>
        <v>1.4000000000000057</v>
      </c>
      <c r="L336" s="588"/>
      <c r="M336" s="588">
        <f t="shared" ref="M336:M367" si="130">AVERAGE(D334:D336)</f>
        <v>95.633333333333326</v>
      </c>
      <c r="N336" s="588">
        <f t="shared" ref="N336:N367" si="131">AVERAGE(E334:E336)</f>
        <v>91.766666666666652</v>
      </c>
      <c r="O336" s="588">
        <f t="shared" ref="O336:O367" si="132">AVERAGE(F334:F336)</f>
        <v>99.866666666666674</v>
      </c>
      <c r="P336" s="583"/>
      <c r="Q336" s="588">
        <f t="shared" si="115"/>
        <v>3.9666666666666544</v>
      </c>
      <c r="R336" s="588">
        <f t="shared" si="116"/>
        <v>1.5666666666666487</v>
      </c>
      <c r="S336" s="588">
        <f t="shared" si="117"/>
        <v>-1.0666666666666487</v>
      </c>
      <c r="T336" s="588"/>
      <c r="U336" s="588">
        <f t="shared" ref="U336:U367" si="133">AVERAGE(D330:D336)</f>
        <v>95.342857142857142</v>
      </c>
      <c r="V336" s="588">
        <f t="shared" ref="V336:V367" si="134">AVERAGE(E330:E336)</f>
        <v>95.95714285714287</v>
      </c>
      <c r="W336" s="588">
        <f t="shared" ref="W336:W367" si="135">AVERAGE(F330:F336)</f>
        <v>100.15714285714286</v>
      </c>
      <c r="X336" s="588"/>
      <c r="Y336" s="588">
        <f t="shared" si="118"/>
        <v>-2.0571428571428498</v>
      </c>
      <c r="Z336" s="588">
        <f t="shared" si="119"/>
        <v>-3.442857142857136</v>
      </c>
      <c r="AA336" s="589">
        <f t="shared" si="120"/>
        <v>-0.6428571428571388</v>
      </c>
    </row>
    <row r="337" spans="1:27" ht="17.25" customHeight="1">
      <c r="A337" s="777"/>
      <c r="B337" s="777"/>
      <c r="C337" s="778">
        <v>10</v>
      </c>
      <c r="D337" s="1193">
        <v>102.1</v>
      </c>
      <c r="E337" s="1193">
        <v>97.8</v>
      </c>
      <c r="F337" s="1193">
        <v>99.8</v>
      </c>
      <c r="G337" s="587"/>
      <c r="H337" s="587">
        <v>100</v>
      </c>
      <c r="I337" s="583">
        <f t="shared" si="127"/>
        <v>3.5</v>
      </c>
      <c r="J337" s="583">
        <f t="shared" si="128"/>
        <v>4.7000000000000028</v>
      </c>
      <c r="K337" s="583">
        <f t="shared" si="129"/>
        <v>0.79999999999999716</v>
      </c>
      <c r="L337" s="588"/>
      <c r="M337" s="588">
        <f t="shared" si="130"/>
        <v>99.066666666666663</v>
      </c>
      <c r="N337" s="588">
        <f t="shared" si="131"/>
        <v>94.333333333333329</v>
      </c>
      <c r="O337" s="588">
        <f t="shared" si="132"/>
        <v>98.8</v>
      </c>
      <c r="P337" s="583"/>
      <c r="Q337" s="588">
        <f t="shared" si="115"/>
        <v>3.4333333333333371</v>
      </c>
      <c r="R337" s="588">
        <f t="shared" si="116"/>
        <v>2.5666666666666771</v>
      </c>
      <c r="S337" s="588">
        <f t="shared" si="117"/>
        <v>-1.0666666666666771</v>
      </c>
      <c r="T337" s="588"/>
      <c r="U337" s="588">
        <f t="shared" si="133"/>
        <v>94.600000000000009</v>
      </c>
      <c r="V337" s="588">
        <f t="shared" si="134"/>
        <v>94.042857142857159</v>
      </c>
      <c r="W337" s="588">
        <f t="shared" si="135"/>
        <v>100.01428571428571</v>
      </c>
      <c r="X337" s="588"/>
      <c r="Y337" s="588">
        <f t="shared" si="118"/>
        <v>-0.74285714285713311</v>
      </c>
      <c r="Z337" s="588">
        <f t="shared" si="119"/>
        <v>-1.914285714285711</v>
      </c>
      <c r="AA337" s="589">
        <f t="shared" si="120"/>
        <v>-0.14285714285715301</v>
      </c>
    </row>
    <row r="338" spans="1:27" ht="17.25" customHeight="1">
      <c r="A338" s="777"/>
      <c r="B338" s="777"/>
      <c r="C338" s="778">
        <v>11</v>
      </c>
      <c r="D338" s="1193">
        <v>102.4</v>
      </c>
      <c r="E338" s="1193">
        <v>100.9</v>
      </c>
      <c r="F338" s="1193">
        <v>97.8</v>
      </c>
      <c r="G338" s="587"/>
      <c r="H338" s="587">
        <v>100</v>
      </c>
      <c r="I338" s="583">
        <f t="shared" si="127"/>
        <v>0.30000000000001137</v>
      </c>
      <c r="J338" s="583">
        <f t="shared" si="128"/>
        <v>3.1000000000000085</v>
      </c>
      <c r="K338" s="583">
        <f t="shared" si="129"/>
        <v>-2</v>
      </c>
      <c r="L338" s="588"/>
      <c r="M338" s="588">
        <f t="shared" si="130"/>
        <v>101.03333333333335</v>
      </c>
      <c r="N338" s="588">
        <f t="shared" si="131"/>
        <v>97.266666666666652</v>
      </c>
      <c r="O338" s="588">
        <f t="shared" si="132"/>
        <v>98.866666666666674</v>
      </c>
      <c r="P338" s="583"/>
      <c r="Q338" s="588">
        <f t="shared" si="115"/>
        <v>1.9666666666666828</v>
      </c>
      <c r="R338" s="588">
        <f t="shared" si="116"/>
        <v>2.9333333333333229</v>
      </c>
      <c r="S338" s="588">
        <f t="shared" si="117"/>
        <v>6.6666666666677088E-2</v>
      </c>
      <c r="T338" s="588"/>
      <c r="U338" s="588">
        <f t="shared" si="133"/>
        <v>95.285714285714292</v>
      </c>
      <c r="V338" s="588">
        <f t="shared" si="134"/>
        <v>93.257142857142853</v>
      </c>
      <c r="W338" s="588">
        <f t="shared" si="135"/>
        <v>99.557142857142836</v>
      </c>
      <c r="X338" s="588"/>
      <c r="Y338" s="588">
        <f t="shared" si="118"/>
        <v>0.68571428571428328</v>
      </c>
      <c r="Z338" s="588">
        <f t="shared" si="119"/>
        <v>-0.78571428571430602</v>
      </c>
      <c r="AA338" s="589">
        <f t="shared" si="120"/>
        <v>-0.45714285714286973</v>
      </c>
    </row>
    <row r="339" spans="1:27" ht="17.25" customHeight="1">
      <c r="A339" s="777"/>
      <c r="B339" s="777"/>
      <c r="C339" s="778">
        <v>12</v>
      </c>
      <c r="D339" s="1197">
        <v>103.1</v>
      </c>
      <c r="E339" s="1197">
        <v>103.5</v>
      </c>
      <c r="F339" s="1197">
        <v>94.2</v>
      </c>
      <c r="G339" s="591"/>
      <c r="H339" s="591">
        <v>100</v>
      </c>
      <c r="I339" s="592">
        <f t="shared" si="127"/>
        <v>0.69999999999998863</v>
      </c>
      <c r="J339" s="592">
        <f t="shared" si="128"/>
        <v>2.5999999999999943</v>
      </c>
      <c r="K339" s="592">
        <f t="shared" si="129"/>
        <v>-3.5999999999999943</v>
      </c>
      <c r="L339" s="593"/>
      <c r="M339" s="593">
        <f t="shared" si="130"/>
        <v>102.53333333333335</v>
      </c>
      <c r="N339" s="593">
        <f t="shared" si="131"/>
        <v>100.73333333333333</v>
      </c>
      <c r="O339" s="593">
        <f t="shared" si="132"/>
        <v>97.266666666666666</v>
      </c>
      <c r="P339" s="592"/>
      <c r="Q339" s="593">
        <f t="shared" si="115"/>
        <v>1.5</v>
      </c>
      <c r="R339" s="593">
        <f t="shared" si="116"/>
        <v>3.4666666666666828</v>
      </c>
      <c r="S339" s="593">
        <f t="shared" si="117"/>
        <v>-1.6000000000000085</v>
      </c>
      <c r="T339" s="593"/>
      <c r="U339" s="593">
        <f t="shared" si="133"/>
        <v>97.314285714285717</v>
      </c>
      <c r="V339" s="593">
        <f t="shared" si="134"/>
        <v>95.128571428571448</v>
      </c>
      <c r="W339" s="593">
        <f t="shared" si="135"/>
        <v>99.085714285714289</v>
      </c>
      <c r="X339" s="593"/>
      <c r="Y339" s="593">
        <f t="shared" si="118"/>
        <v>2.0285714285714249</v>
      </c>
      <c r="Z339" s="593">
        <f t="shared" si="119"/>
        <v>1.871428571428595</v>
      </c>
      <c r="AA339" s="594">
        <f t="shared" si="120"/>
        <v>-0.47142857142854666</v>
      </c>
    </row>
    <row r="340" spans="1:27" ht="17.25" customHeight="1">
      <c r="A340" s="478">
        <v>3</v>
      </c>
      <c r="B340" s="759">
        <v>21</v>
      </c>
      <c r="C340" s="955">
        <v>1</v>
      </c>
      <c r="D340" s="1199">
        <v>106.1</v>
      </c>
      <c r="E340" s="1199">
        <v>115.7</v>
      </c>
      <c r="F340" s="1199">
        <v>98.3</v>
      </c>
      <c r="G340" s="596"/>
      <c r="H340" s="581">
        <v>100</v>
      </c>
      <c r="I340" s="582">
        <f t="shared" si="127"/>
        <v>3</v>
      </c>
      <c r="J340" s="582">
        <f t="shared" si="128"/>
        <v>12.200000000000003</v>
      </c>
      <c r="K340" s="582">
        <f t="shared" si="129"/>
        <v>4.0999999999999943</v>
      </c>
      <c r="L340" s="584"/>
      <c r="M340" s="584">
        <f t="shared" si="130"/>
        <v>103.86666666666667</v>
      </c>
      <c r="N340" s="584">
        <f t="shared" si="131"/>
        <v>106.7</v>
      </c>
      <c r="O340" s="584">
        <f t="shared" si="132"/>
        <v>96.766666666666666</v>
      </c>
      <c r="P340" s="582"/>
      <c r="Q340" s="584">
        <f t="shared" si="115"/>
        <v>1.3333333333333286</v>
      </c>
      <c r="R340" s="584">
        <f t="shared" si="116"/>
        <v>5.9666666666666686</v>
      </c>
      <c r="S340" s="584">
        <f t="shared" si="117"/>
        <v>-0.5</v>
      </c>
      <c r="T340" s="584"/>
      <c r="U340" s="584">
        <f t="shared" si="133"/>
        <v>100.08571428571429</v>
      </c>
      <c r="V340" s="584">
        <f t="shared" si="134"/>
        <v>99.028571428571439</v>
      </c>
      <c r="W340" s="584">
        <f t="shared" si="135"/>
        <v>98.528571428571439</v>
      </c>
      <c r="X340" s="584"/>
      <c r="Y340" s="584">
        <f t="shared" si="118"/>
        <v>2.7714285714285722</v>
      </c>
      <c r="Z340" s="584">
        <f t="shared" si="119"/>
        <v>3.8999999999999915</v>
      </c>
      <c r="AA340" s="585">
        <f t="shared" si="120"/>
        <v>-0.55714285714284983</v>
      </c>
    </row>
    <row r="341" spans="1:27" ht="17.25" customHeight="1">
      <c r="A341" s="777"/>
      <c r="B341" s="777"/>
      <c r="C341" s="778">
        <v>2</v>
      </c>
      <c r="D341" s="1199">
        <v>102.4</v>
      </c>
      <c r="E341" s="1199">
        <v>113.7</v>
      </c>
      <c r="F341" s="1199">
        <v>97</v>
      </c>
      <c r="G341" s="596"/>
      <c r="H341" s="587">
        <v>100</v>
      </c>
      <c r="I341" s="583">
        <f t="shared" si="127"/>
        <v>-3.6999999999999886</v>
      </c>
      <c r="J341" s="583">
        <f t="shared" si="128"/>
        <v>-2</v>
      </c>
      <c r="K341" s="583">
        <f t="shared" si="129"/>
        <v>-1.2999999999999972</v>
      </c>
      <c r="L341" s="588"/>
      <c r="M341" s="588">
        <f t="shared" si="130"/>
        <v>103.86666666666667</v>
      </c>
      <c r="N341" s="588">
        <f t="shared" si="131"/>
        <v>110.96666666666665</v>
      </c>
      <c r="O341" s="588">
        <f t="shared" si="132"/>
        <v>96.5</v>
      </c>
      <c r="P341" s="583"/>
      <c r="Q341" s="588">
        <f t="shared" si="115"/>
        <v>0</v>
      </c>
      <c r="R341" s="588">
        <f t="shared" si="116"/>
        <v>4.2666666666666515</v>
      </c>
      <c r="S341" s="588">
        <f t="shared" si="117"/>
        <v>-0.26666666666666572</v>
      </c>
      <c r="T341" s="588"/>
      <c r="U341" s="588">
        <f t="shared" si="133"/>
        <v>101.60000000000001</v>
      </c>
      <c r="V341" s="588">
        <f t="shared" si="134"/>
        <v>102.4</v>
      </c>
      <c r="W341" s="588">
        <f t="shared" si="135"/>
        <v>97.671428571428564</v>
      </c>
      <c r="X341" s="588"/>
      <c r="Y341" s="588">
        <f t="shared" si="118"/>
        <v>1.5142857142857196</v>
      </c>
      <c r="Z341" s="588">
        <f t="shared" si="119"/>
        <v>3.3714285714285666</v>
      </c>
      <c r="AA341" s="589">
        <f t="shared" si="120"/>
        <v>-0.85714285714287541</v>
      </c>
    </row>
    <row r="342" spans="1:27" ht="17.25" customHeight="1">
      <c r="A342" s="777"/>
      <c r="B342" s="777"/>
      <c r="C342" s="778">
        <v>3</v>
      </c>
      <c r="D342" s="1193">
        <v>105</v>
      </c>
      <c r="E342" s="1193">
        <v>114.8</v>
      </c>
      <c r="F342" s="1193">
        <v>103.2</v>
      </c>
      <c r="G342" s="587"/>
      <c r="H342" s="587">
        <v>100</v>
      </c>
      <c r="I342" s="583">
        <f t="shared" si="127"/>
        <v>2.5999999999999943</v>
      </c>
      <c r="J342" s="583">
        <f t="shared" si="128"/>
        <v>1.0999999999999943</v>
      </c>
      <c r="K342" s="583">
        <f t="shared" si="129"/>
        <v>6.2000000000000028</v>
      </c>
      <c r="L342" s="588"/>
      <c r="M342" s="588">
        <f t="shared" si="130"/>
        <v>104.5</v>
      </c>
      <c r="N342" s="588">
        <f t="shared" si="131"/>
        <v>114.73333333333333</v>
      </c>
      <c r="O342" s="588">
        <f t="shared" si="132"/>
        <v>99.5</v>
      </c>
      <c r="P342" s="583"/>
      <c r="Q342" s="588">
        <f t="shared" si="115"/>
        <v>0.63333333333332575</v>
      </c>
      <c r="R342" s="588">
        <f t="shared" si="116"/>
        <v>3.7666666666666799</v>
      </c>
      <c r="S342" s="588">
        <f t="shared" si="117"/>
        <v>3</v>
      </c>
      <c r="T342" s="588"/>
      <c r="U342" s="588">
        <f t="shared" si="133"/>
        <v>102.81428571428572</v>
      </c>
      <c r="V342" s="588">
        <f t="shared" si="134"/>
        <v>105.64285714285712</v>
      </c>
      <c r="W342" s="588">
        <f t="shared" si="135"/>
        <v>98.471428571428575</v>
      </c>
      <c r="X342" s="588"/>
      <c r="Y342" s="588">
        <f t="shared" si="118"/>
        <v>1.2142857142857082</v>
      </c>
      <c r="Z342" s="588">
        <f t="shared" si="119"/>
        <v>3.2428571428571189</v>
      </c>
      <c r="AA342" s="589">
        <f t="shared" si="120"/>
        <v>0.80000000000001137</v>
      </c>
    </row>
    <row r="343" spans="1:27" ht="16.5" customHeight="1">
      <c r="A343" s="777"/>
      <c r="B343" s="777"/>
      <c r="C343" s="778">
        <v>4</v>
      </c>
      <c r="D343" s="1193">
        <v>109.1</v>
      </c>
      <c r="E343" s="1193">
        <v>121.3</v>
      </c>
      <c r="F343" s="1193">
        <v>105.3</v>
      </c>
      <c r="G343" s="587"/>
      <c r="H343" s="587">
        <v>100</v>
      </c>
      <c r="I343" s="583">
        <f t="shared" si="127"/>
        <v>4.0999999999999943</v>
      </c>
      <c r="J343" s="583">
        <f t="shared" si="128"/>
        <v>6.5</v>
      </c>
      <c r="K343" s="583">
        <f t="shared" si="129"/>
        <v>2.0999999999999943</v>
      </c>
      <c r="L343" s="588"/>
      <c r="M343" s="588">
        <f t="shared" si="130"/>
        <v>105.5</v>
      </c>
      <c r="N343" s="588">
        <f t="shared" si="131"/>
        <v>116.60000000000001</v>
      </c>
      <c r="O343" s="588">
        <f t="shared" si="132"/>
        <v>101.83333333333333</v>
      </c>
      <c r="P343" s="583"/>
      <c r="Q343" s="588">
        <f t="shared" si="115"/>
        <v>1</v>
      </c>
      <c r="R343" s="588">
        <f t="shared" si="116"/>
        <v>1.8666666666666742</v>
      </c>
      <c r="S343" s="588">
        <f t="shared" si="117"/>
        <v>2.3333333333333286</v>
      </c>
      <c r="T343" s="588"/>
      <c r="U343" s="588">
        <f t="shared" si="133"/>
        <v>104.31428571428572</v>
      </c>
      <c r="V343" s="588">
        <f t="shared" si="134"/>
        <v>109.67142857142856</v>
      </c>
      <c r="W343" s="588">
        <f t="shared" si="135"/>
        <v>99.371428571428581</v>
      </c>
      <c r="X343" s="588"/>
      <c r="Y343" s="588">
        <f t="shared" si="118"/>
        <v>1.5</v>
      </c>
      <c r="Z343" s="588">
        <f t="shared" si="119"/>
        <v>4.0285714285714391</v>
      </c>
      <c r="AA343" s="589">
        <f t="shared" si="120"/>
        <v>0.90000000000000568</v>
      </c>
    </row>
    <row r="344" spans="1:27" ht="17.25" customHeight="1">
      <c r="A344" s="777"/>
      <c r="B344" s="777"/>
      <c r="C344" s="778">
        <v>5</v>
      </c>
      <c r="D344" s="1193">
        <v>108.7</v>
      </c>
      <c r="E344" s="1193">
        <v>122.7</v>
      </c>
      <c r="F344" s="1193">
        <v>102.5</v>
      </c>
      <c r="G344" s="587"/>
      <c r="H344" s="587">
        <v>100</v>
      </c>
      <c r="I344" s="583">
        <f t="shared" si="127"/>
        <v>-0.39999999999999147</v>
      </c>
      <c r="J344" s="583">
        <f t="shared" si="128"/>
        <v>1.4000000000000057</v>
      </c>
      <c r="K344" s="583">
        <f t="shared" si="129"/>
        <v>-2.7999999999999972</v>
      </c>
      <c r="L344" s="588"/>
      <c r="M344" s="588">
        <f t="shared" si="130"/>
        <v>107.60000000000001</v>
      </c>
      <c r="N344" s="588">
        <f t="shared" si="131"/>
        <v>119.60000000000001</v>
      </c>
      <c r="O344" s="588">
        <f t="shared" si="132"/>
        <v>103.66666666666667</v>
      </c>
      <c r="P344" s="583"/>
      <c r="Q344" s="588">
        <f t="shared" si="115"/>
        <v>2.1000000000000085</v>
      </c>
      <c r="R344" s="588">
        <f t="shared" si="116"/>
        <v>3</v>
      </c>
      <c r="S344" s="588">
        <f t="shared" si="117"/>
        <v>1.8333333333333428</v>
      </c>
      <c r="T344" s="588"/>
      <c r="U344" s="588">
        <f t="shared" si="133"/>
        <v>105.25714285714287</v>
      </c>
      <c r="V344" s="588">
        <f t="shared" si="134"/>
        <v>113.22857142857143</v>
      </c>
      <c r="W344" s="588">
        <f t="shared" si="135"/>
        <v>99.757142857142853</v>
      </c>
      <c r="X344" s="588"/>
      <c r="Y344" s="588">
        <f t="shared" si="118"/>
        <v>0.94285714285715017</v>
      </c>
      <c r="Z344" s="588">
        <f t="shared" si="119"/>
        <v>3.557142857142864</v>
      </c>
      <c r="AA344" s="589">
        <f t="shared" si="120"/>
        <v>0.38571428571427191</v>
      </c>
    </row>
    <row r="345" spans="1:27" ht="17.25" customHeight="1">
      <c r="A345" s="777"/>
      <c r="B345" s="777"/>
      <c r="C345" s="778">
        <v>6</v>
      </c>
      <c r="D345" s="1193">
        <v>104.9</v>
      </c>
      <c r="E345" s="1193">
        <v>131.4</v>
      </c>
      <c r="F345" s="1193">
        <v>103.7</v>
      </c>
      <c r="G345" s="587"/>
      <c r="H345" s="587">
        <v>100</v>
      </c>
      <c r="I345" s="583">
        <f t="shared" si="127"/>
        <v>-3.7999999999999972</v>
      </c>
      <c r="J345" s="583">
        <f t="shared" si="128"/>
        <v>8.7000000000000028</v>
      </c>
      <c r="K345" s="583">
        <f t="shared" si="129"/>
        <v>1.2000000000000028</v>
      </c>
      <c r="L345" s="588"/>
      <c r="M345" s="588">
        <f t="shared" si="130"/>
        <v>107.56666666666668</v>
      </c>
      <c r="N345" s="588">
        <f t="shared" si="131"/>
        <v>125.13333333333333</v>
      </c>
      <c r="O345" s="588">
        <f t="shared" si="132"/>
        <v>103.83333333333333</v>
      </c>
      <c r="P345" s="583"/>
      <c r="Q345" s="588">
        <f t="shared" si="115"/>
        <v>-3.3333333333331439E-2</v>
      </c>
      <c r="R345" s="588">
        <f t="shared" si="116"/>
        <v>5.5333333333333172</v>
      </c>
      <c r="S345" s="588">
        <f t="shared" si="117"/>
        <v>0.16666666666665719</v>
      </c>
      <c r="T345" s="588"/>
      <c r="U345" s="588">
        <f t="shared" si="133"/>
        <v>105.61428571428573</v>
      </c>
      <c r="V345" s="588">
        <f t="shared" si="134"/>
        <v>117.58571428571429</v>
      </c>
      <c r="W345" s="588">
        <f t="shared" si="135"/>
        <v>100.60000000000001</v>
      </c>
      <c r="X345" s="588"/>
      <c r="Y345" s="588">
        <f t="shared" si="118"/>
        <v>0.3571428571428612</v>
      </c>
      <c r="Z345" s="588">
        <f t="shared" si="119"/>
        <v>4.3571428571428612</v>
      </c>
      <c r="AA345" s="589">
        <f t="shared" si="120"/>
        <v>0.84285714285715585</v>
      </c>
    </row>
    <row r="346" spans="1:27" ht="17.25" customHeight="1">
      <c r="A346" s="777"/>
      <c r="B346" s="777"/>
      <c r="C346" s="778">
        <v>7</v>
      </c>
      <c r="D346" s="1193">
        <v>109.8</v>
      </c>
      <c r="E346" s="1193">
        <v>132.9</v>
      </c>
      <c r="F346" s="1193">
        <v>101.4</v>
      </c>
      <c r="G346" s="587"/>
      <c r="H346" s="587">
        <v>100</v>
      </c>
      <c r="I346" s="583">
        <f t="shared" si="127"/>
        <v>4.8999999999999915</v>
      </c>
      <c r="J346" s="583">
        <f t="shared" si="128"/>
        <v>1.5</v>
      </c>
      <c r="K346" s="583">
        <f t="shared" si="129"/>
        <v>-2.2999999999999972</v>
      </c>
      <c r="L346" s="588"/>
      <c r="M346" s="588">
        <f t="shared" si="130"/>
        <v>107.80000000000001</v>
      </c>
      <c r="N346" s="588">
        <f t="shared" si="131"/>
        <v>129</v>
      </c>
      <c r="O346" s="588">
        <f t="shared" si="132"/>
        <v>102.53333333333335</v>
      </c>
      <c r="P346" s="583"/>
      <c r="Q346" s="588">
        <f t="shared" si="115"/>
        <v>0.23333333333333428</v>
      </c>
      <c r="R346" s="588">
        <f t="shared" si="116"/>
        <v>3.8666666666666742</v>
      </c>
      <c r="S346" s="588">
        <f t="shared" si="117"/>
        <v>-1.2999999999999829</v>
      </c>
      <c r="T346" s="588"/>
      <c r="U346" s="588">
        <f t="shared" si="133"/>
        <v>106.57142857142857</v>
      </c>
      <c r="V346" s="588">
        <f t="shared" si="134"/>
        <v>121.78571428571429</v>
      </c>
      <c r="W346" s="588">
        <f t="shared" si="135"/>
        <v>101.62857142857142</v>
      </c>
      <c r="X346" s="588"/>
      <c r="Y346" s="588">
        <f t="shared" si="118"/>
        <v>0.95714285714284131</v>
      </c>
      <c r="Z346" s="588">
        <f t="shared" si="119"/>
        <v>4.2000000000000028</v>
      </c>
      <c r="AA346" s="589">
        <f t="shared" si="120"/>
        <v>1.0285714285714107</v>
      </c>
    </row>
    <row r="347" spans="1:27" ht="17.25" customHeight="1">
      <c r="A347" s="777"/>
      <c r="B347" s="777"/>
      <c r="C347" s="778">
        <v>8</v>
      </c>
      <c r="D347" s="1193">
        <v>109.2</v>
      </c>
      <c r="E347" s="1193">
        <v>140</v>
      </c>
      <c r="F347" s="1193">
        <v>101.7</v>
      </c>
      <c r="G347" s="587"/>
      <c r="H347" s="587">
        <v>100</v>
      </c>
      <c r="I347" s="583">
        <f t="shared" si="127"/>
        <v>-0.59999999999999432</v>
      </c>
      <c r="J347" s="583">
        <f t="shared" si="128"/>
        <v>7.0999999999999943</v>
      </c>
      <c r="K347" s="583">
        <f t="shared" si="129"/>
        <v>0.29999999999999716</v>
      </c>
      <c r="L347" s="588"/>
      <c r="M347" s="588">
        <f t="shared" si="130"/>
        <v>107.96666666666665</v>
      </c>
      <c r="N347" s="588">
        <f t="shared" si="131"/>
        <v>134.76666666666668</v>
      </c>
      <c r="O347" s="588">
        <f t="shared" si="132"/>
        <v>102.26666666666667</v>
      </c>
      <c r="P347" s="583"/>
      <c r="Q347" s="588">
        <f t="shared" si="115"/>
        <v>0.16666666666664298</v>
      </c>
      <c r="R347" s="588">
        <f t="shared" si="116"/>
        <v>5.7666666666666799</v>
      </c>
      <c r="S347" s="588">
        <f t="shared" si="117"/>
        <v>-0.26666666666667993</v>
      </c>
      <c r="T347" s="588"/>
      <c r="U347" s="588">
        <f t="shared" si="133"/>
        <v>107.01428571428572</v>
      </c>
      <c r="V347" s="588">
        <f t="shared" si="134"/>
        <v>125.25714285714285</v>
      </c>
      <c r="W347" s="588">
        <f t="shared" si="135"/>
        <v>102.11428571428573</v>
      </c>
      <c r="X347" s="588"/>
      <c r="Y347" s="588">
        <f t="shared" si="118"/>
        <v>0.44285714285715017</v>
      </c>
      <c r="Z347" s="588">
        <f t="shared" si="119"/>
        <v>3.4714285714285609</v>
      </c>
      <c r="AA347" s="589">
        <f t="shared" si="120"/>
        <v>0.48571428571430886</v>
      </c>
    </row>
    <row r="348" spans="1:27" ht="17.25" customHeight="1">
      <c r="A348" s="777"/>
      <c r="B348" s="777"/>
      <c r="C348" s="778">
        <v>9</v>
      </c>
      <c r="D348" s="1193">
        <v>103.6</v>
      </c>
      <c r="E348" s="1193">
        <v>136.30000000000001</v>
      </c>
      <c r="F348" s="1193">
        <v>101.8</v>
      </c>
      <c r="G348" s="587"/>
      <c r="H348" s="587">
        <v>100</v>
      </c>
      <c r="I348" s="583">
        <f t="shared" si="127"/>
        <v>-5.6000000000000085</v>
      </c>
      <c r="J348" s="583">
        <f t="shared" si="128"/>
        <v>-3.6999999999999886</v>
      </c>
      <c r="K348" s="583">
        <f t="shared" si="129"/>
        <v>9.9999999999994316E-2</v>
      </c>
      <c r="L348" s="588"/>
      <c r="M348" s="588">
        <f t="shared" si="130"/>
        <v>107.53333333333335</v>
      </c>
      <c r="N348" s="588">
        <f t="shared" si="131"/>
        <v>136.4</v>
      </c>
      <c r="O348" s="588">
        <f t="shared" si="132"/>
        <v>101.63333333333334</v>
      </c>
      <c r="P348" s="583"/>
      <c r="Q348" s="588">
        <f t="shared" si="115"/>
        <v>-0.4333333333333087</v>
      </c>
      <c r="R348" s="588">
        <f t="shared" si="116"/>
        <v>1.6333333333333258</v>
      </c>
      <c r="S348" s="588">
        <f t="shared" si="117"/>
        <v>-0.63333333333332575</v>
      </c>
      <c r="T348" s="588"/>
      <c r="U348" s="588">
        <f t="shared" si="133"/>
        <v>107.1857142857143</v>
      </c>
      <c r="V348" s="588">
        <f t="shared" si="134"/>
        <v>128.48571428571429</v>
      </c>
      <c r="W348" s="588">
        <f t="shared" si="135"/>
        <v>102.8</v>
      </c>
      <c r="X348" s="588"/>
      <c r="Y348" s="588">
        <f t="shared" si="118"/>
        <v>0.17142857142857792</v>
      </c>
      <c r="Z348" s="588">
        <f t="shared" si="119"/>
        <v>3.228571428571442</v>
      </c>
      <c r="AA348" s="589">
        <f t="shared" si="120"/>
        <v>0.68571428571426907</v>
      </c>
    </row>
    <row r="349" spans="1:27" ht="17.25" customHeight="1">
      <c r="A349" s="777"/>
      <c r="B349" s="777"/>
      <c r="C349" s="778">
        <v>10</v>
      </c>
      <c r="D349" s="1193">
        <v>105.3</v>
      </c>
      <c r="E349" s="1193">
        <v>134.80000000000001</v>
      </c>
      <c r="F349" s="1193">
        <v>104</v>
      </c>
      <c r="G349" s="587"/>
      <c r="H349" s="587">
        <v>100</v>
      </c>
      <c r="I349" s="583">
        <f t="shared" si="127"/>
        <v>1.7000000000000028</v>
      </c>
      <c r="J349" s="583">
        <f t="shared" si="128"/>
        <v>-1.5</v>
      </c>
      <c r="K349" s="583">
        <f t="shared" si="129"/>
        <v>2.2000000000000028</v>
      </c>
      <c r="L349" s="588"/>
      <c r="M349" s="588">
        <f t="shared" si="130"/>
        <v>106.03333333333335</v>
      </c>
      <c r="N349" s="588">
        <f t="shared" si="131"/>
        <v>137.03333333333333</v>
      </c>
      <c r="O349" s="588">
        <f t="shared" si="132"/>
        <v>102.5</v>
      </c>
      <c r="P349" s="583"/>
      <c r="Q349" s="588">
        <f t="shared" si="115"/>
        <v>-1.5</v>
      </c>
      <c r="R349" s="588">
        <f t="shared" si="116"/>
        <v>0.63333333333332575</v>
      </c>
      <c r="S349" s="588">
        <f t="shared" si="117"/>
        <v>0.86666666666666003</v>
      </c>
      <c r="T349" s="588"/>
      <c r="U349" s="588">
        <f t="shared" si="133"/>
        <v>107.22857142857143</v>
      </c>
      <c r="V349" s="588">
        <f t="shared" si="134"/>
        <v>131.34285714285713</v>
      </c>
      <c r="W349" s="588">
        <f t="shared" si="135"/>
        <v>102.91428571428571</v>
      </c>
      <c r="X349" s="588"/>
      <c r="Y349" s="588">
        <f t="shared" si="118"/>
        <v>4.285714285713027E-2</v>
      </c>
      <c r="Z349" s="588">
        <f t="shared" si="119"/>
        <v>2.8571428571428328</v>
      </c>
      <c r="AA349" s="589">
        <f t="shared" si="120"/>
        <v>0.11428571428571388</v>
      </c>
    </row>
    <row r="350" spans="1:27" ht="17.25" customHeight="1">
      <c r="A350" s="777"/>
      <c r="B350" s="777"/>
      <c r="C350" s="778">
        <v>11</v>
      </c>
      <c r="D350" s="1193">
        <v>110.6</v>
      </c>
      <c r="E350" s="1193">
        <v>137</v>
      </c>
      <c r="F350" s="1193">
        <v>104.6</v>
      </c>
      <c r="G350" s="587"/>
      <c r="H350" s="587">
        <v>100</v>
      </c>
      <c r="I350" s="583">
        <f t="shared" si="127"/>
        <v>5.2999999999999972</v>
      </c>
      <c r="J350" s="583">
        <f t="shared" si="128"/>
        <v>2.1999999999999886</v>
      </c>
      <c r="K350" s="583">
        <f t="shared" si="129"/>
        <v>0.59999999999999432</v>
      </c>
      <c r="L350" s="588"/>
      <c r="M350" s="588">
        <f t="shared" si="130"/>
        <v>106.5</v>
      </c>
      <c r="N350" s="588">
        <f t="shared" si="131"/>
        <v>136.03333333333333</v>
      </c>
      <c r="O350" s="588">
        <f t="shared" si="132"/>
        <v>103.46666666666665</v>
      </c>
      <c r="P350" s="583"/>
      <c r="Q350" s="588">
        <f t="shared" si="115"/>
        <v>0.46666666666665435</v>
      </c>
      <c r="R350" s="588">
        <f t="shared" si="116"/>
        <v>-1</v>
      </c>
      <c r="S350" s="588">
        <f t="shared" si="117"/>
        <v>0.96666666666665435</v>
      </c>
      <c r="T350" s="588"/>
      <c r="U350" s="588">
        <f t="shared" si="133"/>
        <v>107.44285714285715</v>
      </c>
      <c r="V350" s="588">
        <f t="shared" si="134"/>
        <v>133.58571428571426</v>
      </c>
      <c r="W350" s="588">
        <f t="shared" si="135"/>
        <v>102.81428571428572</v>
      </c>
      <c r="X350" s="588"/>
      <c r="Y350" s="588">
        <f t="shared" si="118"/>
        <v>0.21428571428572241</v>
      </c>
      <c r="Z350" s="588">
        <f t="shared" si="119"/>
        <v>2.2428571428571331</v>
      </c>
      <c r="AA350" s="589">
        <f t="shared" si="120"/>
        <v>-9.9999999999994316E-2</v>
      </c>
    </row>
    <row r="351" spans="1:27" ht="17.25" customHeight="1">
      <c r="A351" s="777"/>
      <c r="B351" s="777"/>
      <c r="C351" s="778">
        <v>12</v>
      </c>
      <c r="D351" s="1197">
        <v>114.8</v>
      </c>
      <c r="E351" s="1197">
        <v>143.80000000000001</v>
      </c>
      <c r="F351" s="1197">
        <v>105.3</v>
      </c>
      <c r="G351" s="591"/>
      <c r="H351" s="591">
        <v>100</v>
      </c>
      <c r="I351" s="592">
        <f t="shared" si="127"/>
        <v>4.2000000000000028</v>
      </c>
      <c r="J351" s="592">
        <f t="shared" si="128"/>
        <v>6.8000000000000114</v>
      </c>
      <c r="K351" s="592">
        <f t="shared" si="129"/>
        <v>0.70000000000000284</v>
      </c>
      <c r="L351" s="593"/>
      <c r="M351" s="593">
        <f t="shared" si="130"/>
        <v>110.23333333333333</v>
      </c>
      <c r="N351" s="593">
        <f t="shared" si="131"/>
        <v>138.53333333333333</v>
      </c>
      <c r="O351" s="593">
        <f t="shared" si="132"/>
        <v>104.63333333333333</v>
      </c>
      <c r="P351" s="592"/>
      <c r="Q351" s="593">
        <f t="shared" si="115"/>
        <v>3.7333333333333343</v>
      </c>
      <c r="R351" s="593">
        <f t="shared" si="116"/>
        <v>2.5</v>
      </c>
      <c r="S351" s="593">
        <f t="shared" si="117"/>
        <v>1.1666666666666714</v>
      </c>
      <c r="T351" s="593"/>
      <c r="U351" s="593">
        <f t="shared" si="133"/>
        <v>108.3142857142857</v>
      </c>
      <c r="V351" s="593">
        <f t="shared" si="134"/>
        <v>136.6</v>
      </c>
      <c r="W351" s="593">
        <f t="shared" si="135"/>
        <v>103.21428571428571</v>
      </c>
      <c r="X351" s="593"/>
      <c r="Y351" s="593">
        <f t="shared" si="118"/>
        <v>0.87142857142855235</v>
      </c>
      <c r="Z351" s="593">
        <f t="shared" si="119"/>
        <v>3.0142857142857338</v>
      </c>
      <c r="AA351" s="594">
        <f t="shared" si="120"/>
        <v>0.39999999999999147</v>
      </c>
    </row>
    <row r="352" spans="1:27" ht="17.25" customHeight="1">
      <c r="A352" s="478">
        <v>4</v>
      </c>
      <c r="B352" s="759">
        <v>22</v>
      </c>
      <c r="C352" s="955">
        <v>1</v>
      </c>
      <c r="D352" s="1199">
        <v>110.3</v>
      </c>
      <c r="E352" s="1199">
        <v>149.69999999999999</v>
      </c>
      <c r="F352" s="1199">
        <v>105.9</v>
      </c>
      <c r="G352" s="596"/>
      <c r="H352" s="581">
        <v>100</v>
      </c>
      <c r="I352" s="582">
        <f t="shared" si="127"/>
        <v>-4.5</v>
      </c>
      <c r="J352" s="582">
        <f t="shared" si="128"/>
        <v>5.8999999999999773</v>
      </c>
      <c r="K352" s="582">
        <f t="shared" si="129"/>
        <v>0.60000000000000853</v>
      </c>
      <c r="L352" s="584"/>
      <c r="M352" s="584">
        <f t="shared" si="130"/>
        <v>111.89999999999999</v>
      </c>
      <c r="N352" s="584">
        <f t="shared" si="131"/>
        <v>143.5</v>
      </c>
      <c r="O352" s="584">
        <f t="shared" si="132"/>
        <v>105.26666666666665</v>
      </c>
      <c r="P352" s="582"/>
      <c r="Q352" s="584">
        <f t="shared" si="115"/>
        <v>1.6666666666666572</v>
      </c>
      <c r="R352" s="584">
        <f t="shared" si="116"/>
        <v>4.9666666666666686</v>
      </c>
      <c r="S352" s="584">
        <f t="shared" si="117"/>
        <v>0.63333333333332575</v>
      </c>
      <c r="T352" s="584"/>
      <c r="U352" s="584">
        <f t="shared" si="133"/>
        <v>109.08571428571427</v>
      </c>
      <c r="V352" s="584">
        <f t="shared" si="134"/>
        <v>139.21428571428572</v>
      </c>
      <c r="W352" s="584">
        <f t="shared" si="135"/>
        <v>103.52857142857142</v>
      </c>
      <c r="X352" s="584"/>
      <c r="Y352" s="584">
        <f t="shared" si="118"/>
        <v>0.77142857142857224</v>
      </c>
      <c r="Z352" s="584">
        <f t="shared" si="119"/>
        <v>2.6142857142857281</v>
      </c>
      <c r="AA352" s="585">
        <f t="shared" si="120"/>
        <v>0.31428571428571672</v>
      </c>
    </row>
    <row r="353" spans="1:27" ht="17.25" customHeight="1">
      <c r="A353" s="777"/>
      <c r="B353" s="777"/>
      <c r="C353" s="778">
        <v>2</v>
      </c>
      <c r="D353" s="1199">
        <v>106</v>
      </c>
      <c r="E353" s="1199">
        <v>149.1</v>
      </c>
      <c r="F353" s="1199">
        <v>102.5</v>
      </c>
      <c r="G353" s="596"/>
      <c r="H353" s="587">
        <v>100</v>
      </c>
      <c r="I353" s="583">
        <f t="shared" si="127"/>
        <v>-4.2999999999999972</v>
      </c>
      <c r="J353" s="583">
        <f t="shared" si="128"/>
        <v>-0.59999999999999432</v>
      </c>
      <c r="K353" s="583">
        <f t="shared" si="129"/>
        <v>-3.4000000000000057</v>
      </c>
      <c r="L353" s="588"/>
      <c r="M353" s="588">
        <f t="shared" si="130"/>
        <v>110.36666666666667</v>
      </c>
      <c r="N353" s="588">
        <f t="shared" si="131"/>
        <v>147.53333333333333</v>
      </c>
      <c r="O353" s="588">
        <f t="shared" si="132"/>
        <v>104.56666666666666</v>
      </c>
      <c r="P353" s="583"/>
      <c r="Q353" s="588">
        <f t="shared" ref="Q353:S354" si="136">M353-M352</f>
        <v>-1.5333333333333172</v>
      </c>
      <c r="R353" s="588">
        <f t="shared" si="136"/>
        <v>4.0333333333333314</v>
      </c>
      <c r="S353" s="588">
        <f t="shared" si="136"/>
        <v>-0.69999999999998863</v>
      </c>
      <c r="T353" s="588"/>
      <c r="U353" s="588">
        <f t="shared" si="133"/>
        <v>108.54285714285713</v>
      </c>
      <c r="V353" s="588">
        <f t="shared" si="134"/>
        <v>141.52857142857144</v>
      </c>
      <c r="W353" s="588">
        <f t="shared" si="135"/>
        <v>103.68571428571428</v>
      </c>
      <c r="X353" s="588"/>
      <c r="Y353" s="588">
        <f t="shared" ref="Y353:AA354" si="137">U353-U352</f>
        <v>-0.54285714285714448</v>
      </c>
      <c r="Z353" s="588">
        <f t="shared" si="137"/>
        <v>2.3142857142857167</v>
      </c>
      <c r="AA353" s="589">
        <f t="shared" si="137"/>
        <v>0.15714285714285836</v>
      </c>
    </row>
    <row r="354" spans="1:27" ht="17.25" customHeight="1">
      <c r="A354" s="777"/>
      <c r="B354" s="777"/>
      <c r="C354" s="778">
        <v>3</v>
      </c>
      <c r="D354" s="1193">
        <v>106.6</v>
      </c>
      <c r="E354" s="1193">
        <v>149.5</v>
      </c>
      <c r="F354" s="1193">
        <v>110.6</v>
      </c>
      <c r="G354" s="587"/>
      <c r="H354" s="587">
        <v>100</v>
      </c>
      <c r="I354" s="583">
        <f t="shared" si="127"/>
        <v>0.59999999999999432</v>
      </c>
      <c r="J354" s="583">
        <f t="shared" si="128"/>
        <v>0.40000000000000568</v>
      </c>
      <c r="K354" s="583">
        <f t="shared" si="129"/>
        <v>8.0999999999999943</v>
      </c>
      <c r="L354" s="588"/>
      <c r="M354" s="588">
        <f t="shared" si="130"/>
        <v>107.63333333333333</v>
      </c>
      <c r="N354" s="588">
        <f t="shared" si="131"/>
        <v>149.43333333333331</v>
      </c>
      <c r="O354" s="588">
        <f t="shared" si="132"/>
        <v>106.33333333333333</v>
      </c>
      <c r="P354" s="583"/>
      <c r="Q354" s="588">
        <f t="shared" si="136"/>
        <v>-2.7333333333333485</v>
      </c>
      <c r="R354" s="588">
        <f t="shared" si="136"/>
        <v>1.8999999999999773</v>
      </c>
      <c r="S354" s="588">
        <f t="shared" si="136"/>
        <v>1.7666666666666657</v>
      </c>
      <c r="T354" s="588"/>
      <c r="U354" s="588">
        <f t="shared" si="133"/>
        <v>108.17142857142858</v>
      </c>
      <c r="V354" s="588">
        <f t="shared" si="134"/>
        <v>142.8857142857143</v>
      </c>
      <c r="W354" s="588">
        <f t="shared" si="135"/>
        <v>104.95714285714287</v>
      </c>
      <c r="X354" s="588"/>
      <c r="Y354" s="588">
        <f t="shared" si="137"/>
        <v>-0.37142857142855235</v>
      </c>
      <c r="Z354" s="588">
        <f t="shared" si="137"/>
        <v>1.3571428571428612</v>
      </c>
      <c r="AA354" s="589">
        <f t="shared" si="137"/>
        <v>1.2714285714285865</v>
      </c>
    </row>
    <row r="355" spans="1:27" ht="16.5" customHeight="1">
      <c r="A355" s="777"/>
      <c r="B355" s="777"/>
      <c r="C355" s="778">
        <v>4</v>
      </c>
      <c r="D355" s="1193">
        <v>112</v>
      </c>
      <c r="E355" s="1193">
        <v>147.19999999999999</v>
      </c>
      <c r="F355" s="1193">
        <v>107.4</v>
      </c>
      <c r="G355" s="587"/>
      <c r="H355" s="587">
        <v>100</v>
      </c>
      <c r="I355" s="583">
        <f t="shared" si="127"/>
        <v>5.4000000000000057</v>
      </c>
      <c r="J355" s="583">
        <f t="shared" si="128"/>
        <v>-2.3000000000000114</v>
      </c>
      <c r="K355" s="583">
        <f t="shared" si="129"/>
        <v>-3.1999999999999886</v>
      </c>
      <c r="L355" s="588"/>
      <c r="M355" s="588">
        <f t="shared" si="130"/>
        <v>108.2</v>
      </c>
      <c r="N355" s="588">
        <f t="shared" si="131"/>
        <v>148.6</v>
      </c>
      <c r="O355" s="588">
        <f t="shared" si="132"/>
        <v>106.83333333333333</v>
      </c>
      <c r="P355" s="583"/>
      <c r="Q355" s="588">
        <f t="shared" ref="Q355:S356" si="138">M355-M354</f>
        <v>0.56666666666667709</v>
      </c>
      <c r="R355" s="588">
        <f t="shared" si="138"/>
        <v>-0.83333333333331439</v>
      </c>
      <c r="S355" s="588">
        <f t="shared" si="138"/>
        <v>0.5</v>
      </c>
      <c r="T355" s="588"/>
      <c r="U355" s="588">
        <f t="shared" si="133"/>
        <v>109.37142857142858</v>
      </c>
      <c r="V355" s="588">
        <f t="shared" si="134"/>
        <v>144.44285714285712</v>
      </c>
      <c r="W355" s="588">
        <f t="shared" si="135"/>
        <v>105.75714285714285</v>
      </c>
      <c r="X355" s="588"/>
      <c r="Y355" s="588">
        <f t="shared" ref="Y355:AA356" si="139">U355-U354</f>
        <v>1.2000000000000028</v>
      </c>
      <c r="Z355" s="588">
        <f t="shared" si="139"/>
        <v>1.5571428571428214</v>
      </c>
      <c r="AA355" s="589">
        <f t="shared" si="139"/>
        <v>0.79999999999998295</v>
      </c>
    </row>
    <row r="356" spans="1:27" ht="17.25" customHeight="1">
      <c r="A356" s="777"/>
      <c r="B356" s="777"/>
      <c r="C356" s="778">
        <v>5</v>
      </c>
      <c r="D356" s="1193">
        <v>115.8</v>
      </c>
      <c r="E356" s="1193">
        <v>152.19999999999999</v>
      </c>
      <c r="F356" s="1193">
        <v>117.5</v>
      </c>
      <c r="G356" s="587"/>
      <c r="H356" s="587">
        <v>100</v>
      </c>
      <c r="I356" s="583">
        <f t="shared" si="127"/>
        <v>3.7999999999999972</v>
      </c>
      <c r="J356" s="583">
        <f t="shared" si="128"/>
        <v>5</v>
      </c>
      <c r="K356" s="583">
        <f t="shared" si="129"/>
        <v>10.099999999999994</v>
      </c>
      <c r="L356" s="588"/>
      <c r="M356" s="588">
        <f t="shared" si="130"/>
        <v>111.46666666666665</v>
      </c>
      <c r="N356" s="588">
        <f t="shared" si="131"/>
        <v>149.63333333333333</v>
      </c>
      <c r="O356" s="588">
        <f t="shared" si="132"/>
        <v>111.83333333333333</v>
      </c>
      <c r="P356" s="583"/>
      <c r="Q356" s="588">
        <f t="shared" si="138"/>
        <v>3.2666666666666515</v>
      </c>
      <c r="R356" s="588">
        <f t="shared" si="138"/>
        <v>1.0333333333333314</v>
      </c>
      <c r="S356" s="588">
        <f t="shared" si="138"/>
        <v>5</v>
      </c>
      <c r="T356" s="588"/>
      <c r="U356" s="588">
        <f t="shared" si="133"/>
        <v>110.87142857142855</v>
      </c>
      <c r="V356" s="588">
        <f t="shared" si="134"/>
        <v>146.92857142857142</v>
      </c>
      <c r="W356" s="588">
        <f t="shared" si="135"/>
        <v>107.68571428571428</v>
      </c>
      <c r="X356" s="588"/>
      <c r="Y356" s="588">
        <f t="shared" si="139"/>
        <v>1.4999999999999716</v>
      </c>
      <c r="Z356" s="588">
        <f t="shared" si="139"/>
        <v>2.4857142857142946</v>
      </c>
      <c r="AA356" s="589">
        <f t="shared" si="139"/>
        <v>1.9285714285714306</v>
      </c>
    </row>
    <row r="357" spans="1:27" ht="17.25" customHeight="1">
      <c r="A357" s="777"/>
      <c r="B357" s="777"/>
      <c r="C357" s="778">
        <v>6</v>
      </c>
      <c r="D357" s="1193">
        <v>118</v>
      </c>
      <c r="E357" s="1193">
        <v>151.69999999999999</v>
      </c>
      <c r="F357" s="1193">
        <v>113.8</v>
      </c>
      <c r="G357" s="587"/>
      <c r="H357" s="587">
        <v>100</v>
      </c>
      <c r="I357" s="583">
        <f t="shared" si="127"/>
        <v>2.2000000000000028</v>
      </c>
      <c r="J357" s="583">
        <f t="shared" si="128"/>
        <v>-0.5</v>
      </c>
      <c r="K357" s="583">
        <f t="shared" si="129"/>
        <v>-3.7000000000000028</v>
      </c>
      <c r="L357" s="588"/>
      <c r="M357" s="588">
        <f t="shared" si="130"/>
        <v>115.26666666666667</v>
      </c>
      <c r="N357" s="588">
        <f t="shared" si="131"/>
        <v>150.36666666666665</v>
      </c>
      <c r="O357" s="588">
        <f t="shared" si="132"/>
        <v>112.89999999999999</v>
      </c>
      <c r="P357" s="583"/>
      <c r="Q357" s="588">
        <f t="shared" ref="Q357:S358" si="140">M357-M356</f>
        <v>3.8000000000000114</v>
      </c>
      <c r="R357" s="588">
        <f t="shared" si="140"/>
        <v>0.73333333333332007</v>
      </c>
      <c r="S357" s="588">
        <f t="shared" si="140"/>
        <v>1.0666666666666629</v>
      </c>
      <c r="T357" s="588"/>
      <c r="U357" s="588">
        <f t="shared" si="133"/>
        <v>111.92857142857143</v>
      </c>
      <c r="V357" s="588">
        <f t="shared" si="134"/>
        <v>149.02857142857144</v>
      </c>
      <c r="W357" s="588">
        <f t="shared" si="135"/>
        <v>108.99999999999999</v>
      </c>
      <c r="X357" s="588"/>
      <c r="Y357" s="588">
        <f t="shared" ref="Y357:AA358" si="141">U357-U356</f>
        <v>1.0571428571428783</v>
      </c>
      <c r="Z357" s="588">
        <f t="shared" si="141"/>
        <v>2.1000000000000227</v>
      </c>
      <c r="AA357" s="589">
        <f t="shared" si="141"/>
        <v>1.3142857142857025</v>
      </c>
    </row>
    <row r="358" spans="1:27" ht="17.25" customHeight="1">
      <c r="A358" s="777"/>
      <c r="B358" s="777"/>
      <c r="C358" s="778">
        <v>7</v>
      </c>
      <c r="D358" s="1193">
        <v>119.5</v>
      </c>
      <c r="E358" s="1193">
        <v>158.30000000000001</v>
      </c>
      <c r="F358" s="1193">
        <v>121</v>
      </c>
      <c r="G358" s="587"/>
      <c r="H358" s="587">
        <v>100</v>
      </c>
      <c r="I358" s="583">
        <f t="shared" si="127"/>
        <v>1.5</v>
      </c>
      <c r="J358" s="583">
        <f t="shared" si="128"/>
        <v>6.6000000000000227</v>
      </c>
      <c r="K358" s="583">
        <f t="shared" si="129"/>
        <v>7.2000000000000028</v>
      </c>
      <c r="L358" s="588"/>
      <c r="M358" s="588">
        <f t="shared" si="130"/>
        <v>117.76666666666667</v>
      </c>
      <c r="N358" s="588">
        <f t="shared" si="131"/>
        <v>154.06666666666666</v>
      </c>
      <c r="O358" s="588">
        <f t="shared" si="132"/>
        <v>117.43333333333334</v>
      </c>
      <c r="P358" s="583"/>
      <c r="Q358" s="588">
        <f t="shared" si="140"/>
        <v>2.5</v>
      </c>
      <c r="R358" s="588">
        <f t="shared" si="140"/>
        <v>3.7000000000000171</v>
      </c>
      <c r="S358" s="588">
        <f t="shared" si="140"/>
        <v>4.5333333333333456</v>
      </c>
      <c r="T358" s="588"/>
      <c r="U358" s="588">
        <f t="shared" si="133"/>
        <v>112.6</v>
      </c>
      <c r="V358" s="588">
        <f t="shared" si="134"/>
        <v>151.1</v>
      </c>
      <c r="W358" s="588">
        <f t="shared" si="135"/>
        <v>111.24285714285713</v>
      </c>
      <c r="X358" s="588"/>
      <c r="Y358" s="588">
        <f t="shared" si="141"/>
        <v>0.67142857142856371</v>
      </c>
      <c r="Z358" s="588">
        <f t="shared" si="141"/>
        <v>2.0714285714285552</v>
      </c>
      <c r="AA358" s="589">
        <f t="shared" si="141"/>
        <v>2.2428571428571473</v>
      </c>
    </row>
    <row r="359" spans="1:27" ht="17.25" customHeight="1">
      <c r="A359" s="777"/>
      <c r="B359" s="777"/>
      <c r="C359" s="778">
        <v>8</v>
      </c>
      <c r="D359" s="1193">
        <v>117.4</v>
      </c>
      <c r="E359" s="1193">
        <v>155.4</v>
      </c>
      <c r="F359" s="1193">
        <v>117.2</v>
      </c>
      <c r="G359" s="587"/>
      <c r="H359" s="587">
        <v>100</v>
      </c>
      <c r="I359" s="583">
        <f t="shared" si="127"/>
        <v>-2.0999999999999943</v>
      </c>
      <c r="J359" s="583">
        <f t="shared" si="128"/>
        <v>-2.9000000000000057</v>
      </c>
      <c r="K359" s="583">
        <f t="shared" si="129"/>
        <v>-3.7999999999999972</v>
      </c>
      <c r="L359" s="588"/>
      <c r="M359" s="588">
        <f t="shared" si="130"/>
        <v>118.3</v>
      </c>
      <c r="N359" s="588">
        <f t="shared" si="131"/>
        <v>155.13333333333333</v>
      </c>
      <c r="O359" s="588">
        <f t="shared" si="132"/>
        <v>117.33333333333333</v>
      </c>
      <c r="P359" s="583"/>
      <c r="Q359" s="588">
        <f t="shared" ref="Q359:S360" si="142">M359-M358</f>
        <v>0.53333333333333144</v>
      </c>
      <c r="R359" s="588">
        <f t="shared" si="142"/>
        <v>1.0666666666666629</v>
      </c>
      <c r="S359" s="588">
        <f t="shared" si="142"/>
        <v>-0.10000000000000853</v>
      </c>
      <c r="T359" s="588"/>
      <c r="U359" s="588">
        <f t="shared" si="133"/>
        <v>113.61428571428573</v>
      </c>
      <c r="V359" s="588">
        <f t="shared" si="134"/>
        <v>151.91428571428574</v>
      </c>
      <c r="W359" s="588">
        <f t="shared" si="135"/>
        <v>112.85714285714286</v>
      </c>
      <c r="X359" s="588"/>
      <c r="Y359" s="588">
        <f t="shared" ref="Y359:AA360" si="143">U359-U358</f>
        <v>1.0142857142857338</v>
      </c>
      <c r="Z359" s="588">
        <f t="shared" si="143"/>
        <v>0.81428571428574514</v>
      </c>
      <c r="AA359" s="589">
        <f t="shared" si="143"/>
        <v>1.6142857142857281</v>
      </c>
    </row>
    <row r="360" spans="1:27" ht="17.25" customHeight="1">
      <c r="A360" s="777"/>
      <c r="B360" s="777"/>
      <c r="C360" s="778">
        <v>9</v>
      </c>
      <c r="D360" s="1193">
        <v>118.4</v>
      </c>
      <c r="E360" s="1193">
        <v>160</v>
      </c>
      <c r="F360" s="1193">
        <v>118.9</v>
      </c>
      <c r="G360" s="587"/>
      <c r="H360" s="587">
        <v>100</v>
      </c>
      <c r="I360" s="583">
        <f t="shared" si="127"/>
        <v>1</v>
      </c>
      <c r="J360" s="583">
        <f t="shared" si="128"/>
        <v>4.5999999999999943</v>
      </c>
      <c r="K360" s="583">
        <f t="shared" si="129"/>
        <v>1.7000000000000028</v>
      </c>
      <c r="L360" s="588"/>
      <c r="M360" s="588">
        <f t="shared" si="130"/>
        <v>118.43333333333334</v>
      </c>
      <c r="N360" s="588">
        <f t="shared" si="131"/>
        <v>157.9</v>
      </c>
      <c r="O360" s="588">
        <f t="shared" si="132"/>
        <v>119.03333333333335</v>
      </c>
      <c r="P360" s="583"/>
      <c r="Q360" s="588">
        <f t="shared" si="142"/>
        <v>0.13333333333333997</v>
      </c>
      <c r="R360" s="588">
        <f t="shared" si="142"/>
        <v>2.7666666666666799</v>
      </c>
      <c r="S360" s="588">
        <f t="shared" si="142"/>
        <v>1.7000000000000171</v>
      </c>
      <c r="T360" s="588"/>
      <c r="U360" s="588">
        <f t="shared" si="133"/>
        <v>115.38571428571427</v>
      </c>
      <c r="V360" s="588">
        <f t="shared" si="134"/>
        <v>153.47142857142853</v>
      </c>
      <c r="W360" s="588">
        <f t="shared" si="135"/>
        <v>115.2</v>
      </c>
      <c r="X360" s="588"/>
      <c r="Y360" s="588">
        <f t="shared" si="143"/>
        <v>1.7714285714285438</v>
      </c>
      <c r="Z360" s="588">
        <f t="shared" si="143"/>
        <v>1.557142857142793</v>
      </c>
      <c r="AA360" s="589">
        <f t="shared" si="143"/>
        <v>2.3428571428571416</v>
      </c>
    </row>
    <row r="361" spans="1:27" ht="17.25" customHeight="1">
      <c r="A361" s="777"/>
      <c r="B361" s="777"/>
      <c r="C361" s="778">
        <v>10</v>
      </c>
      <c r="D361" s="1193">
        <v>123.7</v>
      </c>
      <c r="E361" s="1193">
        <v>148.4</v>
      </c>
      <c r="F361" s="1193">
        <v>118.3</v>
      </c>
      <c r="G361" s="587"/>
      <c r="H361" s="587">
        <v>100</v>
      </c>
      <c r="I361" s="583">
        <f t="shared" si="127"/>
        <v>5.2999999999999972</v>
      </c>
      <c r="J361" s="583">
        <f t="shared" si="128"/>
        <v>-11.599999999999994</v>
      </c>
      <c r="K361" s="583">
        <f t="shared" si="129"/>
        <v>-0.60000000000000853</v>
      </c>
      <c r="L361" s="588"/>
      <c r="M361" s="588">
        <f t="shared" si="130"/>
        <v>119.83333333333333</v>
      </c>
      <c r="N361" s="588">
        <f t="shared" si="131"/>
        <v>154.6</v>
      </c>
      <c r="O361" s="588">
        <f t="shared" si="132"/>
        <v>118.13333333333334</v>
      </c>
      <c r="P361" s="583"/>
      <c r="Q361" s="588">
        <f t="shared" ref="Q361:S362" si="144">M361-M360</f>
        <v>1.3999999999999915</v>
      </c>
      <c r="R361" s="588">
        <f t="shared" si="144"/>
        <v>-3.3000000000000114</v>
      </c>
      <c r="S361" s="588">
        <f t="shared" si="144"/>
        <v>-0.90000000000000568</v>
      </c>
      <c r="T361" s="588"/>
      <c r="U361" s="588">
        <f t="shared" si="133"/>
        <v>117.82857142857144</v>
      </c>
      <c r="V361" s="588">
        <f t="shared" si="134"/>
        <v>153.31428571428572</v>
      </c>
      <c r="W361" s="588">
        <f t="shared" si="135"/>
        <v>116.29999999999998</v>
      </c>
      <c r="X361" s="588"/>
      <c r="Y361" s="588">
        <f t="shared" ref="Y361:AA362" si="145">U361-U360</f>
        <v>2.4428571428571644</v>
      </c>
      <c r="Z361" s="588">
        <f t="shared" si="145"/>
        <v>-0.15714285714281573</v>
      </c>
      <c r="AA361" s="589">
        <f t="shared" si="145"/>
        <v>1.0999999999999801</v>
      </c>
    </row>
    <row r="362" spans="1:27" ht="17.25" customHeight="1">
      <c r="A362" s="777"/>
      <c r="B362" s="777"/>
      <c r="C362" s="778">
        <v>11</v>
      </c>
      <c r="D362" s="1193">
        <v>122.2</v>
      </c>
      <c r="E362" s="1193">
        <v>154.5</v>
      </c>
      <c r="F362" s="1193">
        <v>120.9</v>
      </c>
      <c r="G362" s="587"/>
      <c r="H362" s="587">
        <v>100</v>
      </c>
      <c r="I362" s="583">
        <f t="shared" si="127"/>
        <v>-1.5</v>
      </c>
      <c r="J362" s="583">
        <f t="shared" si="128"/>
        <v>6.0999999999999943</v>
      </c>
      <c r="K362" s="583">
        <f t="shared" si="129"/>
        <v>2.6000000000000085</v>
      </c>
      <c r="L362" s="588"/>
      <c r="M362" s="588">
        <f t="shared" si="130"/>
        <v>121.43333333333334</v>
      </c>
      <c r="N362" s="588">
        <f t="shared" si="131"/>
        <v>154.29999999999998</v>
      </c>
      <c r="O362" s="588">
        <f t="shared" si="132"/>
        <v>119.36666666666667</v>
      </c>
      <c r="P362" s="583"/>
      <c r="Q362" s="588">
        <f t="shared" si="144"/>
        <v>1.6000000000000085</v>
      </c>
      <c r="R362" s="588">
        <f t="shared" si="144"/>
        <v>-0.30000000000001137</v>
      </c>
      <c r="S362" s="588">
        <f t="shared" si="144"/>
        <v>1.2333333333333343</v>
      </c>
      <c r="T362" s="588"/>
      <c r="U362" s="588">
        <f t="shared" si="133"/>
        <v>119.28571428571431</v>
      </c>
      <c r="V362" s="588">
        <f t="shared" si="134"/>
        <v>154.35714285714286</v>
      </c>
      <c r="W362" s="588">
        <f t="shared" si="135"/>
        <v>118.22857142857141</v>
      </c>
      <c r="X362" s="588"/>
      <c r="Y362" s="588">
        <f t="shared" si="145"/>
        <v>1.4571428571428697</v>
      </c>
      <c r="Z362" s="588">
        <f t="shared" si="145"/>
        <v>1.0428571428571445</v>
      </c>
      <c r="AA362" s="589">
        <f t="shared" si="145"/>
        <v>1.9285714285714306</v>
      </c>
    </row>
    <row r="363" spans="1:27" ht="17.25" customHeight="1">
      <c r="A363" s="777"/>
      <c r="B363" s="777"/>
      <c r="C363" s="778">
        <v>12</v>
      </c>
      <c r="D363" s="1197">
        <v>124.5</v>
      </c>
      <c r="E363" s="1197">
        <v>148.9</v>
      </c>
      <c r="F363" s="1197">
        <v>125.4</v>
      </c>
      <c r="G363" s="591"/>
      <c r="H363" s="591">
        <v>100</v>
      </c>
      <c r="I363" s="592">
        <f t="shared" si="127"/>
        <v>2.2999999999999972</v>
      </c>
      <c r="J363" s="592">
        <f t="shared" si="128"/>
        <v>-5.5999999999999943</v>
      </c>
      <c r="K363" s="592">
        <f t="shared" si="129"/>
        <v>4.5</v>
      </c>
      <c r="L363" s="593"/>
      <c r="M363" s="593">
        <f t="shared" si="130"/>
        <v>123.46666666666665</v>
      </c>
      <c r="N363" s="593">
        <f t="shared" si="131"/>
        <v>150.6</v>
      </c>
      <c r="O363" s="593">
        <f t="shared" si="132"/>
        <v>121.53333333333335</v>
      </c>
      <c r="P363" s="592"/>
      <c r="Q363" s="593">
        <f t="shared" ref="Q363:S364" si="146">M363-M362</f>
        <v>2.0333333333333172</v>
      </c>
      <c r="R363" s="593">
        <f t="shared" si="146"/>
        <v>-3.6999999999999886</v>
      </c>
      <c r="S363" s="593">
        <f t="shared" si="146"/>
        <v>2.1666666666666714</v>
      </c>
      <c r="T363" s="593"/>
      <c r="U363" s="593">
        <f t="shared" si="133"/>
        <v>120.52857142857144</v>
      </c>
      <c r="V363" s="593">
        <f t="shared" si="134"/>
        <v>153.8857142857143</v>
      </c>
      <c r="W363" s="593">
        <f t="shared" si="135"/>
        <v>119.35714285714285</v>
      </c>
      <c r="X363" s="593"/>
      <c r="Y363" s="593">
        <f t="shared" ref="Y363:AA364" si="147">U363-U362</f>
        <v>1.2428571428571331</v>
      </c>
      <c r="Z363" s="593">
        <f t="shared" si="147"/>
        <v>-0.47142857142856087</v>
      </c>
      <c r="AA363" s="594">
        <f t="shared" si="147"/>
        <v>1.1285714285714334</v>
      </c>
    </row>
    <row r="364" spans="1:27" ht="17.25" customHeight="1">
      <c r="A364" s="478">
        <v>5</v>
      </c>
      <c r="B364" s="759">
        <v>23</v>
      </c>
      <c r="C364" s="955">
        <v>1</v>
      </c>
      <c r="D364" s="1199">
        <v>124.9</v>
      </c>
      <c r="E364" s="1199">
        <v>150.9</v>
      </c>
      <c r="F364" s="1199">
        <v>126.3</v>
      </c>
      <c r="G364" s="596"/>
      <c r="H364" s="581">
        <v>100</v>
      </c>
      <c r="I364" s="582">
        <f t="shared" si="127"/>
        <v>0.40000000000000568</v>
      </c>
      <c r="J364" s="582">
        <f t="shared" si="128"/>
        <v>2</v>
      </c>
      <c r="K364" s="582">
        <f t="shared" si="129"/>
        <v>0.89999999999999147</v>
      </c>
      <c r="L364" s="584"/>
      <c r="M364" s="584">
        <f t="shared" si="130"/>
        <v>123.86666666666667</v>
      </c>
      <c r="N364" s="584">
        <f t="shared" si="131"/>
        <v>151.43333333333331</v>
      </c>
      <c r="O364" s="584">
        <f t="shared" si="132"/>
        <v>124.2</v>
      </c>
      <c r="P364" s="582"/>
      <c r="Q364" s="584">
        <f t="shared" si="146"/>
        <v>0.4000000000000199</v>
      </c>
      <c r="R364" s="584">
        <f t="shared" si="146"/>
        <v>0.83333333333331439</v>
      </c>
      <c r="S364" s="584">
        <f t="shared" si="146"/>
        <v>2.6666666666666572</v>
      </c>
      <c r="T364" s="584"/>
      <c r="U364" s="584">
        <f t="shared" si="133"/>
        <v>121.51428571428572</v>
      </c>
      <c r="V364" s="584">
        <f t="shared" si="134"/>
        <v>153.77142857142857</v>
      </c>
      <c r="W364" s="584">
        <f t="shared" si="135"/>
        <v>121.14285714285714</v>
      </c>
      <c r="X364" s="584"/>
      <c r="Y364" s="584">
        <f t="shared" si="147"/>
        <v>0.98571428571428044</v>
      </c>
      <c r="Z364" s="584">
        <f t="shared" si="147"/>
        <v>-0.11428571428572809</v>
      </c>
      <c r="AA364" s="585">
        <f t="shared" si="147"/>
        <v>1.7857142857142918</v>
      </c>
    </row>
    <row r="365" spans="1:27" ht="17.25" customHeight="1">
      <c r="A365" s="777"/>
      <c r="B365" s="777"/>
      <c r="C365" s="778">
        <v>2</v>
      </c>
      <c r="D365" s="1199">
        <v>127.6</v>
      </c>
      <c r="E365" s="1199">
        <v>149.30000000000001</v>
      </c>
      <c r="F365" s="1199">
        <v>125.9</v>
      </c>
      <c r="G365" s="596"/>
      <c r="H365" s="587">
        <v>100</v>
      </c>
      <c r="I365" s="583">
        <f t="shared" si="127"/>
        <v>2.6999999999999886</v>
      </c>
      <c r="J365" s="583">
        <f t="shared" si="128"/>
        <v>-1.5999999999999943</v>
      </c>
      <c r="K365" s="583">
        <f t="shared" si="129"/>
        <v>-0.39999999999999147</v>
      </c>
      <c r="L365" s="588"/>
      <c r="M365" s="588">
        <f t="shared" si="130"/>
        <v>125.66666666666667</v>
      </c>
      <c r="N365" s="588">
        <f t="shared" si="131"/>
        <v>149.70000000000002</v>
      </c>
      <c r="O365" s="588">
        <f t="shared" si="132"/>
        <v>125.86666666666667</v>
      </c>
      <c r="P365" s="583"/>
      <c r="Q365" s="588">
        <f t="shared" ref="Q365:S366" si="148">M365-M364</f>
        <v>1.7999999999999972</v>
      </c>
      <c r="R365" s="588">
        <f t="shared" si="148"/>
        <v>-1.7333333333332916</v>
      </c>
      <c r="S365" s="588">
        <f t="shared" si="148"/>
        <v>1.6666666666666714</v>
      </c>
      <c r="T365" s="588"/>
      <c r="U365" s="588">
        <f t="shared" si="133"/>
        <v>122.67142857142858</v>
      </c>
      <c r="V365" s="588">
        <f t="shared" si="134"/>
        <v>152.48571428571427</v>
      </c>
      <c r="W365" s="588">
        <f t="shared" si="135"/>
        <v>121.84285714285714</v>
      </c>
      <c r="X365" s="588"/>
      <c r="Y365" s="588">
        <f t="shared" ref="Y365:AA366" si="149">U365-U364</f>
        <v>1.1571428571428584</v>
      </c>
      <c r="Z365" s="588">
        <f t="shared" si="149"/>
        <v>-1.285714285714306</v>
      </c>
      <c r="AA365" s="589">
        <f t="shared" si="149"/>
        <v>0.70000000000000284</v>
      </c>
    </row>
    <row r="366" spans="1:27" ht="17.25" customHeight="1">
      <c r="A366" s="777"/>
      <c r="B366" s="777"/>
      <c r="C366" s="778">
        <v>3</v>
      </c>
      <c r="D366" s="1193">
        <v>122</v>
      </c>
      <c r="E366" s="1193">
        <v>144.80000000000001</v>
      </c>
      <c r="F366" s="1193">
        <v>124.1</v>
      </c>
      <c r="G366" s="587"/>
      <c r="H366" s="587">
        <v>100</v>
      </c>
      <c r="I366" s="583">
        <f t="shared" si="127"/>
        <v>-5.5999999999999943</v>
      </c>
      <c r="J366" s="583">
        <f t="shared" si="128"/>
        <v>-4.5</v>
      </c>
      <c r="K366" s="583">
        <f t="shared" si="129"/>
        <v>-1.8000000000000114</v>
      </c>
      <c r="L366" s="588"/>
      <c r="M366" s="588">
        <f t="shared" si="130"/>
        <v>124.83333333333333</v>
      </c>
      <c r="N366" s="588">
        <f t="shared" si="131"/>
        <v>148.33333333333334</v>
      </c>
      <c r="O366" s="588">
        <f t="shared" si="132"/>
        <v>125.43333333333332</v>
      </c>
      <c r="P366" s="583"/>
      <c r="Q366" s="588">
        <f t="shared" si="148"/>
        <v>-0.83333333333334281</v>
      </c>
      <c r="R366" s="588">
        <f t="shared" si="148"/>
        <v>-1.3666666666666742</v>
      </c>
      <c r="S366" s="588">
        <f t="shared" si="148"/>
        <v>-0.43333333333335133</v>
      </c>
      <c r="T366" s="588"/>
      <c r="U366" s="588">
        <f t="shared" si="133"/>
        <v>123.32857142857144</v>
      </c>
      <c r="V366" s="588">
        <f t="shared" si="134"/>
        <v>150.97142857142856</v>
      </c>
      <c r="W366" s="588">
        <f t="shared" si="135"/>
        <v>122.82857142857142</v>
      </c>
      <c r="X366" s="588"/>
      <c r="Y366" s="588">
        <f t="shared" si="149"/>
        <v>0.65714285714285836</v>
      </c>
      <c r="Z366" s="588">
        <f t="shared" si="149"/>
        <v>-1.5142857142857054</v>
      </c>
      <c r="AA366" s="589">
        <f t="shared" si="149"/>
        <v>0.98571428571428044</v>
      </c>
    </row>
    <row r="367" spans="1:27" ht="16.5" customHeight="1">
      <c r="A367" s="777"/>
      <c r="B367" s="777"/>
      <c r="C367" s="778">
        <v>4</v>
      </c>
      <c r="D367" s="1193">
        <v>128.1</v>
      </c>
      <c r="E367" s="1193">
        <v>141</v>
      </c>
      <c r="F367" s="1193">
        <v>123.5</v>
      </c>
      <c r="G367" s="587"/>
      <c r="H367" s="587">
        <v>100</v>
      </c>
      <c r="I367" s="583">
        <f t="shared" si="127"/>
        <v>6.0999999999999943</v>
      </c>
      <c r="J367" s="583">
        <f t="shared" si="128"/>
        <v>-3.8000000000000114</v>
      </c>
      <c r="K367" s="583">
        <f t="shared" si="129"/>
        <v>-0.59999999999999432</v>
      </c>
      <c r="L367" s="588"/>
      <c r="M367" s="588">
        <f t="shared" si="130"/>
        <v>125.89999999999999</v>
      </c>
      <c r="N367" s="588">
        <f t="shared" si="131"/>
        <v>145.03333333333333</v>
      </c>
      <c r="O367" s="588">
        <f t="shared" si="132"/>
        <v>124.5</v>
      </c>
      <c r="P367" s="583"/>
      <c r="Q367" s="588">
        <f t="shared" ref="Q367:S368" si="150">M367-M366</f>
        <v>1.0666666666666629</v>
      </c>
      <c r="R367" s="588">
        <f t="shared" si="150"/>
        <v>-3.3000000000000114</v>
      </c>
      <c r="S367" s="588">
        <f t="shared" si="150"/>
        <v>-0.93333333333332291</v>
      </c>
      <c r="T367" s="588"/>
      <c r="U367" s="588">
        <f t="shared" si="133"/>
        <v>124.71428571428571</v>
      </c>
      <c r="V367" s="588">
        <f t="shared" si="134"/>
        <v>148.25714285714284</v>
      </c>
      <c r="W367" s="588">
        <f t="shared" si="135"/>
        <v>123.48571428571429</v>
      </c>
      <c r="X367" s="588"/>
      <c r="Y367" s="588">
        <f t="shared" ref="Y367:AA368" si="151">U367-U366</f>
        <v>1.3857142857142719</v>
      </c>
      <c r="Z367" s="588">
        <f t="shared" si="151"/>
        <v>-2.7142857142857224</v>
      </c>
      <c r="AA367" s="589">
        <f t="shared" si="151"/>
        <v>0.65714285714287257</v>
      </c>
    </row>
    <row r="368" spans="1:27" ht="17.25" customHeight="1">
      <c r="A368" s="777"/>
      <c r="B368" s="777"/>
      <c r="C368" s="778">
        <v>5</v>
      </c>
      <c r="D368" s="1193">
        <v>128.4</v>
      </c>
      <c r="E368" s="1193">
        <v>139.30000000000001</v>
      </c>
      <c r="F368" s="1193">
        <v>121.8</v>
      </c>
      <c r="G368" s="587"/>
      <c r="H368" s="587">
        <v>100</v>
      </c>
      <c r="I368" s="583">
        <f t="shared" si="127"/>
        <v>0.30000000000001137</v>
      </c>
      <c r="J368" s="583">
        <f t="shared" si="128"/>
        <v>-1.6999999999999886</v>
      </c>
      <c r="K368" s="583">
        <f t="shared" si="129"/>
        <v>-1.7000000000000028</v>
      </c>
      <c r="L368" s="588"/>
      <c r="M368" s="588">
        <f t="shared" ref="M368:M384" si="152">AVERAGE(D366:D368)</f>
        <v>126.16666666666667</v>
      </c>
      <c r="N368" s="588">
        <f t="shared" ref="N368:N384" si="153">AVERAGE(E366:E368)</f>
        <v>141.70000000000002</v>
      </c>
      <c r="O368" s="588">
        <f t="shared" ref="O368:O384" si="154">AVERAGE(F366:F368)</f>
        <v>123.13333333333333</v>
      </c>
      <c r="P368" s="583"/>
      <c r="Q368" s="588">
        <f t="shared" si="150"/>
        <v>0.26666666666667993</v>
      </c>
      <c r="R368" s="588">
        <f t="shared" si="150"/>
        <v>-3.3333333333333144</v>
      </c>
      <c r="S368" s="588">
        <f t="shared" si="150"/>
        <v>-1.3666666666666742</v>
      </c>
      <c r="T368" s="588"/>
      <c r="U368" s="588">
        <f t="shared" ref="U368:U384" si="155">AVERAGE(D362:D368)</f>
        <v>125.38571428571429</v>
      </c>
      <c r="V368" s="588">
        <f t="shared" ref="V368:V384" si="156">AVERAGE(E362:E368)</f>
        <v>146.95714285714283</v>
      </c>
      <c r="W368" s="588">
        <f t="shared" ref="W368:W384" si="157">AVERAGE(F362:F368)</f>
        <v>123.98571428571428</v>
      </c>
      <c r="X368" s="588"/>
      <c r="Y368" s="588">
        <f t="shared" si="151"/>
        <v>0.67142857142857792</v>
      </c>
      <c r="Z368" s="588">
        <f t="shared" si="151"/>
        <v>-1.3000000000000114</v>
      </c>
      <c r="AA368" s="589">
        <f t="shared" si="151"/>
        <v>0.49999999999998579</v>
      </c>
    </row>
    <row r="369" spans="1:28" ht="17.25" customHeight="1">
      <c r="A369" s="777"/>
      <c r="B369" s="777"/>
      <c r="C369" s="778">
        <v>6</v>
      </c>
      <c r="D369" s="1193">
        <v>138.1</v>
      </c>
      <c r="E369" s="1193">
        <v>140.6</v>
      </c>
      <c r="F369" s="1193">
        <v>119.8</v>
      </c>
      <c r="G369" s="587"/>
      <c r="H369" s="587">
        <v>100</v>
      </c>
      <c r="I369" s="583">
        <f t="shared" si="127"/>
        <v>9.6999999999999886</v>
      </c>
      <c r="J369" s="583">
        <f t="shared" si="128"/>
        <v>1.2999999999999829</v>
      </c>
      <c r="K369" s="583">
        <f t="shared" si="129"/>
        <v>-2</v>
      </c>
      <c r="L369" s="588"/>
      <c r="M369" s="588">
        <f t="shared" si="152"/>
        <v>131.53333333333333</v>
      </c>
      <c r="N369" s="588">
        <f t="shared" si="153"/>
        <v>140.29999999999998</v>
      </c>
      <c r="O369" s="588">
        <f t="shared" si="154"/>
        <v>121.7</v>
      </c>
      <c r="P369" s="583"/>
      <c r="Q369" s="588">
        <f t="shared" ref="Q369:S370" si="158">M369-M368</f>
        <v>5.36666666666666</v>
      </c>
      <c r="R369" s="588">
        <f t="shared" si="158"/>
        <v>-1.4000000000000341</v>
      </c>
      <c r="S369" s="588">
        <f t="shared" si="158"/>
        <v>-1.4333333333333229</v>
      </c>
      <c r="T369" s="588"/>
      <c r="U369" s="588">
        <f t="shared" si="155"/>
        <v>127.65714285714286</v>
      </c>
      <c r="V369" s="588">
        <f t="shared" si="156"/>
        <v>144.97142857142859</v>
      </c>
      <c r="W369" s="588">
        <f t="shared" si="157"/>
        <v>123.82857142857142</v>
      </c>
      <c r="X369" s="588"/>
      <c r="Y369" s="588">
        <f t="shared" ref="Y369:AA370" si="159">U369-U368</f>
        <v>2.2714285714285722</v>
      </c>
      <c r="Z369" s="588">
        <f t="shared" si="159"/>
        <v>-1.9857142857142378</v>
      </c>
      <c r="AA369" s="589">
        <f t="shared" si="159"/>
        <v>-0.15714285714285836</v>
      </c>
    </row>
    <row r="370" spans="1:28" ht="17.25" customHeight="1">
      <c r="A370" s="777"/>
      <c r="B370" s="777"/>
      <c r="C370" s="778">
        <v>7</v>
      </c>
      <c r="D370" s="1201">
        <v>128.9</v>
      </c>
      <c r="E370" s="1193">
        <v>135.4</v>
      </c>
      <c r="F370" s="1193">
        <v>123.5</v>
      </c>
      <c r="G370" s="587"/>
      <c r="H370" s="587">
        <v>100</v>
      </c>
      <c r="I370" s="583">
        <f t="shared" si="127"/>
        <v>-9.1999999999999886</v>
      </c>
      <c r="J370" s="583">
        <f t="shared" si="128"/>
        <v>-5.1999999999999886</v>
      </c>
      <c r="K370" s="583">
        <f t="shared" si="129"/>
        <v>3.7000000000000028</v>
      </c>
      <c r="L370" s="588"/>
      <c r="M370" s="588">
        <f t="shared" si="152"/>
        <v>131.79999999999998</v>
      </c>
      <c r="N370" s="588">
        <f t="shared" si="153"/>
        <v>138.43333333333331</v>
      </c>
      <c r="O370" s="588">
        <f t="shared" si="154"/>
        <v>121.7</v>
      </c>
      <c r="P370" s="583"/>
      <c r="Q370" s="588">
        <f t="shared" si="158"/>
        <v>0.26666666666665151</v>
      </c>
      <c r="R370" s="588">
        <f t="shared" si="158"/>
        <v>-1.8666666666666742</v>
      </c>
      <c r="S370" s="588">
        <f t="shared" si="158"/>
        <v>0</v>
      </c>
      <c r="T370" s="588"/>
      <c r="U370" s="588">
        <f t="shared" si="155"/>
        <v>128.28571428571428</v>
      </c>
      <c r="V370" s="588">
        <f t="shared" si="156"/>
        <v>143.04285714285714</v>
      </c>
      <c r="W370" s="588">
        <f t="shared" si="157"/>
        <v>123.55714285714284</v>
      </c>
      <c r="X370" s="588"/>
      <c r="Y370" s="588">
        <f t="shared" si="159"/>
        <v>0.62857142857141923</v>
      </c>
      <c r="Z370" s="588">
        <f t="shared" si="159"/>
        <v>-1.9285714285714448</v>
      </c>
      <c r="AA370" s="589">
        <f t="shared" si="159"/>
        <v>-0.27142857142858645</v>
      </c>
    </row>
    <row r="371" spans="1:28" ht="17.25" customHeight="1">
      <c r="A371" s="777"/>
      <c r="B371" s="777"/>
      <c r="C371" s="778">
        <v>8</v>
      </c>
      <c r="D371" s="1201">
        <v>130.6</v>
      </c>
      <c r="E371" s="1193">
        <v>129.9</v>
      </c>
      <c r="F371" s="1193">
        <v>126.6</v>
      </c>
      <c r="G371" s="587"/>
      <c r="H371" s="587">
        <v>100</v>
      </c>
      <c r="I371" s="583">
        <f t="shared" si="127"/>
        <v>1.6999999999999886</v>
      </c>
      <c r="J371" s="583">
        <f t="shared" si="128"/>
        <v>-5.5</v>
      </c>
      <c r="K371" s="583">
        <f t="shared" si="129"/>
        <v>3.0999999999999943</v>
      </c>
      <c r="L371" s="588"/>
      <c r="M371" s="588">
        <f t="shared" si="152"/>
        <v>132.53333333333333</v>
      </c>
      <c r="N371" s="588">
        <f t="shared" si="153"/>
        <v>135.29999999999998</v>
      </c>
      <c r="O371" s="588">
        <f t="shared" si="154"/>
        <v>123.3</v>
      </c>
      <c r="P371" s="583"/>
      <c r="Q371" s="588">
        <f t="shared" ref="Q371:S372" si="160">M371-M370</f>
        <v>0.73333333333334849</v>
      </c>
      <c r="R371" s="588">
        <f t="shared" si="160"/>
        <v>-3.1333333333333258</v>
      </c>
      <c r="S371" s="588">
        <f t="shared" si="160"/>
        <v>1.5999999999999943</v>
      </c>
      <c r="T371" s="588"/>
      <c r="U371" s="588">
        <f t="shared" si="155"/>
        <v>129.1</v>
      </c>
      <c r="V371" s="588">
        <f t="shared" si="156"/>
        <v>140.04285714285714</v>
      </c>
      <c r="W371" s="588">
        <f t="shared" si="157"/>
        <v>123.60000000000001</v>
      </c>
      <c r="X371" s="588"/>
      <c r="Y371" s="588">
        <f t="shared" ref="Y371:AA372" si="161">U371-U370</f>
        <v>0.81428571428571672</v>
      </c>
      <c r="Z371" s="588">
        <f t="shared" si="161"/>
        <v>-3</v>
      </c>
      <c r="AA371" s="589">
        <f t="shared" si="161"/>
        <v>4.2857142857172903E-2</v>
      </c>
    </row>
    <row r="372" spans="1:28" ht="17.25" customHeight="1">
      <c r="A372" s="777"/>
      <c r="B372" s="777"/>
      <c r="C372" s="778">
        <v>9</v>
      </c>
      <c r="D372" s="1201">
        <v>137.80000000000001</v>
      </c>
      <c r="E372" s="1193">
        <v>129</v>
      </c>
      <c r="F372" s="1193">
        <v>126.7</v>
      </c>
      <c r="G372" s="587"/>
      <c r="H372" s="587">
        <v>100</v>
      </c>
      <c r="I372" s="583">
        <f t="shared" si="127"/>
        <v>7.2000000000000171</v>
      </c>
      <c r="J372" s="583">
        <f t="shared" si="128"/>
        <v>-0.90000000000000568</v>
      </c>
      <c r="K372" s="583">
        <f t="shared" si="129"/>
        <v>0.10000000000000853</v>
      </c>
      <c r="L372" s="588"/>
      <c r="M372" s="588">
        <f t="shared" si="152"/>
        <v>132.43333333333334</v>
      </c>
      <c r="N372" s="588">
        <f t="shared" si="153"/>
        <v>131.43333333333334</v>
      </c>
      <c r="O372" s="588">
        <f t="shared" si="154"/>
        <v>125.60000000000001</v>
      </c>
      <c r="P372" s="583"/>
      <c r="Q372" s="588">
        <f t="shared" si="160"/>
        <v>-9.9999999999994316E-2</v>
      </c>
      <c r="R372" s="588">
        <f t="shared" si="160"/>
        <v>-3.8666666666666458</v>
      </c>
      <c r="S372" s="588">
        <f t="shared" si="160"/>
        <v>2.3000000000000114</v>
      </c>
      <c r="T372" s="588"/>
      <c r="U372" s="588">
        <f t="shared" si="155"/>
        <v>130.55714285714288</v>
      </c>
      <c r="V372" s="588">
        <f t="shared" si="156"/>
        <v>137.14285714285714</v>
      </c>
      <c r="W372" s="588">
        <f t="shared" si="157"/>
        <v>123.71428571428574</v>
      </c>
      <c r="X372" s="588"/>
      <c r="Y372" s="588">
        <f t="shared" si="161"/>
        <v>1.4571428571428839</v>
      </c>
      <c r="Z372" s="588">
        <f t="shared" si="161"/>
        <v>-2.9000000000000057</v>
      </c>
      <c r="AA372" s="589">
        <f t="shared" si="161"/>
        <v>0.11428571428572809</v>
      </c>
    </row>
    <row r="373" spans="1:28" ht="17.25" customHeight="1">
      <c r="A373" s="777"/>
      <c r="B373" s="777"/>
      <c r="C373" s="778">
        <v>10</v>
      </c>
      <c r="D373" s="1193">
        <v>133.9</v>
      </c>
      <c r="E373" s="1193">
        <v>128.80000000000001</v>
      </c>
      <c r="F373" s="1193">
        <v>129.5</v>
      </c>
      <c r="G373" s="587"/>
      <c r="H373" s="587">
        <v>100</v>
      </c>
      <c r="I373" s="583">
        <f t="shared" si="127"/>
        <v>-3.9000000000000057</v>
      </c>
      <c r="J373" s="583">
        <f t="shared" si="128"/>
        <v>-0.19999999999998863</v>
      </c>
      <c r="K373" s="583">
        <f t="shared" si="129"/>
        <v>2.7999999999999972</v>
      </c>
      <c r="L373" s="588"/>
      <c r="M373" s="588">
        <f t="shared" si="152"/>
        <v>134.1</v>
      </c>
      <c r="N373" s="588">
        <f t="shared" si="153"/>
        <v>129.23333333333332</v>
      </c>
      <c r="O373" s="588">
        <f t="shared" si="154"/>
        <v>127.60000000000001</v>
      </c>
      <c r="P373" s="583"/>
      <c r="Q373" s="588">
        <f t="shared" ref="Q373:S374" si="162">M373-M372</f>
        <v>1.6666666666666572</v>
      </c>
      <c r="R373" s="588">
        <f t="shared" si="162"/>
        <v>-2.2000000000000171</v>
      </c>
      <c r="S373" s="588">
        <f t="shared" si="162"/>
        <v>2</v>
      </c>
      <c r="T373" s="588"/>
      <c r="U373" s="588">
        <f t="shared" si="155"/>
        <v>132.25714285714287</v>
      </c>
      <c r="V373" s="588">
        <f t="shared" si="156"/>
        <v>134.85714285714286</v>
      </c>
      <c r="W373" s="588">
        <f t="shared" si="157"/>
        <v>124.48571428571429</v>
      </c>
      <c r="X373" s="588"/>
      <c r="Y373" s="588">
        <f t="shared" ref="Y373:AA374" si="163">U373-U372</f>
        <v>1.6999999999999886</v>
      </c>
      <c r="Z373" s="588">
        <f t="shared" si="163"/>
        <v>-2.2857142857142776</v>
      </c>
      <c r="AA373" s="589">
        <f t="shared" si="163"/>
        <v>0.77142857142855803</v>
      </c>
    </row>
    <row r="374" spans="1:28" ht="17.25" customHeight="1">
      <c r="A374" s="777"/>
      <c r="B374" s="777"/>
      <c r="C374" s="778">
        <v>11</v>
      </c>
      <c r="D374" s="1193">
        <v>137</v>
      </c>
      <c r="E374" s="1193">
        <v>126</v>
      </c>
      <c r="F374" s="1193">
        <v>124</v>
      </c>
      <c r="G374" s="587"/>
      <c r="H374" s="587">
        <v>100</v>
      </c>
      <c r="I374" s="583">
        <f t="shared" si="127"/>
        <v>3.0999999999999943</v>
      </c>
      <c r="J374" s="583">
        <f t="shared" si="128"/>
        <v>-2.8000000000000114</v>
      </c>
      <c r="K374" s="583">
        <f t="shared" si="129"/>
        <v>-5.5</v>
      </c>
      <c r="L374" s="588"/>
      <c r="M374" s="588">
        <f t="shared" si="152"/>
        <v>136.23333333333335</v>
      </c>
      <c r="N374" s="588">
        <f t="shared" si="153"/>
        <v>127.93333333333334</v>
      </c>
      <c r="O374" s="588">
        <f t="shared" si="154"/>
        <v>126.73333333333333</v>
      </c>
      <c r="P374" s="583"/>
      <c r="Q374" s="588">
        <f t="shared" si="162"/>
        <v>2.1333333333333542</v>
      </c>
      <c r="R374" s="588">
        <f t="shared" si="162"/>
        <v>-1.2999999999999829</v>
      </c>
      <c r="S374" s="588">
        <f t="shared" si="162"/>
        <v>-0.86666666666667425</v>
      </c>
      <c r="T374" s="588"/>
      <c r="U374" s="588">
        <f t="shared" si="155"/>
        <v>133.52857142857141</v>
      </c>
      <c r="V374" s="588">
        <f t="shared" si="156"/>
        <v>132.71428571428572</v>
      </c>
      <c r="W374" s="588">
        <f t="shared" si="157"/>
        <v>124.55714285714286</v>
      </c>
      <c r="X374" s="588"/>
      <c r="Y374" s="588">
        <f t="shared" si="163"/>
        <v>1.2714285714285438</v>
      </c>
      <c r="Z374" s="588">
        <f t="shared" si="163"/>
        <v>-2.1428571428571388</v>
      </c>
      <c r="AA374" s="589">
        <f t="shared" si="163"/>
        <v>7.1428571428569398E-2</v>
      </c>
    </row>
    <row r="375" spans="1:28" ht="17.25" customHeight="1">
      <c r="A375" s="868"/>
      <c r="B375" s="868"/>
      <c r="C375" s="869">
        <v>12</v>
      </c>
      <c r="D375" s="1197">
        <v>137.30000000000001</v>
      </c>
      <c r="E375" s="1197">
        <v>128.9</v>
      </c>
      <c r="F375" s="1197">
        <v>126.2</v>
      </c>
      <c r="G375" s="591"/>
      <c r="H375" s="591">
        <v>100</v>
      </c>
      <c r="I375" s="592">
        <f t="shared" si="127"/>
        <v>0.30000000000001137</v>
      </c>
      <c r="J375" s="592">
        <f t="shared" si="128"/>
        <v>2.9000000000000057</v>
      </c>
      <c r="K375" s="592">
        <f t="shared" si="129"/>
        <v>2.2000000000000028</v>
      </c>
      <c r="L375" s="593"/>
      <c r="M375" s="593">
        <f t="shared" si="152"/>
        <v>136.06666666666666</v>
      </c>
      <c r="N375" s="593">
        <f t="shared" si="153"/>
        <v>127.90000000000002</v>
      </c>
      <c r="O375" s="593">
        <f t="shared" si="154"/>
        <v>126.56666666666666</v>
      </c>
      <c r="P375" s="592"/>
      <c r="Q375" s="593">
        <f t="shared" ref="Q375:S379" si="164">M375-M374</f>
        <v>-0.16666666666668561</v>
      </c>
      <c r="R375" s="593">
        <f t="shared" si="164"/>
        <v>-3.3333333333317228E-2</v>
      </c>
      <c r="S375" s="593">
        <f t="shared" si="164"/>
        <v>-0.1666666666666714</v>
      </c>
      <c r="T375" s="593"/>
      <c r="U375" s="593">
        <f t="shared" si="155"/>
        <v>134.80000000000001</v>
      </c>
      <c r="V375" s="593">
        <f t="shared" si="156"/>
        <v>131.22857142857143</v>
      </c>
      <c r="W375" s="593">
        <f t="shared" si="157"/>
        <v>125.18571428571428</v>
      </c>
      <c r="X375" s="593"/>
      <c r="Y375" s="593">
        <f t="shared" ref="Y375:AA379" si="165">U375-U374</f>
        <v>1.2714285714286007</v>
      </c>
      <c r="Z375" s="593">
        <f t="shared" si="165"/>
        <v>-1.4857142857142946</v>
      </c>
      <c r="AA375" s="594">
        <f t="shared" si="165"/>
        <v>0.62857142857141923</v>
      </c>
    </row>
    <row r="376" spans="1:28" ht="17.25" customHeight="1">
      <c r="A376" s="478">
        <v>6</v>
      </c>
      <c r="B376" s="759">
        <v>24</v>
      </c>
      <c r="C376" s="955">
        <v>1</v>
      </c>
      <c r="D376" s="1199">
        <v>125.9</v>
      </c>
      <c r="E376" s="1199">
        <v>124.3</v>
      </c>
      <c r="F376" s="1199">
        <v>118.6</v>
      </c>
      <c r="G376" s="596"/>
      <c r="H376" s="581">
        <v>100</v>
      </c>
      <c r="I376" s="582">
        <f t="shared" si="127"/>
        <v>-11.400000000000006</v>
      </c>
      <c r="J376" s="582">
        <f t="shared" si="128"/>
        <v>-4.6000000000000085</v>
      </c>
      <c r="K376" s="582">
        <f t="shared" si="129"/>
        <v>-7.6000000000000085</v>
      </c>
      <c r="L376" s="584"/>
      <c r="M376" s="584">
        <f t="shared" si="152"/>
        <v>133.4</v>
      </c>
      <c r="N376" s="584">
        <f t="shared" si="153"/>
        <v>126.39999999999999</v>
      </c>
      <c r="O376" s="584">
        <f t="shared" si="154"/>
        <v>122.93333333333332</v>
      </c>
      <c r="P376" s="582"/>
      <c r="Q376" s="584">
        <f t="shared" si="164"/>
        <v>-2.6666666666666572</v>
      </c>
      <c r="R376" s="584">
        <f t="shared" si="164"/>
        <v>-1.5000000000000284</v>
      </c>
      <c r="S376" s="584">
        <f t="shared" si="164"/>
        <v>-3.63333333333334</v>
      </c>
      <c r="T376" s="584"/>
      <c r="U376" s="584">
        <f t="shared" si="155"/>
        <v>133.05714285714285</v>
      </c>
      <c r="V376" s="584">
        <f t="shared" si="156"/>
        <v>128.9</v>
      </c>
      <c r="W376" s="584">
        <f t="shared" si="157"/>
        <v>125.01428571428572</v>
      </c>
      <c r="X376" s="584"/>
      <c r="Y376" s="584">
        <f t="shared" si="165"/>
        <v>-1.7428571428571615</v>
      </c>
      <c r="Z376" s="584">
        <f t="shared" si="165"/>
        <v>-2.3285714285714221</v>
      </c>
      <c r="AA376" s="585">
        <f t="shared" si="165"/>
        <v>-0.17142857142856371</v>
      </c>
      <c r="AB376" s="214" t="s">
        <v>701</v>
      </c>
    </row>
    <row r="377" spans="1:28" ht="16.5" customHeight="1">
      <c r="A377" s="777"/>
      <c r="B377" s="777"/>
      <c r="C377" s="778">
        <v>2</v>
      </c>
      <c r="D377" s="1193">
        <v>124</v>
      </c>
      <c r="E377" s="1193">
        <v>128.6</v>
      </c>
      <c r="F377" s="1193">
        <v>125.6</v>
      </c>
      <c r="G377" s="587"/>
      <c r="H377" s="587">
        <v>100</v>
      </c>
      <c r="I377" s="583">
        <f t="shared" si="127"/>
        <v>-1.9000000000000057</v>
      </c>
      <c r="J377" s="583">
        <f t="shared" si="128"/>
        <v>4.2999999999999972</v>
      </c>
      <c r="K377" s="583">
        <f t="shared" si="129"/>
        <v>7</v>
      </c>
      <c r="L377" s="588"/>
      <c r="M377" s="588">
        <f t="shared" si="152"/>
        <v>129.06666666666669</v>
      </c>
      <c r="N377" s="588">
        <f t="shared" si="153"/>
        <v>127.26666666666665</v>
      </c>
      <c r="O377" s="588">
        <f t="shared" si="154"/>
        <v>123.46666666666665</v>
      </c>
      <c r="P377" s="583"/>
      <c r="Q377" s="588">
        <f t="shared" si="164"/>
        <v>-4.3333333333333144</v>
      </c>
      <c r="R377" s="588">
        <f t="shared" si="164"/>
        <v>0.86666666666666003</v>
      </c>
      <c r="S377" s="588">
        <f t="shared" si="164"/>
        <v>0.53333333333333144</v>
      </c>
      <c r="T377" s="588"/>
      <c r="U377" s="588">
        <f t="shared" si="155"/>
        <v>132.35714285714283</v>
      </c>
      <c r="V377" s="588">
        <f t="shared" si="156"/>
        <v>127.92857142857143</v>
      </c>
      <c r="W377" s="588">
        <f t="shared" si="157"/>
        <v>125.31428571428572</v>
      </c>
      <c r="X377" s="588"/>
      <c r="Y377" s="588">
        <f t="shared" si="165"/>
        <v>-0.70000000000001705</v>
      </c>
      <c r="Z377" s="588">
        <f t="shared" si="165"/>
        <v>-0.97142857142857508</v>
      </c>
      <c r="AA377" s="589">
        <f t="shared" si="165"/>
        <v>0.29999999999999716</v>
      </c>
    </row>
    <row r="378" spans="1:28" ht="16.5" customHeight="1">
      <c r="A378" s="777"/>
      <c r="B378" s="777"/>
      <c r="C378" s="778">
        <v>3</v>
      </c>
      <c r="D378" s="1193">
        <v>130.19999999999999</v>
      </c>
      <c r="E378" s="1193">
        <v>131.4</v>
      </c>
      <c r="F378" s="1193">
        <v>123.8</v>
      </c>
      <c r="G378" s="587"/>
      <c r="H378" s="587">
        <v>100</v>
      </c>
      <c r="I378" s="583">
        <f t="shared" si="127"/>
        <v>6.1999999999999886</v>
      </c>
      <c r="J378" s="583">
        <f t="shared" si="128"/>
        <v>2.8000000000000114</v>
      </c>
      <c r="K378" s="583">
        <f t="shared" si="129"/>
        <v>-1.7999999999999972</v>
      </c>
      <c r="L378" s="588"/>
      <c r="M378" s="588">
        <f t="shared" si="152"/>
        <v>126.7</v>
      </c>
      <c r="N378" s="588">
        <f t="shared" si="153"/>
        <v>128.1</v>
      </c>
      <c r="O378" s="588">
        <f t="shared" si="154"/>
        <v>122.66666666666667</v>
      </c>
      <c r="P378" s="583"/>
      <c r="Q378" s="588">
        <f t="shared" si="164"/>
        <v>-2.3666666666666885</v>
      </c>
      <c r="R378" s="588">
        <f t="shared" si="164"/>
        <v>0.83333333333334281</v>
      </c>
      <c r="S378" s="588">
        <f t="shared" si="164"/>
        <v>-0.79999999999998295</v>
      </c>
      <c r="T378" s="588"/>
      <c r="U378" s="588">
        <f t="shared" si="155"/>
        <v>132.29999999999998</v>
      </c>
      <c r="V378" s="588">
        <f t="shared" si="156"/>
        <v>128.14285714285714</v>
      </c>
      <c r="W378" s="588">
        <f t="shared" si="157"/>
        <v>124.91428571428571</v>
      </c>
      <c r="X378" s="588"/>
      <c r="Y378" s="588">
        <f t="shared" si="165"/>
        <v>-5.7142857142849834E-2</v>
      </c>
      <c r="Z378" s="588">
        <f t="shared" si="165"/>
        <v>0.2142857142857082</v>
      </c>
      <c r="AA378" s="589">
        <f t="shared" si="165"/>
        <v>-0.40000000000000568</v>
      </c>
    </row>
    <row r="379" spans="1:28" ht="16.5" customHeight="1">
      <c r="A379" s="777"/>
      <c r="B379" s="777"/>
      <c r="C379" s="778">
        <v>4</v>
      </c>
      <c r="D379" s="1193">
        <v>136.19999999999999</v>
      </c>
      <c r="E379" s="1193">
        <v>134.9</v>
      </c>
      <c r="F379" s="1193">
        <v>121.9</v>
      </c>
      <c r="G379" s="587"/>
      <c r="H379" s="587">
        <v>100</v>
      </c>
      <c r="I379" s="583">
        <f t="shared" si="127"/>
        <v>6</v>
      </c>
      <c r="J379" s="583">
        <f t="shared" si="128"/>
        <v>3.5</v>
      </c>
      <c r="K379" s="583">
        <f t="shared" si="129"/>
        <v>-1.8999999999999915</v>
      </c>
      <c r="L379" s="588"/>
      <c r="M379" s="588">
        <f t="shared" si="152"/>
        <v>130.13333333333333</v>
      </c>
      <c r="N379" s="588">
        <f t="shared" si="153"/>
        <v>131.63333333333333</v>
      </c>
      <c r="O379" s="588">
        <f t="shared" si="154"/>
        <v>123.76666666666665</v>
      </c>
      <c r="P379" s="583"/>
      <c r="Q379" s="588">
        <f t="shared" si="164"/>
        <v>3.4333333333333229</v>
      </c>
      <c r="R379" s="588">
        <f t="shared" si="164"/>
        <v>3.5333333333333314</v>
      </c>
      <c r="S379" s="588">
        <f t="shared" si="164"/>
        <v>1.0999999999999801</v>
      </c>
      <c r="T379" s="588"/>
      <c r="U379" s="588">
        <f t="shared" si="155"/>
        <v>132.07142857142858</v>
      </c>
      <c r="V379" s="588">
        <f t="shared" si="156"/>
        <v>128.98571428571429</v>
      </c>
      <c r="W379" s="588">
        <f t="shared" si="157"/>
        <v>124.22857142857141</v>
      </c>
      <c r="X379" s="588"/>
      <c r="Y379" s="588">
        <f t="shared" si="165"/>
        <v>-0.22857142857139934</v>
      </c>
      <c r="Z379" s="588">
        <f t="shared" si="165"/>
        <v>0.84285714285715585</v>
      </c>
      <c r="AA379" s="589">
        <f t="shared" si="165"/>
        <v>-0.68571428571429749</v>
      </c>
    </row>
    <row r="380" spans="1:28" ht="16.5" customHeight="1">
      <c r="A380" s="777"/>
      <c r="B380" s="777"/>
      <c r="C380" s="778">
        <v>5</v>
      </c>
      <c r="D380" s="1193">
        <v>135.4</v>
      </c>
      <c r="E380" s="1193">
        <v>136</v>
      </c>
      <c r="F380" s="1193">
        <v>123.2</v>
      </c>
      <c r="G380" s="587"/>
      <c r="H380" s="587">
        <v>100</v>
      </c>
      <c r="I380" s="583">
        <f t="shared" si="127"/>
        <v>-0.79999999999998295</v>
      </c>
      <c r="J380" s="583">
        <f t="shared" si="128"/>
        <v>1.0999999999999943</v>
      </c>
      <c r="K380" s="583">
        <f t="shared" si="129"/>
        <v>1.2999999999999972</v>
      </c>
      <c r="L380" s="588"/>
      <c r="M380" s="588">
        <f t="shared" si="152"/>
        <v>133.93333333333331</v>
      </c>
      <c r="N380" s="588">
        <f t="shared" si="153"/>
        <v>134.1</v>
      </c>
      <c r="O380" s="588">
        <f t="shared" si="154"/>
        <v>122.96666666666665</v>
      </c>
      <c r="P380" s="583"/>
      <c r="Q380" s="588">
        <f t="shared" ref="Q380:S381" si="166">M380-M379</f>
        <v>3.7999999999999829</v>
      </c>
      <c r="R380" s="588">
        <f t="shared" si="166"/>
        <v>2.4666666666666686</v>
      </c>
      <c r="S380" s="588">
        <f t="shared" si="166"/>
        <v>-0.79999999999999716</v>
      </c>
      <c r="T380" s="588"/>
      <c r="U380" s="588">
        <f t="shared" si="155"/>
        <v>132.28571428571431</v>
      </c>
      <c r="V380" s="588">
        <f t="shared" si="156"/>
        <v>130.01428571428571</v>
      </c>
      <c r="W380" s="588">
        <f t="shared" si="157"/>
        <v>123.32857142857142</v>
      </c>
      <c r="X380" s="588"/>
      <c r="Y380" s="588">
        <f t="shared" ref="Y380:AA381" si="167">U380-U379</f>
        <v>0.21428571428572241</v>
      </c>
      <c r="Z380" s="588">
        <f t="shared" si="167"/>
        <v>1.0285714285714107</v>
      </c>
      <c r="AA380" s="589">
        <f t="shared" si="167"/>
        <v>-0.89999999999999147</v>
      </c>
    </row>
    <row r="381" spans="1:28" s="365" customFormat="1" ht="17.25" customHeight="1">
      <c r="A381" s="1106"/>
      <c r="B381" s="777"/>
      <c r="C381" s="778">
        <v>6</v>
      </c>
      <c r="D381" s="1193">
        <v>134.5</v>
      </c>
      <c r="E381" s="1193">
        <v>134.9</v>
      </c>
      <c r="F381" s="1193">
        <v>127.1</v>
      </c>
      <c r="G381" s="587"/>
      <c r="H381" s="587">
        <v>100</v>
      </c>
      <c r="I381" s="583">
        <f t="shared" si="127"/>
        <v>-0.90000000000000568</v>
      </c>
      <c r="J381" s="583">
        <f t="shared" si="128"/>
        <v>-1.0999999999999943</v>
      </c>
      <c r="K381" s="583">
        <f t="shared" si="129"/>
        <v>3.8999999999999915</v>
      </c>
      <c r="L381" s="1222"/>
      <c r="M381" s="588">
        <f t="shared" si="152"/>
        <v>135.36666666666667</v>
      </c>
      <c r="N381" s="588">
        <f t="shared" si="153"/>
        <v>135.26666666666665</v>
      </c>
      <c r="O381" s="588">
        <f t="shared" si="154"/>
        <v>124.06666666666668</v>
      </c>
      <c r="P381" s="1109"/>
      <c r="Q381" s="588">
        <f t="shared" si="166"/>
        <v>1.4333333333333655</v>
      </c>
      <c r="R381" s="588">
        <f t="shared" si="166"/>
        <v>1.1666666666666572</v>
      </c>
      <c r="S381" s="588">
        <f t="shared" si="166"/>
        <v>1.1000000000000227</v>
      </c>
      <c r="T381" s="588"/>
      <c r="U381" s="588">
        <f t="shared" si="155"/>
        <v>131.92857142857144</v>
      </c>
      <c r="V381" s="588">
        <f t="shared" si="156"/>
        <v>131.28571428571428</v>
      </c>
      <c r="W381" s="588">
        <f t="shared" si="157"/>
        <v>123.77142857142859</v>
      </c>
      <c r="X381" s="588"/>
      <c r="Y381" s="588">
        <f t="shared" si="167"/>
        <v>-0.3571428571428612</v>
      </c>
      <c r="Z381" s="588">
        <f t="shared" si="167"/>
        <v>1.2714285714285722</v>
      </c>
      <c r="AA381" s="589">
        <f t="shared" si="167"/>
        <v>0.44285714285716438</v>
      </c>
    </row>
    <row r="382" spans="1:28" s="365" customFormat="1" ht="17.25" customHeight="1">
      <c r="A382" s="1106"/>
      <c r="B382" s="777"/>
      <c r="C382" s="778">
        <v>7</v>
      </c>
      <c r="D382" s="1193">
        <v>137.19999999999999</v>
      </c>
      <c r="E382" s="1193">
        <v>130.4</v>
      </c>
      <c r="F382" s="1193">
        <v>118.4</v>
      </c>
      <c r="G382" s="587"/>
      <c r="H382" s="587">
        <v>100</v>
      </c>
      <c r="I382" s="583">
        <f t="shared" si="127"/>
        <v>2.6999999999999886</v>
      </c>
      <c r="J382" s="583">
        <f t="shared" si="128"/>
        <v>-4.5</v>
      </c>
      <c r="K382" s="583">
        <f t="shared" si="129"/>
        <v>-8.6999999999999886</v>
      </c>
      <c r="L382" s="1222"/>
      <c r="M382" s="588">
        <f t="shared" si="152"/>
        <v>135.69999999999999</v>
      </c>
      <c r="N382" s="588">
        <f t="shared" si="153"/>
        <v>133.76666666666665</v>
      </c>
      <c r="O382" s="588">
        <f t="shared" si="154"/>
        <v>122.90000000000002</v>
      </c>
      <c r="P382" s="1109"/>
      <c r="Q382" s="588">
        <f t="shared" ref="Q382:S383" si="168">M382-M381</f>
        <v>0.33333333333331439</v>
      </c>
      <c r="R382" s="588">
        <f t="shared" si="168"/>
        <v>-1.5</v>
      </c>
      <c r="S382" s="588">
        <f t="shared" si="168"/>
        <v>-1.1666666666666572</v>
      </c>
      <c r="T382" s="588"/>
      <c r="U382" s="588">
        <f t="shared" si="155"/>
        <v>131.91428571428568</v>
      </c>
      <c r="V382" s="588">
        <f t="shared" si="156"/>
        <v>131.49999999999997</v>
      </c>
      <c r="W382" s="588">
        <f t="shared" si="157"/>
        <v>122.65714285714286</v>
      </c>
      <c r="X382" s="588"/>
      <c r="Y382" s="588">
        <f t="shared" ref="Y382:AA383" si="169">U382-U381</f>
        <v>-1.4285714285762197E-2</v>
      </c>
      <c r="Z382" s="588">
        <f t="shared" si="169"/>
        <v>0.21428571428569398</v>
      </c>
      <c r="AA382" s="589">
        <f t="shared" si="169"/>
        <v>-1.1142857142857281</v>
      </c>
    </row>
    <row r="383" spans="1:28" ht="17.25" customHeight="1">
      <c r="A383" s="777"/>
      <c r="B383" s="1106"/>
      <c r="C383" s="778">
        <v>8</v>
      </c>
      <c r="D383" s="1193">
        <v>137.6</v>
      </c>
      <c r="E383" s="1193">
        <v>132.9</v>
      </c>
      <c r="F383" s="1193">
        <v>124.6</v>
      </c>
      <c r="G383" s="1097"/>
      <c r="H383" s="587">
        <v>100</v>
      </c>
      <c r="I383" s="583">
        <f t="shared" si="127"/>
        <v>0.40000000000000568</v>
      </c>
      <c r="J383" s="583">
        <f t="shared" si="128"/>
        <v>2.5</v>
      </c>
      <c r="K383" s="583">
        <f t="shared" si="129"/>
        <v>6.1999999999999886</v>
      </c>
      <c r="L383" s="588"/>
      <c r="M383" s="588">
        <f t="shared" si="152"/>
        <v>136.43333333333331</v>
      </c>
      <c r="N383" s="588">
        <f t="shared" si="153"/>
        <v>132.73333333333335</v>
      </c>
      <c r="O383" s="588">
        <f t="shared" si="154"/>
        <v>123.36666666666667</v>
      </c>
      <c r="P383" s="583"/>
      <c r="Q383" s="588">
        <f t="shared" si="168"/>
        <v>0.73333333333332007</v>
      </c>
      <c r="R383" s="588">
        <f t="shared" si="168"/>
        <v>-1.033333333333303</v>
      </c>
      <c r="S383" s="588">
        <f t="shared" si="168"/>
        <v>0.46666666666665435</v>
      </c>
      <c r="T383" s="588"/>
      <c r="U383" s="588">
        <f t="shared" si="155"/>
        <v>133.58571428571429</v>
      </c>
      <c r="V383" s="588">
        <f t="shared" si="156"/>
        <v>132.72857142857143</v>
      </c>
      <c r="W383" s="588">
        <f t="shared" si="157"/>
        <v>123.51428571428571</v>
      </c>
      <c r="X383" s="588"/>
      <c r="Y383" s="588">
        <f t="shared" si="169"/>
        <v>1.6714285714286063</v>
      </c>
      <c r="Z383" s="588">
        <f t="shared" si="169"/>
        <v>1.2285714285714562</v>
      </c>
      <c r="AA383" s="589">
        <f t="shared" si="169"/>
        <v>0.85714285714284699</v>
      </c>
    </row>
    <row r="384" spans="1:28" ht="17.25" customHeight="1">
      <c r="A384" s="777"/>
      <c r="B384" s="1106"/>
      <c r="C384" s="778">
        <v>9</v>
      </c>
      <c r="D384" s="1193">
        <v>140.5</v>
      </c>
      <c r="E384" s="1193">
        <v>138.4</v>
      </c>
      <c r="F384" s="1193">
        <v>123</v>
      </c>
      <c r="G384" s="1097"/>
      <c r="H384" s="587">
        <v>100</v>
      </c>
      <c r="I384" s="583">
        <f t="shared" si="127"/>
        <v>2.9000000000000057</v>
      </c>
      <c r="J384" s="583">
        <f t="shared" si="128"/>
        <v>5.5</v>
      </c>
      <c r="K384" s="583">
        <f t="shared" si="129"/>
        <v>-1.5999999999999943</v>
      </c>
      <c r="L384" s="588"/>
      <c r="M384" s="588">
        <f t="shared" si="152"/>
        <v>138.43333333333331</v>
      </c>
      <c r="N384" s="588">
        <f t="shared" si="153"/>
        <v>133.9</v>
      </c>
      <c r="O384" s="588">
        <f t="shared" si="154"/>
        <v>122</v>
      </c>
      <c r="P384" s="583"/>
      <c r="Q384" s="588">
        <f t="shared" ref="Q384:S385" si="170">M384-M383</f>
        <v>2</v>
      </c>
      <c r="R384" s="588">
        <f t="shared" si="170"/>
        <v>1.1666666666666572</v>
      </c>
      <c r="S384" s="588">
        <f t="shared" si="170"/>
        <v>-1.3666666666666742</v>
      </c>
      <c r="T384" s="588"/>
      <c r="U384" s="588">
        <f t="shared" si="155"/>
        <v>135.94285714285715</v>
      </c>
      <c r="V384" s="588">
        <f t="shared" si="156"/>
        <v>134.12857142857143</v>
      </c>
      <c r="W384" s="588">
        <f t="shared" si="157"/>
        <v>123.14285714285714</v>
      </c>
      <c r="X384" s="588"/>
      <c r="Y384" s="588">
        <f t="shared" ref="Y384:AA386" si="171">U384-U383</f>
        <v>2.3571428571428612</v>
      </c>
      <c r="Z384" s="588">
        <f t="shared" si="171"/>
        <v>1.4000000000000057</v>
      </c>
      <c r="AA384" s="589">
        <f t="shared" si="171"/>
        <v>-0.37142857142856656</v>
      </c>
    </row>
    <row r="385" spans="1:27" ht="17.25" customHeight="1">
      <c r="A385" s="777"/>
      <c r="B385" s="1106"/>
      <c r="C385" s="778">
        <v>10</v>
      </c>
      <c r="D385" s="1193">
        <v>141</v>
      </c>
      <c r="E385" s="1193">
        <v>148</v>
      </c>
      <c r="F385" s="1193">
        <v>123.4</v>
      </c>
      <c r="G385" s="1097"/>
      <c r="H385" s="587">
        <v>100</v>
      </c>
      <c r="I385" s="583">
        <f t="shared" ref="I385:K386" si="172">D385-D384</f>
        <v>0.5</v>
      </c>
      <c r="J385" s="583">
        <f t="shared" si="172"/>
        <v>9.5999999999999943</v>
      </c>
      <c r="K385" s="583">
        <f t="shared" si="172"/>
        <v>0.40000000000000568</v>
      </c>
      <c r="L385" s="588"/>
      <c r="M385" s="588">
        <f t="shared" ref="M385:O386" si="173">AVERAGE(D383:D385)</f>
        <v>139.70000000000002</v>
      </c>
      <c r="N385" s="588">
        <f t="shared" si="173"/>
        <v>139.76666666666668</v>
      </c>
      <c r="O385" s="588">
        <f t="shared" si="173"/>
        <v>123.66666666666667</v>
      </c>
      <c r="P385" s="583"/>
      <c r="Q385" s="588">
        <f t="shared" si="170"/>
        <v>1.2666666666667084</v>
      </c>
      <c r="R385" s="588">
        <f t="shared" si="170"/>
        <v>5.8666666666666742</v>
      </c>
      <c r="S385" s="588">
        <f t="shared" si="170"/>
        <v>1.6666666666666714</v>
      </c>
      <c r="T385" s="588"/>
      <c r="U385" s="588">
        <f t="shared" ref="U385:W386" si="174">AVERAGE(D379:D385)</f>
        <v>137.48571428571429</v>
      </c>
      <c r="V385" s="588">
        <f t="shared" si="174"/>
        <v>136.49999999999997</v>
      </c>
      <c r="W385" s="588">
        <f t="shared" si="174"/>
        <v>123.08571428571429</v>
      </c>
      <c r="X385" s="588"/>
      <c r="Y385" s="588">
        <f t="shared" si="171"/>
        <v>1.5428571428571445</v>
      </c>
      <c r="Z385" s="588">
        <f t="shared" si="171"/>
        <v>2.3714285714285381</v>
      </c>
      <c r="AA385" s="589">
        <f t="shared" si="171"/>
        <v>-5.7142857142849834E-2</v>
      </c>
    </row>
    <row r="386" spans="1:27" ht="17.25" customHeight="1">
      <c r="A386" s="777"/>
      <c r="B386" s="1106"/>
      <c r="C386" s="778">
        <v>11</v>
      </c>
      <c r="D386" s="1193">
        <v>140.4</v>
      </c>
      <c r="E386" s="1193">
        <v>141.5</v>
      </c>
      <c r="F386" s="1193">
        <v>129.1</v>
      </c>
      <c r="G386" s="1097"/>
      <c r="H386" s="587">
        <v>100</v>
      </c>
      <c r="I386" s="583">
        <f t="shared" si="172"/>
        <v>-0.59999999999999432</v>
      </c>
      <c r="J386" s="583">
        <f t="shared" si="172"/>
        <v>-6.5</v>
      </c>
      <c r="K386" s="583">
        <f t="shared" si="172"/>
        <v>5.6999999999999886</v>
      </c>
      <c r="L386" s="588"/>
      <c r="M386" s="588">
        <f t="shared" si="173"/>
        <v>140.63333333333333</v>
      </c>
      <c r="N386" s="588">
        <f t="shared" si="173"/>
        <v>142.63333333333333</v>
      </c>
      <c r="O386" s="588">
        <f t="shared" si="173"/>
        <v>125.16666666666667</v>
      </c>
      <c r="P386" s="583"/>
      <c r="Q386" s="588">
        <f t="shared" ref="Q386:S388" si="175">M386-M385</f>
        <v>0.9333333333333087</v>
      </c>
      <c r="R386" s="588">
        <f t="shared" si="175"/>
        <v>2.8666666666666458</v>
      </c>
      <c r="S386" s="588">
        <f t="shared" si="175"/>
        <v>1.5</v>
      </c>
      <c r="T386" s="588"/>
      <c r="U386" s="588">
        <f t="shared" si="174"/>
        <v>138.08571428571426</v>
      </c>
      <c r="V386" s="588">
        <f t="shared" si="174"/>
        <v>137.44285714285712</v>
      </c>
      <c r="W386" s="588">
        <f t="shared" si="174"/>
        <v>124.11428571428573</v>
      </c>
      <c r="X386" s="588"/>
      <c r="Y386" s="588">
        <f t="shared" ref="Y386:Z388" si="176">U386-U385</f>
        <v>0.59999999999996589</v>
      </c>
      <c r="Z386" s="588">
        <f t="shared" si="176"/>
        <v>0.94285714285715017</v>
      </c>
      <c r="AA386" s="589">
        <f t="shared" si="171"/>
        <v>1.0285714285714391</v>
      </c>
    </row>
    <row r="387" spans="1:27" ht="17.25" customHeight="1">
      <c r="A387" s="868"/>
      <c r="B387" s="868"/>
      <c r="C387" s="778">
        <v>12</v>
      </c>
      <c r="D387" s="591">
        <v>141.5</v>
      </c>
      <c r="E387" s="591">
        <v>140.4</v>
      </c>
      <c r="F387" s="591">
        <v>127.3</v>
      </c>
      <c r="G387" s="591"/>
      <c r="H387" s="591">
        <v>100</v>
      </c>
      <c r="I387" s="592">
        <f t="shared" ref="I387:K388" si="177">D387-D386</f>
        <v>1.0999999999999943</v>
      </c>
      <c r="J387" s="592">
        <f t="shared" si="177"/>
        <v>-1.0999999999999943</v>
      </c>
      <c r="K387" s="592">
        <f t="shared" si="177"/>
        <v>-1.7999999999999972</v>
      </c>
      <c r="L387" s="592"/>
      <c r="M387" s="593">
        <f t="shared" ref="M387:O389" si="178">AVERAGE(D385:D387)</f>
        <v>140.96666666666667</v>
      </c>
      <c r="N387" s="593">
        <f t="shared" si="178"/>
        <v>143.29999999999998</v>
      </c>
      <c r="O387" s="593">
        <f t="shared" si="178"/>
        <v>126.60000000000001</v>
      </c>
      <c r="P387" s="592"/>
      <c r="Q387" s="593">
        <f t="shared" si="175"/>
        <v>0.33333333333334281</v>
      </c>
      <c r="R387" s="593">
        <f t="shared" si="175"/>
        <v>0.66666666666665719</v>
      </c>
      <c r="S387" s="593">
        <f t="shared" si="175"/>
        <v>1.4333333333333371</v>
      </c>
      <c r="T387" s="593"/>
      <c r="U387" s="593">
        <f t="shared" ref="U387:W388" si="179">AVERAGE(D381:D387)</f>
        <v>138.95714285714286</v>
      </c>
      <c r="V387" s="593">
        <f t="shared" si="179"/>
        <v>138.07142857142858</v>
      </c>
      <c r="W387" s="593">
        <f t="shared" si="179"/>
        <v>124.7</v>
      </c>
      <c r="X387" s="593"/>
      <c r="Y387" s="593">
        <f t="shared" si="176"/>
        <v>0.87142857142859498</v>
      </c>
      <c r="Z387" s="593">
        <f t="shared" si="176"/>
        <v>0.62857142857146187</v>
      </c>
      <c r="AA387" s="594">
        <f>W387-W386</f>
        <v>0.58571428571427475</v>
      </c>
    </row>
    <row r="388" spans="1:27" ht="17.25" customHeight="1">
      <c r="A388" s="478">
        <v>7</v>
      </c>
      <c r="B388" s="759">
        <v>25</v>
      </c>
      <c r="C388" s="955">
        <v>1</v>
      </c>
      <c r="D388" s="596">
        <v>146.80000000000001</v>
      </c>
      <c r="E388" s="596">
        <v>147.5</v>
      </c>
      <c r="F388" s="596">
        <v>128.69999999999999</v>
      </c>
      <c r="G388" s="596"/>
      <c r="H388" s="581">
        <v>100</v>
      </c>
      <c r="I388" s="582">
        <f t="shared" si="177"/>
        <v>5.3000000000000114</v>
      </c>
      <c r="J388" s="582">
        <f t="shared" si="177"/>
        <v>7.0999999999999943</v>
      </c>
      <c r="K388" s="582">
        <f t="shared" si="177"/>
        <v>1.3999999999999915</v>
      </c>
      <c r="L388" s="582"/>
      <c r="M388" s="584">
        <f t="shared" si="178"/>
        <v>142.9</v>
      </c>
      <c r="N388" s="584">
        <f t="shared" si="178"/>
        <v>143.13333333333333</v>
      </c>
      <c r="O388" s="584">
        <f t="shared" si="178"/>
        <v>128.36666666666665</v>
      </c>
      <c r="P388" s="582"/>
      <c r="Q388" s="584">
        <f t="shared" si="175"/>
        <v>1.9333333333333371</v>
      </c>
      <c r="R388" s="584">
        <f t="shared" si="175"/>
        <v>-0.16666666666665719</v>
      </c>
      <c r="S388" s="584">
        <f t="shared" si="175"/>
        <v>1.7666666666666373</v>
      </c>
      <c r="T388" s="584"/>
      <c r="U388" s="584">
        <f t="shared" si="179"/>
        <v>140.71428571428572</v>
      </c>
      <c r="V388" s="584">
        <f t="shared" si="179"/>
        <v>139.87142857142857</v>
      </c>
      <c r="W388" s="584">
        <f t="shared" si="179"/>
        <v>124.92857142857143</v>
      </c>
      <c r="X388" s="584"/>
      <c r="Y388" s="584">
        <f t="shared" si="176"/>
        <v>1.7571428571428669</v>
      </c>
      <c r="Z388" s="584">
        <f t="shared" si="176"/>
        <v>1.7999999999999829</v>
      </c>
      <c r="AA388" s="585">
        <f>W388-W387</f>
        <v>0.22857142857142776</v>
      </c>
    </row>
    <row r="389" spans="1:27" ht="17.25" customHeight="1">
      <c r="A389" s="875"/>
      <c r="B389" s="875"/>
      <c r="C389" s="778">
        <v>2</v>
      </c>
      <c r="D389" s="601">
        <v>148.19999999999999</v>
      </c>
      <c r="E389" s="601">
        <v>149.1</v>
      </c>
      <c r="F389" s="601">
        <v>128.1</v>
      </c>
      <c r="G389" s="601"/>
      <c r="H389" s="601">
        <v>100</v>
      </c>
      <c r="I389" s="602">
        <f t="shared" ref="I389:K392" si="180">D389-D388</f>
        <v>1.3999999999999773</v>
      </c>
      <c r="J389" s="602">
        <f t="shared" si="180"/>
        <v>1.5999999999999943</v>
      </c>
      <c r="K389" s="602">
        <f t="shared" si="180"/>
        <v>-0.59999999999999432</v>
      </c>
      <c r="L389" s="602"/>
      <c r="M389" s="588">
        <f t="shared" si="178"/>
        <v>145.5</v>
      </c>
      <c r="N389" s="588">
        <f t="shared" si="178"/>
        <v>145.66666666666666</v>
      </c>
      <c r="O389" s="588">
        <f t="shared" si="178"/>
        <v>128.03333333333333</v>
      </c>
      <c r="P389" s="602"/>
      <c r="Q389" s="603">
        <f t="shared" ref="Q389:Q396" si="181">M389-M388</f>
        <v>2.5999999999999943</v>
      </c>
      <c r="R389" s="603">
        <f t="shared" ref="R389:R396" si="182">N389-N388</f>
        <v>2.5333333333333314</v>
      </c>
      <c r="S389" s="603">
        <f t="shared" ref="S389:S396" si="183">O389-O388</f>
        <v>-0.33333333333331439</v>
      </c>
      <c r="T389" s="603"/>
      <c r="U389" s="603">
        <f t="shared" ref="U389:W390" si="184">AVERAGE(D383:D389)</f>
        <v>142.28571428571428</v>
      </c>
      <c r="V389" s="603">
        <f t="shared" si="184"/>
        <v>142.54285714285714</v>
      </c>
      <c r="W389" s="603">
        <f t="shared" si="184"/>
        <v>126.3142857142857</v>
      </c>
      <c r="X389" s="603"/>
      <c r="Y389" s="603">
        <f t="shared" ref="Y389:Y396" si="185">U389-U388</f>
        <v>1.5714285714285552</v>
      </c>
      <c r="Z389" s="603">
        <f t="shared" ref="Z389:Z396" si="186">V389-V388</f>
        <v>2.6714285714285779</v>
      </c>
      <c r="AA389" s="604">
        <f t="shared" ref="AA389:AA396" si="187">W389-W388</f>
        <v>1.3857142857142719</v>
      </c>
    </row>
    <row r="390" spans="1:27" s="365" customFormat="1" ht="17.25" customHeight="1">
      <c r="A390" s="1263"/>
      <c r="B390" s="1263"/>
      <c r="C390" s="1264">
        <v>3</v>
      </c>
      <c r="D390" s="1265">
        <v>146.1</v>
      </c>
      <c r="E390" s="1265">
        <v>152.4</v>
      </c>
      <c r="F390" s="1265">
        <v>127.8</v>
      </c>
      <c r="G390" s="1265"/>
      <c r="H390" s="1265">
        <v>100</v>
      </c>
      <c r="I390" s="1266">
        <f t="shared" si="180"/>
        <v>-2.0999999999999943</v>
      </c>
      <c r="J390" s="1266">
        <f t="shared" si="180"/>
        <v>3.3000000000000114</v>
      </c>
      <c r="K390" s="1266">
        <f t="shared" si="180"/>
        <v>-0.29999999999999716</v>
      </c>
      <c r="L390" s="1266"/>
      <c r="M390" s="1222">
        <f t="shared" ref="M390:O391" si="188">AVERAGE(D388:D390)</f>
        <v>147.03333333333333</v>
      </c>
      <c r="N390" s="1222">
        <f t="shared" si="188"/>
        <v>149.66666666666666</v>
      </c>
      <c r="O390" s="1222">
        <f t="shared" si="188"/>
        <v>128.19999999999999</v>
      </c>
      <c r="P390" s="1266"/>
      <c r="Q390" s="1267">
        <f t="shared" si="181"/>
        <v>1.5333333333333314</v>
      </c>
      <c r="R390" s="1267">
        <f t="shared" si="182"/>
        <v>4</v>
      </c>
      <c r="S390" s="1267">
        <f t="shared" si="183"/>
        <v>0.16666666666665719</v>
      </c>
      <c r="T390" s="1267"/>
      <c r="U390" s="603">
        <f t="shared" si="184"/>
        <v>143.50000000000003</v>
      </c>
      <c r="V390" s="603">
        <f t="shared" si="184"/>
        <v>145.32857142857142</v>
      </c>
      <c r="W390" s="603">
        <f t="shared" si="184"/>
        <v>126.77142857142857</v>
      </c>
      <c r="X390" s="1267"/>
      <c r="Y390" s="1267">
        <f t="shared" si="185"/>
        <v>1.2142857142857508</v>
      </c>
      <c r="Z390" s="1267">
        <f t="shared" si="186"/>
        <v>2.7857142857142776</v>
      </c>
      <c r="AA390" s="1268">
        <f t="shared" si="187"/>
        <v>0.45714285714286973</v>
      </c>
    </row>
    <row r="391" spans="1:27" ht="17.25" customHeight="1">
      <c r="A391" s="875"/>
      <c r="B391" s="875"/>
      <c r="C391" s="778">
        <v>4</v>
      </c>
      <c r="D391" s="601">
        <v>155.19999999999999</v>
      </c>
      <c r="E391" s="601">
        <v>139.5</v>
      </c>
      <c r="F391" s="601">
        <v>125.5</v>
      </c>
      <c r="G391" s="601"/>
      <c r="H391" s="601">
        <v>100</v>
      </c>
      <c r="I391" s="602">
        <f t="shared" si="180"/>
        <v>9.0999999999999943</v>
      </c>
      <c r="J391" s="602">
        <f t="shared" si="180"/>
        <v>-12.900000000000006</v>
      </c>
      <c r="K391" s="602">
        <f t="shared" si="180"/>
        <v>-2.2999999999999972</v>
      </c>
      <c r="L391" s="602"/>
      <c r="M391" s="1222">
        <f t="shared" si="188"/>
        <v>149.83333333333331</v>
      </c>
      <c r="N391" s="1222">
        <f t="shared" si="188"/>
        <v>147</v>
      </c>
      <c r="O391" s="1222">
        <f t="shared" si="188"/>
        <v>127.13333333333333</v>
      </c>
      <c r="P391" s="1266"/>
      <c r="Q391" s="1267">
        <f>M391-M390</f>
        <v>2.7999999999999829</v>
      </c>
      <c r="R391" s="1267">
        <f>N391-N390</f>
        <v>-2.6666666666666572</v>
      </c>
      <c r="S391" s="1267">
        <f>O391-O390</f>
        <v>-1.0666666666666629</v>
      </c>
      <c r="T391" s="1267"/>
      <c r="U391" s="603">
        <f t="shared" ref="U391:W392" si="189">AVERAGE(D385:D391)</f>
        <v>145.6</v>
      </c>
      <c r="V391" s="603">
        <f t="shared" si="189"/>
        <v>145.48571428571429</v>
      </c>
      <c r="W391" s="603">
        <f t="shared" si="189"/>
        <v>127.12857142857142</v>
      </c>
      <c r="X391" s="1267"/>
      <c r="Y391" s="1267">
        <f>U391-U390</f>
        <v>2.0999999999999659</v>
      </c>
      <c r="Z391" s="1267">
        <f>V391-V390</f>
        <v>0.15714285714287257</v>
      </c>
      <c r="AA391" s="1268">
        <f>W391-W390</f>
        <v>0.35714285714284699</v>
      </c>
    </row>
    <row r="392" spans="1:27" ht="17.25" customHeight="1">
      <c r="A392" s="875"/>
      <c r="B392" s="875"/>
      <c r="C392" s="1185">
        <v>5</v>
      </c>
      <c r="D392" s="601">
        <v>145.69999999999999</v>
      </c>
      <c r="E392" s="601">
        <v>139.80000000000001</v>
      </c>
      <c r="F392" s="601">
        <v>123.2</v>
      </c>
      <c r="G392" s="601"/>
      <c r="H392" s="601">
        <v>100</v>
      </c>
      <c r="I392" s="602">
        <f t="shared" si="180"/>
        <v>-9.5</v>
      </c>
      <c r="J392" s="602">
        <f t="shared" si="180"/>
        <v>0.30000000000001137</v>
      </c>
      <c r="K392" s="602">
        <f t="shared" si="180"/>
        <v>-2.2999999999999972</v>
      </c>
      <c r="L392" s="602"/>
      <c r="M392" s="1222">
        <f t="shared" ref="M392:O393" si="190">AVERAGE(D390:D392)</f>
        <v>148.99999999999997</v>
      </c>
      <c r="N392" s="1222">
        <f t="shared" si="190"/>
        <v>143.9</v>
      </c>
      <c r="O392" s="1222">
        <f t="shared" si="190"/>
        <v>125.5</v>
      </c>
      <c r="P392" s="602"/>
      <c r="Q392" s="603">
        <f t="shared" si="181"/>
        <v>-0.83333333333334281</v>
      </c>
      <c r="R392" s="603">
        <f t="shared" si="182"/>
        <v>-3.0999999999999943</v>
      </c>
      <c r="S392" s="603">
        <f t="shared" si="183"/>
        <v>-1.6333333333333258</v>
      </c>
      <c r="T392" s="603"/>
      <c r="U392" s="603">
        <f t="shared" si="189"/>
        <v>146.27142857142857</v>
      </c>
      <c r="V392" s="603">
        <f t="shared" si="189"/>
        <v>144.31428571428572</v>
      </c>
      <c r="W392" s="603">
        <f t="shared" si="189"/>
        <v>127.1</v>
      </c>
      <c r="X392" s="603"/>
      <c r="Y392" s="603">
        <f t="shared" si="185"/>
        <v>0.67142857142857792</v>
      </c>
      <c r="Z392" s="603">
        <f t="shared" si="186"/>
        <v>-1.1714285714285779</v>
      </c>
      <c r="AA392" s="604">
        <f t="shared" si="187"/>
        <v>-2.8571428571424917E-2</v>
      </c>
    </row>
    <row r="393" spans="1:27" ht="17.25" customHeight="1">
      <c r="A393" s="875"/>
      <c r="B393" s="875"/>
      <c r="C393" s="1185">
        <v>6</v>
      </c>
      <c r="D393" s="601">
        <v>152.80000000000001</v>
      </c>
      <c r="E393" s="601">
        <v>138.5</v>
      </c>
      <c r="F393" s="601">
        <v>122.5</v>
      </c>
      <c r="G393" s="601"/>
      <c r="H393" s="601">
        <v>100</v>
      </c>
      <c r="I393" s="602">
        <f t="shared" ref="I393:K396" si="191">D393-D392</f>
        <v>7.1000000000000227</v>
      </c>
      <c r="J393" s="602">
        <f t="shared" si="191"/>
        <v>-1.3000000000000114</v>
      </c>
      <c r="K393" s="602">
        <f t="shared" si="191"/>
        <v>-0.70000000000000284</v>
      </c>
      <c r="L393" s="602"/>
      <c r="M393" s="1222">
        <f t="shared" si="190"/>
        <v>151.23333333333332</v>
      </c>
      <c r="N393" s="1222">
        <f t="shared" si="190"/>
        <v>139.26666666666668</v>
      </c>
      <c r="O393" s="1222">
        <f t="shared" si="190"/>
        <v>123.73333333333333</v>
      </c>
      <c r="P393" s="602"/>
      <c r="Q393" s="603">
        <f t="shared" si="181"/>
        <v>2.2333333333333485</v>
      </c>
      <c r="R393" s="603">
        <f t="shared" si="182"/>
        <v>-4.6333333333333258</v>
      </c>
      <c r="S393" s="603">
        <f t="shared" si="183"/>
        <v>-1.7666666666666657</v>
      </c>
      <c r="T393" s="603"/>
      <c r="U393" s="603">
        <f t="shared" ref="U393:W394" si="192">AVERAGE(D387:D393)</f>
        <v>148.04285714285714</v>
      </c>
      <c r="V393" s="603">
        <f t="shared" si="192"/>
        <v>143.8857142857143</v>
      </c>
      <c r="W393" s="603">
        <f t="shared" si="192"/>
        <v>126.15714285714287</v>
      </c>
      <c r="X393" s="603"/>
      <c r="Y393" s="603">
        <f t="shared" si="185"/>
        <v>1.7714285714285722</v>
      </c>
      <c r="Z393" s="603">
        <f t="shared" si="186"/>
        <v>-0.42857142857141639</v>
      </c>
      <c r="AA393" s="604">
        <f t="shared" si="187"/>
        <v>-0.94285714285712174</v>
      </c>
    </row>
    <row r="394" spans="1:27" ht="17.25" customHeight="1">
      <c r="A394" s="875"/>
      <c r="B394" s="875"/>
      <c r="C394" s="1185">
        <v>7</v>
      </c>
      <c r="D394" s="601">
        <v>147.5</v>
      </c>
      <c r="E394" s="601">
        <v>133.9</v>
      </c>
      <c r="F394" s="601">
        <v>124.3</v>
      </c>
      <c r="G394" s="601"/>
      <c r="H394" s="601">
        <v>100</v>
      </c>
      <c r="I394" s="602">
        <f t="shared" si="191"/>
        <v>-5.3000000000000114</v>
      </c>
      <c r="J394" s="602">
        <f t="shared" si="191"/>
        <v>-4.5999999999999943</v>
      </c>
      <c r="K394" s="602">
        <f t="shared" si="191"/>
        <v>1.7999999999999972</v>
      </c>
      <c r="L394" s="602"/>
      <c r="M394" s="1222">
        <f t="shared" ref="M394" si="193">AVERAGE(D392:D394)</f>
        <v>148.66666666666666</v>
      </c>
      <c r="N394" s="1222">
        <f t="shared" ref="N394" si="194">AVERAGE(E392:E394)</f>
        <v>137.4</v>
      </c>
      <c r="O394" s="1222">
        <f t="shared" ref="O394" si="195">AVERAGE(F392:F394)</f>
        <v>123.33333333333333</v>
      </c>
      <c r="P394" s="602"/>
      <c r="Q394" s="603">
        <f t="shared" si="181"/>
        <v>-2.5666666666666629</v>
      </c>
      <c r="R394" s="603">
        <f t="shared" si="182"/>
        <v>-1.8666666666666742</v>
      </c>
      <c r="S394" s="603">
        <f t="shared" si="183"/>
        <v>-0.40000000000000568</v>
      </c>
      <c r="T394" s="603"/>
      <c r="U394" s="603">
        <f t="shared" si="192"/>
        <v>148.9</v>
      </c>
      <c r="V394" s="603">
        <f t="shared" si="192"/>
        <v>142.95714285714286</v>
      </c>
      <c r="W394" s="603">
        <f t="shared" si="192"/>
        <v>125.72857142857141</v>
      </c>
      <c r="X394" s="603"/>
      <c r="Y394" s="603">
        <f t="shared" si="185"/>
        <v>0.8571428571428612</v>
      </c>
      <c r="Z394" s="603">
        <f t="shared" si="186"/>
        <v>-0.92857142857144481</v>
      </c>
      <c r="AA394" s="604">
        <f t="shared" si="187"/>
        <v>-0.42857142857145902</v>
      </c>
    </row>
    <row r="395" spans="1:27" ht="17.25" customHeight="1">
      <c r="A395" s="875"/>
      <c r="B395" s="875"/>
      <c r="C395" s="1185">
        <v>8</v>
      </c>
      <c r="D395" s="601">
        <v>145.1</v>
      </c>
      <c r="E395" s="601">
        <v>133</v>
      </c>
      <c r="F395" s="601">
        <v>118.1</v>
      </c>
      <c r="G395" s="601"/>
      <c r="H395" s="601">
        <v>100</v>
      </c>
      <c r="I395" s="602">
        <f t="shared" si="191"/>
        <v>-2.4000000000000057</v>
      </c>
      <c r="J395" s="602">
        <f t="shared" si="191"/>
        <v>-0.90000000000000568</v>
      </c>
      <c r="K395" s="602">
        <f t="shared" si="191"/>
        <v>-6.2000000000000028</v>
      </c>
      <c r="L395" s="602"/>
      <c r="M395" s="1222">
        <f t="shared" ref="M395:O396" si="196">AVERAGE(D393:D395)</f>
        <v>148.46666666666667</v>
      </c>
      <c r="N395" s="1222">
        <f t="shared" si="196"/>
        <v>135.13333333333333</v>
      </c>
      <c r="O395" s="1222">
        <f t="shared" si="196"/>
        <v>121.63333333333333</v>
      </c>
      <c r="P395" s="602"/>
      <c r="Q395" s="603">
        <f t="shared" si="181"/>
        <v>-0.19999999999998863</v>
      </c>
      <c r="R395" s="603">
        <f t="shared" si="182"/>
        <v>-2.2666666666666799</v>
      </c>
      <c r="S395" s="603">
        <f t="shared" si="183"/>
        <v>-1.7000000000000028</v>
      </c>
      <c r="T395" s="603"/>
      <c r="U395" s="603">
        <f t="shared" ref="U395:W396" si="197">AVERAGE(D389:D395)</f>
        <v>148.65714285714284</v>
      </c>
      <c r="V395" s="603">
        <f t="shared" si="197"/>
        <v>140.88571428571427</v>
      </c>
      <c r="W395" s="603">
        <f t="shared" si="197"/>
        <v>124.21428571428569</v>
      </c>
      <c r="X395" s="603"/>
      <c r="Y395" s="603">
        <f t="shared" si="185"/>
        <v>-0.24285714285716153</v>
      </c>
      <c r="Z395" s="603">
        <f t="shared" si="186"/>
        <v>-2.0714285714285836</v>
      </c>
      <c r="AA395" s="604">
        <f t="shared" si="187"/>
        <v>-1.5142857142857196</v>
      </c>
    </row>
    <row r="396" spans="1:27" ht="17.25" customHeight="1">
      <c r="A396" s="875"/>
      <c r="B396" s="875"/>
      <c r="C396" s="1185">
        <v>9</v>
      </c>
      <c r="D396" s="601">
        <v>150.30000000000001</v>
      </c>
      <c r="E396" s="601">
        <v>132.30000000000001</v>
      </c>
      <c r="F396" s="601">
        <v>119.7</v>
      </c>
      <c r="G396" s="601"/>
      <c r="H396" s="601">
        <v>100</v>
      </c>
      <c r="I396" s="602">
        <f t="shared" si="191"/>
        <v>5.2000000000000171</v>
      </c>
      <c r="J396" s="602">
        <f t="shared" si="191"/>
        <v>-0.69999999999998863</v>
      </c>
      <c r="K396" s="602">
        <f t="shared" si="191"/>
        <v>1.6000000000000085</v>
      </c>
      <c r="L396" s="602"/>
      <c r="M396" s="1222">
        <f t="shared" si="196"/>
        <v>147.63333333333335</v>
      </c>
      <c r="N396" s="1222">
        <f t="shared" si="196"/>
        <v>133.06666666666666</v>
      </c>
      <c r="O396" s="1222">
        <f t="shared" si="196"/>
        <v>120.69999999999999</v>
      </c>
      <c r="P396" s="602"/>
      <c r="Q396" s="603">
        <f t="shared" si="181"/>
        <v>-0.83333333333331439</v>
      </c>
      <c r="R396" s="603">
        <f t="shared" si="182"/>
        <v>-2.0666666666666629</v>
      </c>
      <c r="S396" s="603">
        <f t="shared" si="183"/>
        <v>-0.93333333333333712</v>
      </c>
      <c r="T396" s="603"/>
      <c r="U396" s="603">
        <f t="shared" si="197"/>
        <v>148.95714285714286</v>
      </c>
      <c r="V396" s="603">
        <f t="shared" si="197"/>
        <v>138.48571428571429</v>
      </c>
      <c r="W396" s="603">
        <f t="shared" si="197"/>
        <v>123.01428571428572</v>
      </c>
      <c r="X396" s="603"/>
      <c r="Y396" s="603">
        <f t="shared" si="185"/>
        <v>0.30000000000001137</v>
      </c>
      <c r="Z396" s="603">
        <f t="shared" si="186"/>
        <v>-2.3999999999999773</v>
      </c>
      <c r="AA396" s="604">
        <f t="shared" si="187"/>
        <v>-1.1999999999999744</v>
      </c>
    </row>
    <row r="397" spans="1:27" ht="17.25" customHeight="1">
      <c r="A397" s="875"/>
      <c r="B397" s="875"/>
      <c r="C397" s="1185">
        <v>10</v>
      </c>
      <c r="D397" s="601">
        <v>148.19999999999999</v>
      </c>
      <c r="E397" s="601">
        <v>133</v>
      </c>
      <c r="F397" s="601">
        <v>122</v>
      </c>
      <c r="G397" s="601"/>
      <c r="H397" s="601">
        <v>100</v>
      </c>
      <c r="I397" s="602">
        <f t="shared" ref="I397" si="198">D397-D396</f>
        <v>-2.1000000000000227</v>
      </c>
      <c r="J397" s="602">
        <f t="shared" ref="J397" si="199">E397-E396</f>
        <v>0.69999999999998863</v>
      </c>
      <c r="K397" s="602">
        <f t="shared" ref="K397" si="200">F397-F396</f>
        <v>2.2999999999999972</v>
      </c>
      <c r="L397" s="602"/>
      <c r="M397" s="602">
        <f t="shared" ref="M397:M402" si="201">AVERAGE(D395:D397)</f>
        <v>147.86666666666665</v>
      </c>
      <c r="N397" s="602">
        <f t="shared" ref="N397" si="202">AVERAGE(E395:E397)</f>
        <v>132.76666666666668</v>
      </c>
      <c r="O397" s="602">
        <f t="shared" ref="O397" si="203">AVERAGE(F395:F397)</f>
        <v>119.93333333333334</v>
      </c>
      <c r="P397" s="602"/>
      <c r="Q397" s="603">
        <f t="shared" ref="Q397" si="204">M397-M396</f>
        <v>0.23333333333329165</v>
      </c>
      <c r="R397" s="603">
        <f t="shared" ref="R397" si="205">N397-N396</f>
        <v>-0.29999999999998295</v>
      </c>
      <c r="S397" s="603">
        <f t="shared" ref="S397" si="206">O397-O396</f>
        <v>-0.76666666666665151</v>
      </c>
      <c r="T397" s="603"/>
      <c r="U397" s="603">
        <f t="shared" ref="U397" si="207">AVERAGE(D391:D397)</f>
        <v>149.2571428571429</v>
      </c>
      <c r="V397" s="603">
        <f t="shared" ref="V397" si="208">AVERAGE(E391:E397)</f>
        <v>135.71428571428572</v>
      </c>
      <c r="W397" s="603">
        <f t="shared" ref="W397" si="209">AVERAGE(F391:F397)</f>
        <v>122.1857142857143</v>
      </c>
      <c r="X397" s="603"/>
      <c r="Y397" s="603">
        <f t="shared" ref="Y397" si="210">U397-U396</f>
        <v>0.30000000000003979</v>
      </c>
      <c r="Z397" s="603">
        <f t="shared" ref="Z397" si="211">V397-V396</f>
        <v>-2.7714285714285722</v>
      </c>
      <c r="AA397" s="604">
        <f t="shared" ref="AA397" si="212">W397-W396</f>
        <v>-0.82857142857142208</v>
      </c>
    </row>
    <row r="398" spans="1:27" ht="17.25" customHeight="1">
      <c r="A398" s="875"/>
      <c r="B398" s="875"/>
      <c r="C398" s="1185">
        <v>11</v>
      </c>
      <c r="D398" s="601">
        <v>151.5</v>
      </c>
      <c r="E398" s="601">
        <v>138.4</v>
      </c>
      <c r="F398" s="601">
        <v>124.5</v>
      </c>
      <c r="G398" s="601"/>
      <c r="H398" s="601">
        <v>100</v>
      </c>
      <c r="I398" s="602">
        <f t="shared" ref="I398:J409" si="213">D398-D397</f>
        <v>3.3000000000000114</v>
      </c>
      <c r="J398" s="602">
        <f t="shared" si="213"/>
        <v>5.4000000000000057</v>
      </c>
      <c r="K398" s="602">
        <f t="shared" ref="K398" si="214">F398-F397</f>
        <v>2.5</v>
      </c>
      <c r="L398" s="602"/>
      <c r="M398" s="602">
        <f t="shared" si="201"/>
        <v>150</v>
      </c>
      <c r="N398" s="602">
        <f t="shared" ref="N398" si="215">AVERAGE(E396:E398)</f>
        <v>134.56666666666669</v>
      </c>
      <c r="O398" s="602">
        <f t="shared" ref="O398" si="216">AVERAGE(F396:F398)</f>
        <v>122.06666666666666</v>
      </c>
      <c r="P398" s="602"/>
      <c r="Q398" s="603">
        <f t="shared" ref="Q398" si="217">M398-M397</f>
        <v>2.1333333333333542</v>
      </c>
      <c r="R398" s="603">
        <f t="shared" ref="R398" si="218">N398-N397</f>
        <v>1.8000000000000114</v>
      </c>
      <c r="S398" s="603">
        <f t="shared" ref="S398" si="219">O398-O397</f>
        <v>2.1333333333333258</v>
      </c>
      <c r="T398" s="603"/>
      <c r="U398" s="603">
        <f t="shared" ref="U398" si="220">AVERAGE(D392:D398)</f>
        <v>148.72857142857146</v>
      </c>
      <c r="V398" s="603">
        <f t="shared" ref="V398" si="221">AVERAGE(E392:E398)</f>
        <v>135.55714285714285</v>
      </c>
      <c r="W398" s="603">
        <f t="shared" ref="W398" si="222">AVERAGE(F392:F398)</f>
        <v>122.04285714285716</v>
      </c>
      <c r="X398" s="603"/>
      <c r="Y398" s="603">
        <f t="shared" ref="Y398" si="223">U398-U397</f>
        <v>-0.52857142857143913</v>
      </c>
      <c r="Z398" s="603">
        <f t="shared" ref="Z398" si="224">V398-V397</f>
        <v>-0.15714285714287257</v>
      </c>
      <c r="AA398" s="604">
        <f t="shared" ref="AA398" si="225">W398-W397</f>
        <v>-0.1428571428571388</v>
      </c>
    </row>
    <row r="399" spans="1:27" ht="17.25" customHeight="1">
      <c r="A399" s="868"/>
      <c r="B399" s="868"/>
      <c r="C399" s="869">
        <v>12</v>
      </c>
      <c r="D399" s="591">
        <v>153.80000000000001</v>
      </c>
      <c r="E399" s="591">
        <v>130.5</v>
      </c>
      <c r="F399" s="591">
        <v>122.3</v>
      </c>
      <c r="G399" s="591"/>
      <c r="H399" s="591">
        <v>100</v>
      </c>
      <c r="I399" s="592">
        <f t="shared" si="213"/>
        <v>2.3000000000000114</v>
      </c>
      <c r="J399" s="592">
        <f t="shared" si="213"/>
        <v>-7.9000000000000057</v>
      </c>
      <c r="K399" s="592">
        <f t="shared" ref="K399:K410" si="226">F399-F398</f>
        <v>-2.2000000000000028</v>
      </c>
      <c r="L399" s="592"/>
      <c r="M399" s="592">
        <f t="shared" si="201"/>
        <v>151.16666666666666</v>
      </c>
      <c r="N399" s="592">
        <f t="shared" ref="N399" si="227">AVERAGE(E397:E399)</f>
        <v>133.96666666666667</v>
      </c>
      <c r="O399" s="592">
        <f t="shared" ref="O399" si="228">AVERAGE(F397:F399)</f>
        <v>122.93333333333334</v>
      </c>
      <c r="P399" s="592"/>
      <c r="Q399" s="593">
        <f t="shared" ref="Q399:Q402" si="229">M399-M398</f>
        <v>1.1666666666666572</v>
      </c>
      <c r="R399" s="593">
        <f t="shared" ref="R399:R402" si="230">N399-N398</f>
        <v>-0.60000000000002274</v>
      </c>
      <c r="S399" s="593">
        <f t="shared" ref="S399:S402" si="231">O399-O398</f>
        <v>0.86666666666667425</v>
      </c>
      <c r="T399" s="593"/>
      <c r="U399" s="593">
        <f t="shared" ref="U399" si="232">AVERAGE(D393:D399)</f>
        <v>149.8857142857143</v>
      </c>
      <c r="V399" s="593">
        <f t="shared" ref="V399" si="233">AVERAGE(E393:E399)</f>
        <v>134.22857142857143</v>
      </c>
      <c r="W399" s="593">
        <f t="shared" ref="W399" si="234">AVERAGE(F393:F399)</f>
        <v>121.9142857142857</v>
      </c>
      <c r="X399" s="593"/>
      <c r="Y399" s="593">
        <f t="shared" ref="Y399:Y402" si="235">U399-U398</f>
        <v>1.1571428571428442</v>
      </c>
      <c r="Z399" s="593">
        <f t="shared" ref="Z399:Z402" si="236">V399-V398</f>
        <v>-1.3285714285714221</v>
      </c>
      <c r="AA399" s="594">
        <f t="shared" ref="AA399" si="237">W399-W398</f>
        <v>-0.12857142857146187</v>
      </c>
    </row>
    <row r="400" spans="1:27" ht="17.25" customHeight="1">
      <c r="A400" s="478">
        <v>8</v>
      </c>
      <c r="B400" s="759">
        <v>26</v>
      </c>
      <c r="C400" s="955">
        <v>1</v>
      </c>
      <c r="D400" s="1110">
        <v>158.5</v>
      </c>
      <c r="E400" s="1110">
        <v>141</v>
      </c>
      <c r="F400" s="1110">
        <v>114.7</v>
      </c>
      <c r="G400" s="1110"/>
      <c r="H400" s="581">
        <v>100</v>
      </c>
      <c r="I400" s="582">
        <f t="shared" si="213"/>
        <v>4.6999999999999886</v>
      </c>
      <c r="J400" s="582">
        <f t="shared" si="213"/>
        <v>10.5</v>
      </c>
      <c r="K400" s="582">
        <f t="shared" si="226"/>
        <v>-7.5999999999999943</v>
      </c>
      <c r="L400" s="582"/>
      <c r="M400" s="584">
        <f t="shared" si="201"/>
        <v>154.6</v>
      </c>
      <c r="N400" s="584">
        <f t="shared" ref="N400" si="238">AVERAGE(E398:E400)</f>
        <v>136.63333333333333</v>
      </c>
      <c r="O400" s="584">
        <f t="shared" ref="O400" si="239">AVERAGE(F398:F400)</f>
        <v>120.5</v>
      </c>
      <c r="P400" s="582"/>
      <c r="Q400" s="584">
        <f t="shared" si="229"/>
        <v>3.4333333333333371</v>
      </c>
      <c r="R400" s="584">
        <f t="shared" si="230"/>
        <v>2.6666666666666572</v>
      </c>
      <c r="S400" s="584">
        <f t="shared" si="231"/>
        <v>-2.4333333333333371</v>
      </c>
      <c r="T400" s="584"/>
      <c r="U400" s="584">
        <f t="shared" ref="U400" si="240">AVERAGE(D394:D400)</f>
        <v>150.70000000000002</v>
      </c>
      <c r="V400" s="584">
        <f t="shared" ref="V400" si="241">AVERAGE(E394:E400)</f>
        <v>134.58571428571429</v>
      </c>
      <c r="W400" s="584">
        <f t="shared" ref="W400" si="242">AVERAGE(F394:F400)</f>
        <v>120.79999999999998</v>
      </c>
      <c r="X400" s="584"/>
      <c r="Y400" s="584">
        <f t="shared" si="235"/>
        <v>0.81428571428571672</v>
      </c>
      <c r="Z400" s="584">
        <f t="shared" si="236"/>
        <v>0.3571428571428612</v>
      </c>
      <c r="AA400" s="585">
        <f>W400-W399</f>
        <v>-1.1142857142857139</v>
      </c>
    </row>
    <row r="401" spans="1:27" ht="17.25" customHeight="1">
      <c r="A401" s="875"/>
      <c r="B401" s="875"/>
      <c r="C401" s="778">
        <v>2</v>
      </c>
      <c r="D401" s="601">
        <v>155.69999999999999</v>
      </c>
      <c r="E401" s="601">
        <v>144.69999999999999</v>
      </c>
      <c r="F401" s="601">
        <v>112.9</v>
      </c>
      <c r="G401" s="601"/>
      <c r="H401" s="601">
        <v>100</v>
      </c>
      <c r="I401" s="602">
        <f t="shared" si="213"/>
        <v>-2.8000000000000114</v>
      </c>
      <c r="J401" s="602">
        <f t="shared" si="213"/>
        <v>3.6999999999999886</v>
      </c>
      <c r="K401" s="602">
        <f t="shared" si="226"/>
        <v>-1.7999999999999972</v>
      </c>
      <c r="L401" s="602"/>
      <c r="M401" s="588">
        <f t="shared" si="201"/>
        <v>156</v>
      </c>
      <c r="N401" s="588">
        <f t="shared" ref="N401" si="243">AVERAGE(E399:E401)</f>
        <v>138.73333333333332</v>
      </c>
      <c r="O401" s="588">
        <f t="shared" ref="O401" si="244">AVERAGE(F399:F401)</f>
        <v>116.63333333333333</v>
      </c>
      <c r="P401" s="602"/>
      <c r="Q401" s="603">
        <f t="shared" si="229"/>
        <v>1.4000000000000057</v>
      </c>
      <c r="R401" s="603">
        <f t="shared" si="230"/>
        <v>2.0999999999999943</v>
      </c>
      <c r="S401" s="603">
        <f t="shared" si="231"/>
        <v>-3.8666666666666742</v>
      </c>
      <c r="T401" s="603"/>
      <c r="U401" s="603">
        <f t="shared" ref="U401" si="245">AVERAGE(D395:D401)</f>
        <v>151.87142857142857</v>
      </c>
      <c r="V401" s="603">
        <f t="shared" ref="V401" si="246">AVERAGE(E395:E401)</f>
        <v>136.12857142857143</v>
      </c>
      <c r="W401" s="603">
        <f t="shared" ref="W401" si="247">AVERAGE(F395:F401)</f>
        <v>119.17142857142858</v>
      </c>
      <c r="X401" s="603"/>
      <c r="Y401" s="603">
        <f t="shared" si="235"/>
        <v>1.1714285714285495</v>
      </c>
      <c r="Z401" s="603">
        <f t="shared" si="236"/>
        <v>1.5428571428571445</v>
      </c>
      <c r="AA401" s="604">
        <f t="shared" ref="AA401:AA402" si="248">W401-W400</f>
        <v>-1.628571428571405</v>
      </c>
    </row>
    <row r="402" spans="1:27" ht="17.25" customHeight="1">
      <c r="A402" s="1263"/>
      <c r="B402" s="1263"/>
      <c r="C402" s="1264">
        <v>3</v>
      </c>
      <c r="D402" s="601">
        <v>156.19999999999999</v>
      </c>
      <c r="E402" s="601">
        <v>145.69999999999999</v>
      </c>
      <c r="F402" s="601">
        <v>116.5</v>
      </c>
      <c r="G402" s="601"/>
      <c r="H402" s="1265">
        <v>100</v>
      </c>
      <c r="I402" s="1266">
        <f t="shared" si="213"/>
        <v>0.5</v>
      </c>
      <c r="J402" s="1266">
        <f t="shared" si="213"/>
        <v>1</v>
      </c>
      <c r="K402" s="1266">
        <f t="shared" si="226"/>
        <v>3.5999999999999943</v>
      </c>
      <c r="L402" s="1266"/>
      <c r="M402" s="1222">
        <f t="shared" si="201"/>
        <v>156.79999999999998</v>
      </c>
      <c r="N402" s="1222">
        <f t="shared" ref="N402" si="249">AVERAGE(E400:E402)</f>
        <v>143.79999999999998</v>
      </c>
      <c r="O402" s="1222">
        <f t="shared" ref="O402" si="250">AVERAGE(F400:F402)</f>
        <v>114.7</v>
      </c>
      <c r="P402" s="1266"/>
      <c r="Q402" s="1267">
        <f t="shared" si="229"/>
        <v>0.79999999999998295</v>
      </c>
      <c r="R402" s="1267">
        <f t="shared" si="230"/>
        <v>5.0666666666666629</v>
      </c>
      <c r="S402" s="1267">
        <f t="shared" si="231"/>
        <v>-1.9333333333333229</v>
      </c>
      <c r="T402" s="1267"/>
      <c r="U402" s="603">
        <f>AVERAGE(D396:D402)</f>
        <v>153.45714285714286</v>
      </c>
      <c r="V402" s="603">
        <f t="shared" ref="V402" si="251">AVERAGE(E396:E402)</f>
        <v>137.94285714285715</v>
      </c>
      <c r="W402" s="603">
        <f t="shared" ref="W402" si="252">AVERAGE(F396:F402)</f>
        <v>118.94285714285715</v>
      </c>
      <c r="X402" s="1267"/>
      <c r="Y402" s="1267">
        <f t="shared" si="235"/>
        <v>1.585714285714289</v>
      </c>
      <c r="Z402" s="1267">
        <f t="shared" si="236"/>
        <v>1.8142857142857167</v>
      </c>
      <c r="AA402" s="1268">
        <f t="shared" si="248"/>
        <v>-0.22857142857142776</v>
      </c>
    </row>
    <row r="403" spans="1:27" ht="17.25" customHeight="1">
      <c r="A403" s="875"/>
      <c r="B403" s="875"/>
      <c r="C403" s="778">
        <v>4</v>
      </c>
      <c r="D403" s="601"/>
      <c r="E403" s="601"/>
      <c r="F403" s="601"/>
      <c r="G403" s="601"/>
      <c r="H403" s="601">
        <v>100</v>
      </c>
      <c r="I403" s="602">
        <f t="shared" si="213"/>
        <v>-156.19999999999999</v>
      </c>
      <c r="J403" s="602">
        <f t="shared" si="213"/>
        <v>-145.69999999999999</v>
      </c>
      <c r="K403" s="602">
        <f t="shared" si="226"/>
        <v>-116.5</v>
      </c>
      <c r="L403" s="602"/>
      <c r="M403" s="1222"/>
      <c r="N403" s="1222"/>
      <c r="O403" s="1222"/>
      <c r="P403" s="1266"/>
      <c r="Q403" s="1267">
        <f>M403-M402</f>
        <v>-156.79999999999998</v>
      </c>
      <c r="R403" s="1267">
        <f>N403-N402</f>
        <v>-143.79999999999998</v>
      </c>
      <c r="S403" s="1267">
        <f>O403-O402</f>
        <v>-114.7</v>
      </c>
      <c r="T403" s="1267"/>
      <c r="U403" s="603"/>
      <c r="V403" s="603"/>
      <c r="W403" s="603"/>
      <c r="X403" s="1267"/>
      <c r="Y403" s="1267">
        <f>U403-U402</f>
        <v>-153.45714285714286</v>
      </c>
      <c r="Z403" s="1267">
        <f>V403-V402</f>
        <v>-137.94285714285715</v>
      </c>
      <c r="AA403" s="1268">
        <f>W403-W402</f>
        <v>-118.94285714285715</v>
      </c>
    </row>
    <row r="404" spans="1:27" ht="17.25" customHeight="1">
      <c r="A404" s="875"/>
      <c r="B404" s="875"/>
      <c r="C404" s="1185">
        <v>5</v>
      </c>
      <c r="D404" s="601"/>
      <c r="E404" s="601"/>
      <c r="F404" s="601"/>
      <c r="G404" s="601"/>
      <c r="H404" s="601">
        <v>100</v>
      </c>
      <c r="I404" s="602">
        <f t="shared" si="213"/>
        <v>0</v>
      </c>
      <c r="J404" s="602">
        <f t="shared" si="213"/>
        <v>0</v>
      </c>
      <c r="K404" s="602">
        <f t="shared" si="226"/>
        <v>0</v>
      </c>
      <c r="L404" s="602"/>
      <c r="M404" s="1222"/>
      <c r="N404" s="1222"/>
      <c r="O404" s="1222"/>
      <c r="P404" s="602"/>
      <c r="Q404" s="603">
        <f t="shared" ref="Q404:Q411" si="253">M404-M403</f>
        <v>0</v>
      </c>
      <c r="R404" s="603">
        <f t="shared" ref="R404:R411" si="254">N404-N403</f>
        <v>0</v>
      </c>
      <c r="S404" s="603">
        <f t="shared" ref="S404:S411" si="255">O404-O403</f>
        <v>0</v>
      </c>
      <c r="T404" s="603"/>
      <c r="U404" s="603"/>
      <c r="V404" s="603"/>
      <c r="W404" s="603"/>
      <c r="X404" s="603"/>
      <c r="Y404" s="603">
        <f t="shared" ref="Y404:Y411" si="256">U404-U403</f>
        <v>0</v>
      </c>
      <c r="Z404" s="603">
        <f t="shared" ref="Z404:Z411" si="257">V404-V403</f>
        <v>0</v>
      </c>
      <c r="AA404" s="604">
        <f t="shared" ref="AA404:AA411" si="258">W404-W403</f>
        <v>0</v>
      </c>
    </row>
    <row r="405" spans="1:27" ht="17.25" customHeight="1">
      <c r="A405" s="875"/>
      <c r="B405" s="875"/>
      <c r="C405" s="1185">
        <v>6</v>
      </c>
      <c r="D405" s="601"/>
      <c r="E405" s="601"/>
      <c r="F405" s="601"/>
      <c r="G405" s="601"/>
      <c r="H405" s="601">
        <v>100</v>
      </c>
      <c r="I405" s="602">
        <f t="shared" si="213"/>
        <v>0</v>
      </c>
      <c r="J405" s="602">
        <f t="shared" si="213"/>
        <v>0</v>
      </c>
      <c r="K405" s="602">
        <f t="shared" si="226"/>
        <v>0</v>
      </c>
      <c r="L405" s="602"/>
      <c r="M405" s="1222"/>
      <c r="N405" s="1222"/>
      <c r="O405" s="1222"/>
      <c r="P405" s="602"/>
      <c r="Q405" s="603">
        <f t="shared" si="253"/>
        <v>0</v>
      </c>
      <c r="R405" s="603">
        <f t="shared" si="254"/>
        <v>0</v>
      </c>
      <c r="S405" s="603">
        <f t="shared" si="255"/>
        <v>0</v>
      </c>
      <c r="T405" s="603"/>
      <c r="U405" s="603"/>
      <c r="V405" s="603"/>
      <c r="W405" s="603"/>
      <c r="X405" s="603"/>
      <c r="Y405" s="603">
        <f t="shared" si="256"/>
        <v>0</v>
      </c>
      <c r="Z405" s="603">
        <f t="shared" si="257"/>
        <v>0</v>
      </c>
      <c r="AA405" s="604">
        <f t="shared" si="258"/>
        <v>0</v>
      </c>
    </row>
    <row r="406" spans="1:27" ht="17.25" customHeight="1">
      <c r="A406" s="875"/>
      <c r="B406" s="875"/>
      <c r="C406" s="1185">
        <v>7</v>
      </c>
      <c r="D406" s="601"/>
      <c r="E406" s="601"/>
      <c r="F406" s="601"/>
      <c r="G406" s="601"/>
      <c r="H406" s="601">
        <v>100</v>
      </c>
      <c r="I406" s="602">
        <f t="shared" si="213"/>
        <v>0</v>
      </c>
      <c r="J406" s="602">
        <f t="shared" si="213"/>
        <v>0</v>
      </c>
      <c r="K406" s="602">
        <f t="shared" si="226"/>
        <v>0</v>
      </c>
      <c r="L406" s="602"/>
      <c r="M406" s="1222"/>
      <c r="N406" s="1222"/>
      <c r="O406" s="1222"/>
      <c r="P406" s="602"/>
      <c r="Q406" s="603">
        <f t="shared" si="253"/>
        <v>0</v>
      </c>
      <c r="R406" s="603">
        <f t="shared" si="254"/>
        <v>0</v>
      </c>
      <c r="S406" s="603">
        <f t="shared" si="255"/>
        <v>0</v>
      </c>
      <c r="T406" s="603"/>
      <c r="U406" s="603"/>
      <c r="V406" s="603"/>
      <c r="W406" s="603"/>
      <c r="X406" s="603"/>
      <c r="Y406" s="603">
        <f t="shared" si="256"/>
        <v>0</v>
      </c>
      <c r="Z406" s="603">
        <f t="shared" si="257"/>
        <v>0</v>
      </c>
      <c r="AA406" s="604">
        <f t="shared" si="258"/>
        <v>0</v>
      </c>
    </row>
    <row r="407" spans="1:27" ht="17.25" customHeight="1">
      <c r="A407" s="875"/>
      <c r="B407" s="875"/>
      <c r="C407" s="1185">
        <v>8</v>
      </c>
      <c r="D407" s="601"/>
      <c r="E407" s="601"/>
      <c r="F407" s="601"/>
      <c r="G407" s="601"/>
      <c r="H407" s="601">
        <v>100</v>
      </c>
      <c r="I407" s="602">
        <f t="shared" si="213"/>
        <v>0</v>
      </c>
      <c r="J407" s="602">
        <f t="shared" si="213"/>
        <v>0</v>
      </c>
      <c r="K407" s="602">
        <f t="shared" si="226"/>
        <v>0</v>
      </c>
      <c r="L407" s="602"/>
      <c r="M407" s="1222"/>
      <c r="N407" s="1222"/>
      <c r="O407" s="1222"/>
      <c r="P407" s="602"/>
      <c r="Q407" s="603">
        <f t="shared" si="253"/>
        <v>0</v>
      </c>
      <c r="R407" s="603">
        <f t="shared" si="254"/>
        <v>0</v>
      </c>
      <c r="S407" s="603">
        <f t="shared" si="255"/>
        <v>0</v>
      </c>
      <c r="T407" s="603"/>
      <c r="U407" s="603"/>
      <c r="V407" s="603"/>
      <c r="W407" s="603"/>
      <c r="X407" s="603"/>
      <c r="Y407" s="603">
        <f t="shared" si="256"/>
        <v>0</v>
      </c>
      <c r="Z407" s="603">
        <f t="shared" si="257"/>
        <v>0</v>
      </c>
      <c r="AA407" s="604">
        <f t="shared" si="258"/>
        <v>0</v>
      </c>
    </row>
    <row r="408" spans="1:27" ht="17.25" customHeight="1">
      <c r="A408" s="875"/>
      <c r="B408" s="875"/>
      <c r="C408" s="1185">
        <v>9</v>
      </c>
      <c r="D408" s="601"/>
      <c r="E408" s="601"/>
      <c r="F408" s="601"/>
      <c r="G408" s="601"/>
      <c r="H408" s="601">
        <v>100</v>
      </c>
      <c r="I408" s="602">
        <f t="shared" si="213"/>
        <v>0</v>
      </c>
      <c r="J408" s="602">
        <f t="shared" si="213"/>
        <v>0</v>
      </c>
      <c r="K408" s="602">
        <f t="shared" si="226"/>
        <v>0</v>
      </c>
      <c r="L408" s="602"/>
      <c r="M408" s="1222"/>
      <c r="N408" s="1222"/>
      <c r="O408" s="1222"/>
      <c r="P408" s="602"/>
      <c r="Q408" s="603">
        <f t="shared" si="253"/>
        <v>0</v>
      </c>
      <c r="R408" s="603">
        <f t="shared" si="254"/>
        <v>0</v>
      </c>
      <c r="S408" s="603">
        <f t="shared" si="255"/>
        <v>0</v>
      </c>
      <c r="T408" s="603"/>
      <c r="U408" s="603"/>
      <c r="V408" s="603"/>
      <c r="W408" s="603"/>
      <c r="X408" s="603"/>
      <c r="Y408" s="603">
        <f t="shared" si="256"/>
        <v>0</v>
      </c>
      <c r="Z408" s="603">
        <f t="shared" si="257"/>
        <v>0</v>
      </c>
      <c r="AA408" s="604">
        <f t="shared" si="258"/>
        <v>0</v>
      </c>
    </row>
    <row r="409" spans="1:27" ht="17.25" customHeight="1">
      <c r="A409" s="875"/>
      <c r="B409" s="875"/>
      <c r="C409" s="1185">
        <v>10</v>
      </c>
      <c r="D409" s="601"/>
      <c r="E409" s="601"/>
      <c r="F409" s="601"/>
      <c r="G409" s="601"/>
      <c r="H409" s="601">
        <v>100</v>
      </c>
      <c r="I409" s="602">
        <f t="shared" si="213"/>
        <v>0</v>
      </c>
      <c r="J409" s="602">
        <f t="shared" si="213"/>
        <v>0</v>
      </c>
      <c r="K409" s="602">
        <f t="shared" si="226"/>
        <v>0</v>
      </c>
      <c r="L409" s="602"/>
      <c r="M409" s="602"/>
      <c r="N409" s="602"/>
      <c r="O409" s="602"/>
      <c r="P409" s="602"/>
      <c r="Q409" s="603">
        <f t="shared" si="253"/>
        <v>0</v>
      </c>
      <c r="R409" s="603">
        <f t="shared" si="254"/>
        <v>0</v>
      </c>
      <c r="S409" s="603">
        <f t="shared" si="255"/>
        <v>0</v>
      </c>
      <c r="T409" s="603"/>
      <c r="U409" s="603"/>
      <c r="V409" s="603"/>
      <c r="W409" s="603"/>
      <c r="X409" s="603"/>
      <c r="Y409" s="603">
        <f t="shared" si="256"/>
        <v>0</v>
      </c>
      <c r="Z409" s="603">
        <f t="shared" si="257"/>
        <v>0</v>
      </c>
      <c r="AA409" s="604">
        <f t="shared" si="258"/>
        <v>0</v>
      </c>
    </row>
    <row r="410" spans="1:27" ht="17.25" customHeight="1">
      <c r="A410" s="875"/>
      <c r="B410" s="875"/>
      <c r="C410" s="1185">
        <v>11</v>
      </c>
      <c r="D410" s="601"/>
      <c r="E410" s="601"/>
      <c r="F410" s="601"/>
      <c r="G410" s="601"/>
      <c r="H410" s="601">
        <v>100</v>
      </c>
      <c r="I410" s="602">
        <f t="shared" ref="I410:I411" si="259">D410-D409</f>
        <v>0</v>
      </c>
      <c r="J410" s="602">
        <f t="shared" ref="J410:J411" si="260">E410-E409</f>
        <v>0</v>
      </c>
      <c r="K410" s="602">
        <f t="shared" si="226"/>
        <v>0</v>
      </c>
      <c r="L410" s="602"/>
      <c r="M410" s="602"/>
      <c r="N410" s="602"/>
      <c r="O410" s="602"/>
      <c r="P410" s="602"/>
      <c r="Q410" s="603">
        <f t="shared" si="253"/>
        <v>0</v>
      </c>
      <c r="R410" s="603">
        <f t="shared" si="254"/>
        <v>0</v>
      </c>
      <c r="S410" s="603">
        <f t="shared" si="255"/>
        <v>0</v>
      </c>
      <c r="T410" s="603"/>
      <c r="U410" s="603"/>
      <c r="V410" s="603"/>
      <c r="W410" s="603"/>
      <c r="X410" s="603"/>
      <c r="Y410" s="603">
        <f t="shared" si="256"/>
        <v>0</v>
      </c>
      <c r="Z410" s="603">
        <f t="shared" si="257"/>
        <v>0</v>
      </c>
      <c r="AA410" s="604">
        <f t="shared" si="258"/>
        <v>0</v>
      </c>
    </row>
    <row r="411" spans="1:27" ht="17.25" customHeight="1">
      <c r="A411" s="868"/>
      <c r="B411" s="868"/>
      <c r="C411" s="869">
        <v>12</v>
      </c>
      <c r="D411" s="591"/>
      <c r="E411" s="591"/>
      <c r="F411" s="591"/>
      <c r="G411" s="591"/>
      <c r="H411" s="591">
        <v>100</v>
      </c>
      <c r="I411" s="592">
        <f t="shared" si="259"/>
        <v>0</v>
      </c>
      <c r="J411" s="592">
        <f t="shared" si="260"/>
        <v>0</v>
      </c>
      <c r="K411" s="592">
        <f t="shared" ref="K411" si="261">F411-F410</f>
        <v>0</v>
      </c>
      <c r="L411" s="592"/>
      <c r="M411" s="592"/>
      <c r="N411" s="592"/>
      <c r="O411" s="592"/>
      <c r="P411" s="592"/>
      <c r="Q411" s="593">
        <f t="shared" si="253"/>
        <v>0</v>
      </c>
      <c r="R411" s="593">
        <f t="shared" si="254"/>
        <v>0</v>
      </c>
      <c r="S411" s="593">
        <f t="shared" si="255"/>
        <v>0</v>
      </c>
      <c r="T411" s="593"/>
      <c r="U411" s="593"/>
      <c r="V411" s="593"/>
      <c r="W411" s="593"/>
      <c r="X411" s="593"/>
      <c r="Y411" s="593">
        <f t="shared" si="256"/>
        <v>0</v>
      </c>
      <c r="Z411" s="593">
        <f t="shared" si="257"/>
        <v>0</v>
      </c>
      <c r="AA411" s="594">
        <f t="shared" si="258"/>
        <v>0</v>
      </c>
    </row>
    <row r="412" spans="1:27" ht="17.25" customHeight="1">
      <c r="A412" s="478">
        <v>9</v>
      </c>
      <c r="B412" s="759">
        <v>27</v>
      </c>
      <c r="C412" s="955">
        <v>1</v>
      </c>
      <c r="D412" s="1110"/>
      <c r="E412" s="1110"/>
      <c r="F412" s="1110"/>
      <c r="G412" s="1110"/>
      <c r="H412" s="1110"/>
      <c r="I412" s="1317"/>
      <c r="J412" s="1317"/>
      <c r="K412" s="1317"/>
      <c r="L412" s="1317"/>
      <c r="M412" s="1317"/>
      <c r="N412" s="1317"/>
      <c r="O412" s="1317"/>
      <c r="P412" s="1317"/>
      <c r="Q412" s="1318"/>
      <c r="R412" s="1318"/>
      <c r="S412" s="1318"/>
      <c r="T412" s="1318"/>
      <c r="U412" s="1318"/>
      <c r="V412" s="1318"/>
      <c r="W412" s="1318"/>
      <c r="X412" s="1318"/>
      <c r="Y412" s="1318"/>
      <c r="Z412" s="1318"/>
      <c r="AA412" s="1319"/>
    </row>
    <row r="413" spans="1:27" ht="17.25" customHeight="1">
      <c r="A413" s="875"/>
      <c r="B413" s="875"/>
      <c r="C413" s="778">
        <v>2</v>
      </c>
      <c r="D413" s="1110"/>
      <c r="E413" s="1110"/>
      <c r="F413" s="1110"/>
      <c r="G413" s="1110"/>
      <c r="H413" s="1110"/>
      <c r="I413" s="1317"/>
      <c r="J413" s="1317"/>
      <c r="K413" s="1317"/>
      <c r="L413" s="1317"/>
      <c r="M413" s="1317"/>
      <c r="N413" s="1317"/>
      <c r="O413" s="1317"/>
      <c r="P413" s="1317"/>
      <c r="Q413" s="1318"/>
      <c r="R413" s="1318"/>
      <c r="S413" s="1318"/>
      <c r="T413" s="1318"/>
      <c r="U413" s="1318"/>
      <c r="V413" s="1318"/>
      <c r="W413" s="1318"/>
      <c r="X413" s="1318"/>
      <c r="Y413" s="1318"/>
      <c r="Z413" s="1318"/>
      <c r="AA413" s="1319"/>
    </row>
    <row r="414" spans="1:27" ht="17.25" customHeight="1">
      <c r="A414" s="308"/>
      <c r="B414" s="308"/>
      <c r="C414" s="309"/>
      <c r="D414" s="300"/>
      <c r="E414" s="300"/>
      <c r="F414" s="304"/>
      <c r="G414" s="304"/>
      <c r="H414" s="304"/>
      <c r="I414" s="582"/>
      <c r="J414" s="582"/>
      <c r="K414" s="582"/>
      <c r="L414" s="582"/>
      <c r="M414" s="584"/>
      <c r="N414" s="584"/>
      <c r="O414" s="584"/>
      <c r="P414" s="582"/>
      <c r="Q414" s="584"/>
      <c r="R414" s="584"/>
      <c r="S414" s="584"/>
      <c r="T414" s="584"/>
      <c r="U414" s="584"/>
      <c r="V414" s="584"/>
      <c r="W414" s="584"/>
      <c r="X414" s="584"/>
      <c r="Y414" s="584"/>
      <c r="Z414" s="584"/>
      <c r="AA414" s="585"/>
    </row>
    <row r="415" spans="1:27">
      <c r="C415" s="214"/>
      <c r="D415" s="302"/>
      <c r="E415" s="302"/>
      <c r="F415" s="302"/>
      <c r="G415" s="301"/>
      <c r="H415" s="301"/>
      <c r="I415" s="302"/>
      <c r="J415" s="302"/>
      <c r="K415" s="302"/>
      <c r="L415" s="302"/>
      <c r="M415" s="302"/>
      <c r="N415" s="302"/>
      <c r="O415" s="302"/>
      <c r="P415" s="302"/>
      <c r="Q415" s="302"/>
      <c r="R415" s="302"/>
      <c r="S415" s="302"/>
      <c r="T415" s="302"/>
      <c r="U415" s="302"/>
      <c r="V415" s="302"/>
      <c r="W415" s="302"/>
      <c r="X415" s="302"/>
      <c r="Y415" s="302"/>
      <c r="Z415" s="301"/>
      <c r="AA415" s="305"/>
    </row>
    <row r="416" spans="1:27">
      <c r="D416" s="302"/>
      <c r="E416" s="302"/>
      <c r="F416" s="302"/>
      <c r="G416" s="301"/>
      <c r="H416" s="301"/>
      <c r="I416" s="302"/>
      <c r="J416" s="302"/>
      <c r="K416" s="302"/>
      <c r="L416" s="302"/>
      <c r="M416" s="302"/>
      <c r="N416" s="302"/>
      <c r="O416" s="302"/>
      <c r="P416" s="302"/>
      <c r="Q416" s="302"/>
      <c r="R416" s="302"/>
      <c r="S416" s="302"/>
      <c r="T416" s="302"/>
      <c r="U416" s="302"/>
      <c r="V416" s="302"/>
      <c r="W416" s="302"/>
      <c r="X416" s="302"/>
      <c r="Y416" s="302"/>
      <c r="Z416" s="302"/>
      <c r="AA416" s="305"/>
    </row>
    <row r="417" spans="1:27" ht="15" thickBot="1">
      <c r="D417" s="306"/>
      <c r="E417" s="306"/>
      <c r="F417" s="306"/>
      <c r="G417" s="303"/>
      <c r="H417" s="303"/>
      <c r="I417" s="306"/>
      <c r="J417" s="306"/>
      <c r="K417" s="306"/>
      <c r="L417" s="306"/>
      <c r="M417" s="306"/>
      <c r="N417" s="306"/>
      <c r="O417" s="306"/>
      <c r="P417" s="306"/>
      <c r="Q417" s="306"/>
      <c r="R417" s="306"/>
      <c r="S417" s="306"/>
      <c r="T417" s="1180"/>
      <c r="U417" s="306"/>
      <c r="V417" s="306"/>
      <c r="W417" s="306"/>
      <c r="X417" s="306"/>
      <c r="Y417" s="306"/>
      <c r="Z417" s="306"/>
      <c r="AA417" s="307"/>
    </row>
    <row r="418" spans="1:27" s="322" customFormat="1" ht="17.100000000000001" customHeight="1" thickBot="1">
      <c r="A418" s="1763" t="s">
        <v>309</v>
      </c>
      <c r="B418" s="1762"/>
      <c r="C418" s="1764"/>
      <c r="D418" s="758">
        <f ca="1">INDIRECT("D"&amp;(初期登録!$B$10+30)*12+初期登録!$D$10+5-67)</f>
        <v>148.19999999999999</v>
      </c>
      <c r="E418" s="314">
        <f ca="1">INDIRECT("E"&amp;(初期登録!$B$10+30)*12+初期登録!$D$10+5-67)</f>
        <v>133</v>
      </c>
      <c r="F418" s="314">
        <f ca="1">INDIRECT("F"&amp;(初期登録!$B$10+30)*12+初期登録!$D$10+5-67)</f>
        <v>122</v>
      </c>
      <c r="G418" s="337"/>
      <c r="H418" s="337"/>
      <c r="I418" s="315">
        <f ca="1">INDIRECT("I"&amp;(初期登録!$B$10+30)*12+初期登録!$D$10+5-67)</f>
        <v>-2.1000000000000227</v>
      </c>
      <c r="J418" s="315">
        <f ca="1">INDIRECT("J"&amp;(初期登録!$B$10+30)*12+初期登録!$D$10+5-67)</f>
        <v>0.69999999999998863</v>
      </c>
      <c r="K418" s="315">
        <f ca="1">INDIRECT("K"&amp;(初期登録!$B$10+30)*12+初期登録!$D$10+5-67)</f>
        <v>2.2999999999999972</v>
      </c>
      <c r="M418" s="314">
        <f ca="1">INDIRECT("M"&amp;(初期登録!$B$10+30)*12+初期登録!$D$10+5-67)</f>
        <v>147.86666666666665</v>
      </c>
      <c r="N418" s="314">
        <f ca="1">INDIRECT("N"&amp;(初期登録!$B$10+30)*12+初期登録!$D$10+5-67)</f>
        <v>132.76666666666668</v>
      </c>
      <c r="O418" s="314">
        <f ca="1">INDIRECT("O"&amp;(初期登録!$B$10+30)*12+初期登録!$D$10+5-67)</f>
        <v>119.93333333333334</v>
      </c>
      <c r="P418" s="377"/>
      <c r="Q418" s="315">
        <f ca="1">INDIRECT("Q"&amp;(初期登録!$B$10+30)*12+初期登録!$D$10+5-67)</f>
        <v>0.23333333333329165</v>
      </c>
      <c r="R418" s="315">
        <f ca="1">INDIRECT("R"&amp;(初期登録!$B$10+30)*12+初期登録!$D$10+5-67)</f>
        <v>-0.29999999999998295</v>
      </c>
      <c r="S418" s="315">
        <f ca="1">INDIRECT("S"&amp;(初期登録!$B$10+30)*12+初期登録!$D$10+5-67)</f>
        <v>-0.76666666666665151</v>
      </c>
      <c r="T418" s="1215">
        <f t="shared" ref="T418:T423" si="262">AVERAGE(D371:D377)</f>
        <v>132.35714285714283</v>
      </c>
      <c r="U418" s="314">
        <f ca="1">INDIRECT("U"&amp;(初期登録!$B$10+30)*12+初期登録!$D$10+5-67)</f>
        <v>149.2571428571429</v>
      </c>
      <c r="V418" s="314">
        <f ca="1">INDIRECT("V"&amp;(初期登録!$B$10+30)*12+初期登録!$D$10+5-67)</f>
        <v>135.71428571428572</v>
      </c>
      <c r="W418" s="314">
        <f ca="1">INDIRECT("W"&amp;(初期登録!$B$10+30)*12+初期登録!$D$10+5-67)</f>
        <v>122.1857142857143</v>
      </c>
      <c r="Y418" s="315">
        <f ca="1">INDIRECT("Y"&amp;(初期登録!$B$10+30)*12+初期登録!$D$10+5-67)</f>
        <v>0.30000000000003979</v>
      </c>
      <c r="Z418" s="315">
        <f ca="1">INDIRECT("Z"&amp;(初期登録!$B$10+30)*12+初期登録!$D$10+5-67)</f>
        <v>-2.7714285714285722</v>
      </c>
      <c r="AA418" s="315">
        <f ca="1">INDIRECT("AA"&amp;(初期登録!$B$10+30)*12+初期登録!$D$10+5-67)</f>
        <v>-0.82857142857142208</v>
      </c>
    </row>
    <row r="419" spans="1:27" s="322" customFormat="1" ht="17.100000000000001" customHeight="1" thickBot="1">
      <c r="A419" s="1763" t="s">
        <v>308</v>
      </c>
      <c r="B419" s="1762"/>
      <c r="C419" s="1764"/>
      <c r="D419" s="758">
        <f ca="1">INDIRECT("D"&amp;(初期登録!$B$10+30)*12+初期登録!$D$10+5-66)</f>
        <v>151.5</v>
      </c>
      <c r="E419" s="314">
        <f ca="1">INDIRECT("E"&amp;(初期登録!$B$10+30)*12+初期登録!$D$10+5-66)</f>
        <v>138.4</v>
      </c>
      <c r="F419" s="314">
        <f ca="1">INDIRECT("F"&amp;(初期登録!$B$10+30)*12+初期登録!$D$10+5-66)</f>
        <v>124.5</v>
      </c>
      <c r="G419" s="337"/>
      <c r="H419" s="337"/>
      <c r="I419" s="315">
        <f ca="1">INDIRECT("I"&amp;(初期登録!$B$10+30)*12+初期登録!$D$10+5-66)</f>
        <v>3.3000000000000114</v>
      </c>
      <c r="J419" s="315">
        <f ca="1">INDIRECT("J"&amp;(初期登録!$B$10+30)*12+初期登録!$D$10+5-66)</f>
        <v>5.4000000000000057</v>
      </c>
      <c r="K419" s="315">
        <f ca="1">INDIRECT("K"&amp;(初期登録!$B$10+30)*12+初期登録!$D$10+5-66)</f>
        <v>2.5</v>
      </c>
      <c r="M419" s="314">
        <f ca="1">INDIRECT("M"&amp;(初期登録!$B$10+30)*12+初期登録!$D$10+5-66)</f>
        <v>150</v>
      </c>
      <c r="N419" s="314">
        <f ca="1">INDIRECT("N"&amp;(初期登録!$B$10+30)*12+初期登録!$D$10+5-66)</f>
        <v>134.56666666666669</v>
      </c>
      <c r="O419" s="314">
        <f ca="1">INDIRECT("O"&amp;(初期登録!$B$10+30)*12+初期登録!$D$10+5-66)</f>
        <v>122.06666666666666</v>
      </c>
      <c r="Q419" s="315">
        <f ca="1">INDIRECT("Q"&amp;(初期登録!$B$10+30)*12+初期登録!$D$10+5-66)</f>
        <v>2.1333333333333542</v>
      </c>
      <c r="R419" s="315">
        <f ca="1">INDIRECT("R"&amp;(初期登録!$B$10+30)*12+初期登録!$D$10+5-66)</f>
        <v>1.8000000000000114</v>
      </c>
      <c r="S419" s="315">
        <f ca="1">INDIRECT("S"&amp;(初期登録!$B$10+30)*12+初期登録!$D$10+5-66)</f>
        <v>2.1333333333333258</v>
      </c>
      <c r="T419" s="1215">
        <f t="shared" si="262"/>
        <v>132.29999999999998</v>
      </c>
      <c r="U419" s="314">
        <f ca="1">INDIRECT("U"&amp;(初期登録!$B$10+30)*12+初期登録!$D$10+5-66)</f>
        <v>148.72857142857146</v>
      </c>
      <c r="V419" s="314">
        <f ca="1">INDIRECT("V"&amp;(初期登録!$B$10+30)*12+初期登録!$D$10+5-66)</f>
        <v>135.55714285714285</v>
      </c>
      <c r="W419" s="314">
        <f ca="1">INDIRECT("W"&amp;(初期登録!$B$10+30)*12+初期登録!$D$10+5-66)</f>
        <v>122.04285714285716</v>
      </c>
      <c r="Y419" s="315">
        <f ca="1">INDIRECT("Y"&amp;(初期登録!$B$10+30)*12+初期登録!$D$10+5-66)</f>
        <v>-0.52857142857143913</v>
      </c>
      <c r="Z419" s="315">
        <f ca="1">INDIRECT("Z"&amp;(初期登録!$B$10+30)*12+初期登録!$D$10+5-66)</f>
        <v>-0.15714285714287257</v>
      </c>
      <c r="AA419" s="315">
        <f ca="1">INDIRECT("AA"&amp;(初期登録!$B$10+30)*12+初期登録!$D$10+5-66)</f>
        <v>-0.1428571428571388</v>
      </c>
    </row>
    <row r="420" spans="1:27" s="322" customFormat="1" ht="17.100000000000001" customHeight="1" thickBot="1">
      <c r="A420" s="1763" t="s">
        <v>307</v>
      </c>
      <c r="B420" s="1762"/>
      <c r="C420" s="1764"/>
      <c r="D420" s="758">
        <f ca="1">INDIRECT("D"&amp;(初期登録!$B$10+30)*12+初期登録!$D$10+5-65)</f>
        <v>153.80000000000001</v>
      </c>
      <c r="E420" s="314">
        <f ca="1">INDIRECT("E"&amp;(初期登録!$B$10+30)*12+初期登録!$D$10+5-65)</f>
        <v>130.5</v>
      </c>
      <c r="F420" s="314">
        <f ca="1">INDIRECT("F"&amp;(初期登録!$B$10+30)*12+初期登録!$D$10+5-65)</f>
        <v>122.3</v>
      </c>
      <c r="G420" s="337"/>
      <c r="H420" s="337"/>
      <c r="I420" s="315">
        <f ca="1">INDIRECT("I"&amp;(初期登録!$B$10+30)*12+初期登録!$D$10+5-65)</f>
        <v>2.3000000000000114</v>
      </c>
      <c r="J420" s="315">
        <f ca="1">INDIRECT("J"&amp;(初期登録!$B$10+30)*12+初期登録!$D$10+5-65)</f>
        <v>-7.9000000000000057</v>
      </c>
      <c r="K420" s="315">
        <f ca="1">INDIRECT("K"&amp;(初期登録!$B$10+30)*12+初期登録!$D$10+5-65)</f>
        <v>-2.2000000000000028</v>
      </c>
      <c r="M420" s="314">
        <f ca="1">INDIRECT("M"&amp;(初期登録!$B$10+30)*12+初期登録!$D$10+5-65)</f>
        <v>151.16666666666666</v>
      </c>
      <c r="N420" s="314">
        <f ca="1">INDIRECT("N"&amp;(初期登録!$B$10+30)*12+初期登録!$D$10+5-65)</f>
        <v>133.96666666666667</v>
      </c>
      <c r="O420" s="314">
        <f ca="1">INDIRECT("O"&amp;(初期登録!$B$10+30)*12+初期登録!$D$10+5-65)</f>
        <v>122.93333333333334</v>
      </c>
      <c r="Q420" s="315">
        <f ca="1">INDIRECT("Q"&amp;(初期登録!$B$10+30)*12+初期登録!$D$10+5-65)</f>
        <v>1.1666666666666572</v>
      </c>
      <c r="R420" s="315">
        <f ca="1">INDIRECT("R"&amp;(初期登録!$B$10+30)*12+初期登録!$D$10+5-65)</f>
        <v>-0.60000000000002274</v>
      </c>
      <c r="S420" s="315">
        <f ca="1">INDIRECT("S"&amp;(初期登録!$B$10+30)*12+初期登録!$D$10+5-65)</f>
        <v>0.86666666666667425</v>
      </c>
      <c r="T420" s="1215">
        <f t="shared" si="262"/>
        <v>132.07142857142858</v>
      </c>
      <c r="U420" s="314">
        <f ca="1">INDIRECT("U"&amp;(初期登録!$B$10+30)*12+初期登録!$D$10+5-65)</f>
        <v>149.8857142857143</v>
      </c>
      <c r="V420" s="314">
        <f ca="1">INDIRECT("V"&amp;(初期登録!$B$10+30)*12+初期登録!$D$10+5-65)</f>
        <v>134.22857142857143</v>
      </c>
      <c r="W420" s="314">
        <f ca="1">INDIRECT("W"&amp;(初期登録!$B$10+30)*12+初期登録!$D$10+5-65)</f>
        <v>121.9142857142857</v>
      </c>
      <c r="Y420" s="315">
        <f ca="1">INDIRECT("Y"&amp;(初期登録!$B$10+30)*12+初期登録!$D$10+5-65)</f>
        <v>1.1571428571428442</v>
      </c>
      <c r="Z420" s="315">
        <f ca="1">INDIRECT("Z"&amp;(初期登録!$B$10+30)*12+初期登録!$D$10+5-65)</f>
        <v>-1.3285714285714221</v>
      </c>
      <c r="AA420" s="315">
        <f ca="1">INDIRECT("AA"&amp;(初期登録!$B$10+30)*12+初期登録!$D$10+5-65)</f>
        <v>-0.12857142857146187</v>
      </c>
    </row>
    <row r="421" spans="1:27" s="322" customFormat="1" ht="17.100000000000001" customHeight="1" thickBot="1">
      <c r="A421" s="1763" t="s">
        <v>306</v>
      </c>
      <c r="B421" s="1762"/>
      <c r="C421" s="1764"/>
      <c r="D421" s="758">
        <f ca="1">INDIRECT("D"&amp;(初期登録!$B$10+30)*12+初期登録!$D$10+5-64)</f>
        <v>158.5</v>
      </c>
      <c r="E421" s="314">
        <f ca="1">INDIRECT("E"&amp;(初期登録!$B$10+30)*12+初期登録!$D$10+5-64)</f>
        <v>141</v>
      </c>
      <c r="F421" s="314">
        <f ca="1">INDIRECT("F"&amp;(初期登録!$B$10+30)*12+初期登録!$D$10+5-64)</f>
        <v>114.7</v>
      </c>
      <c r="G421" s="337"/>
      <c r="H421" s="337"/>
      <c r="I421" s="315">
        <f ca="1">INDIRECT("I"&amp;(初期登録!$B$10+30)*12+初期登録!$D$10+5-64)</f>
        <v>4.6999999999999886</v>
      </c>
      <c r="J421" s="315">
        <f ca="1">INDIRECT("J"&amp;(初期登録!$B$10+30)*12+初期登録!$D$10+5-64)</f>
        <v>10.5</v>
      </c>
      <c r="K421" s="315">
        <f ca="1">INDIRECT("K"&amp;(初期登録!$B$10+30)*12+初期登録!$D$10+5-64)</f>
        <v>-7.5999999999999943</v>
      </c>
      <c r="M421" s="314">
        <f ca="1">INDIRECT("M"&amp;(初期登録!$B$10+30)*12+初期登録!$D$10+5-64)</f>
        <v>154.6</v>
      </c>
      <c r="N421" s="314">
        <f ca="1">INDIRECT("N"&amp;(初期登録!$B$10+30)*12+初期登録!$D$10+5-64)</f>
        <v>136.63333333333333</v>
      </c>
      <c r="O421" s="314">
        <f ca="1">INDIRECT("O"&amp;(初期登録!$B$10+30)*12+初期登録!$D$10+5-64)</f>
        <v>120.5</v>
      </c>
      <c r="Q421" s="315">
        <f ca="1">INDIRECT("Q"&amp;(初期登録!$B$10+30)*12+初期登録!$D$10+5-64)</f>
        <v>3.4333333333333371</v>
      </c>
      <c r="R421" s="315">
        <f ca="1">INDIRECT("R"&amp;(初期登録!$B$10+30)*12+初期登録!$D$10+5-64)</f>
        <v>2.6666666666666572</v>
      </c>
      <c r="S421" s="315">
        <f ca="1">INDIRECT("S"&amp;(初期登録!$B$10+30)*12+初期登録!$D$10+5-64)</f>
        <v>-2.4333333333333371</v>
      </c>
      <c r="T421" s="1215">
        <f t="shared" si="262"/>
        <v>132.28571428571431</v>
      </c>
      <c r="U421" s="314">
        <f ca="1">INDIRECT("U"&amp;(初期登録!$B$10+30)*12+初期登録!$D$10+5-64)</f>
        <v>150.70000000000002</v>
      </c>
      <c r="V421" s="314">
        <f ca="1">INDIRECT("V"&amp;(初期登録!$B$10+30)*12+初期登録!$D$10+5-64)</f>
        <v>134.58571428571429</v>
      </c>
      <c r="W421" s="314">
        <f ca="1">INDIRECT("W"&amp;(初期登録!$B$10+30)*12+初期登録!$D$10+5-64)</f>
        <v>120.79999999999998</v>
      </c>
      <c r="Y421" s="315">
        <f ca="1">INDIRECT("Y"&amp;(初期登録!$B$10+30)*12+初期登録!$D$10+5-64)</f>
        <v>0.81428571428571672</v>
      </c>
      <c r="Z421" s="315">
        <f ca="1">INDIRECT("Z"&amp;(初期登録!$B$10+30)*12+初期登録!$D$10+5-64)</f>
        <v>0.3571428571428612</v>
      </c>
      <c r="AA421" s="315">
        <f ca="1">INDIRECT("AA"&amp;(初期登録!$B$10+30)*12+初期登録!$D$10+5-64)</f>
        <v>-1.1142857142857139</v>
      </c>
    </row>
    <row r="422" spans="1:27" s="322" customFormat="1" ht="17.100000000000001" customHeight="1" thickBot="1">
      <c r="A422" s="1763" t="s">
        <v>305</v>
      </c>
      <c r="B422" s="1762"/>
      <c r="C422" s="1764"/>
      <c r="D422" s="758">
        <f ca="1">INDIRECT("D"&amp;(初期登録!$B$10+30)*12+初期登録!$D$10+5-63)</f>
        <v>155.69999999999999</v>
      </c>
      <c r="E422" s="314">
        <f ca="1">INDIRECT("E"&amp;(初期登録!$B$10+30)*12+初期登録!$D$10+5-63)</f>
        <v>144.69999999999999</v>
      </c>
      <c r="F422" s="314">
        <f ca="1">INDIRECT("F"&amp;(初期登録!$B$10+30)*12+初期登録!$D$10+5-63)</f>
        <v>112.9</v>
      </c>
      <c r="G422" s="337"/>
      <c r="H422" s="337"/>
      <c r="I422" s="315">
        <f ca="1">INDIRECT("I"&amp;(初期登録!$B$10+30)*12+初期登録!$D$10+5-63)</f>
        <v>-2.8000000000000114</v>
      </c>
      <c r="J422" s="315">
        <f ca="1">INDIRECT("J"&amp;(初期登録!$B$10+30)*12+初期登録!$D$10+5-63)</f>
        <v>3.6999999999999886</v>
      </c>
      <c r="K422" s="315">
        <f ca="1">INDIRECT("K"&amp;(初期登録!$B$10+30)*12+初期登録!$D$10+5-63)</f>
        <v>-1.7999999999999972</v>
      </c>
      <c r="M422" s="314">
        <f ca="1">INDIRECT("M"&amp;(初期登録!$B$10+30)*12+初期登録!$D$10+5-63)</f>
        <v>156</v>
      </c>
      <c r="N422" s="314">
        <f ca="1">INDIRECT("N"&amp;(初期登録!$B$10+30)*12+初期登録!$D$10+5-63)</f>
        <v>138.73333333333332</v>
      </c>
      <c r="O422" s="314">
        <f ca="1">INDIRECT("O"&amp;(初期登録!$B$10+30)*12+初期登録!$D$10+5-63)</f>
        <v>116.63333333333333</v>
      </c>
      <c r="Q422" s="315">
        <f ca="1">INDIRECT("Q"&amp;(初期登録!$B$10+30)*12+初期登録!$D$10+5-63)</f>
        <v>1.4000000000000057</v>
      </c>
      <c r="R422" s="315">
        <f ca="1">INDIRECT("R"&amp;(初期登録!$B$10+30)*12+初期登録!$D$10+5-63)</f>
        <v>2.0999999999999943</v>
      </c>
      <c r="S422" s="315">
        <f ca="1">INDIRECT("S"&amp;(初期登録!$B$10+30)*12+初期登録!$D$10+5-63)</f>
        <v>-3.8666666666666742</v>
      </c>
      <c r="T422" s="1215">
        <f t="shared" si="262"/>
        <v>131.92857142857144</v>
      </c>
      <c r="U422" s="314">
        <f ca="1">INDIRECT("U"&amp;(初期登録!$B$10+30)*12+初期登録!$D$10+5-63)</f>
        <v>151.87142857142857</v>
      </c>
      <c r="V422" s="314">
        <f ca="1">INDIRECT("V"&amp;(初期登録!$B$10+30)*12+初期登録!$D$10+5-63)</f>
        <v>136.12857142857143</v>
      </c>
      <c r="W422" s="314">
        <f ca="1">INDIRECT("W"&amp;(初期登録!$B$10+30)*12+初期登録!$D$10+5-63)</f>
        <v>119.17142857142858</v>
      </c>
      <c r="Y422" s="315">
        <f ca="1">INDIRECT("Y"&amp;(初期登録!$B$10+30)*12+初期登録!$D$10+5-63)</f>
        <v>1.1714285714285495</v>
      </c>
      <c r="Z422" s="315">
        <f ca="1">INDIRECT("Z"&amp;(初期登録!$B$10+30)*12+初期登録!$D$10+5-63)</f>
        <v>1.5428571428571445</v>
      </c>
      <c r="AA422" s="315">
        <f ca="1">INDIRECT("AA"&amp;(初期登録!$B$10+30)*12+初期登録!$D$10+5-63)</f>
        <v>-1.628571428571405</v>
      </c>
    </row>
    <row r="423" spans="1:27" s="322" customFormat="1" ht="16.5" customHeight="1" thickBot="1">
      <c r="A423" s="1761" t="s">
        <v>304</v>
      </c>
      <c r="B423" s="1765"/>
      <c r="C423" s="1783"/>
      <c r="D423" s="758">
        <f ca="1">INDIRECT("D"&amp;(初期登録!$B$10+30)*12+初期登録!$D$10+5-62)</f>
        <v>156.19999999999999</v>
      </c>
      <c r="E423" s="758">
        <f ca="1">INDIRECT("E"&amp;(初期登録!$B$10+30)*12+初期登録!$D$10+5-62)</f>
        <v>145.69999999999999</v>
      </c>
      <c r="F423" s="758">
        <f ca="1">INDIRECT("F"&amp;(初期登録!$B$10+30)*12+初期登録!$D$10+5-62)</f>
        <v>116.5</v>
      </c>
      <c r="G423" s="337"/>
      <c r="H423" s="337"/>
      <c r="I423" s="315">
        <f ca="1">INDIRECT("I"&amp;(初期登録!$B$10+30)*12+初期登録!$D$10+5-62)</f>
        <v>0.5</v>
      </c>
      <c r="J423" s="315">
        <f ca="1">INDIRECT("J"&amp;(初期登録!$B$10+30)*12+初期登録!$D$10+5-62)</f>
        <v>1</v>
      </c>
      <c r="K423" s="315">
        <f ca="1">INDIRECT("K"&amp;(初期登録!$B$10+30)*12+初期登録!$D$10+5-62)</f>
        <v>3.5999999999999943</v>
      </c>
      <c r="M423" s="314">
        <f ca="1">INDIRECT("M"&amp;(初期登録!$B$10+30)*12+初期登録!$D$10+5-62)</f>
        <v>156.79999999999998</v>
      </c>
      <c r="N423" s="314">
        <f ca="1">INDIRECT("N"&amp;(初期登録!$B$10+30)*12+初期登録!$D$10+5-62)</f>
        <v>143.79999999999998</v>
      </c>
      <c r="O423" s="314">
        <f ca="1">INDIRECT("O"&amp;(初期登録!$B$10+30)*12+初期登録!$D$10+5-62)</f>
        <v>114.7</v>
      </c>
      <c r="Q423" s="1184">
        <f ca="1">INDIRECT("Q"&amp;(初期登録!$B$10+30)*12+初期登録!$D$10+5-62)</f>
        <v>0.79999999999998295</v>
      </c>
      <c r="R423" s="1184">
        <f ca="1">INDIRECT("R"&amp;(初期登録!$B$10+30)*12+初期登録!$D$10+5-62)</f>
        <v>5.0666666666666629</v>
      </c>
      <c r="S423" s="1184">
        <f ca="1">INDIRECT("S"&amp;(初期登録!$B$10+30)*12+初期登録!$D$10+5-62)</f>
        <v>-1.9333333333333229</v>
      </c>
      <c r="T423" s="1215">
        <f t="shared" si="262"/>
        <v>131.91428571428568</v>
      </c>
      <c r="U423" s="1183">
        <f ca="1">INDIRECT("U"&amp;(初期登録!$B$10+30)*12+初期登録!$D$10+5-62)</f>
        <v>153.45714285714286</v>
      </c>
      <c r="V423" s="1183">
        <f ca="1">INDIRECT("V"&amp;(初期登録!$B$10+30)*12+初期登録!$D$10+5-62)</f>
        <v>137.94285714285715</v>
      </c>
      <c r="W423" s="1183">
        <f ca="1">INDIRECT("W"&amp;(初期登録!$B$10+30)*12+初期登録!$D$10+5-62)</f>
        <v>118.94285714285715</v>
      </c>
      <c r="Y423" s="1184">
        <f ca="1">INDIRECT("Y"&amp;(初期登録!$B$10+30)*12+初期登録!$D$10+5-62)</f>
        <v>1.585714285714289</v>
      </c>
      <c r="Z423" s="1184">
        <f ca="1">INDIRECT("Z"&amp;(初期登録!$B$10+30)*12+初期登録!$D$10+5-62)</f>
        <v>1.8142857142857167</v>
      </c>
      <c r="AA423" s="1184">
        <f ca="1">INDIRECT("AA"&amp;(初期登録!$B$10+30)*12+初期登録!$D$10+5-62)</f>
        <v>-0.22857142857142776</v>
      </c>
    </row>
    <row r="424" spans="1:27">
      <c r="Q424" s="312"/>
      <c r="R424" s="312"/>
      <c r="S424" s="312"/>
    </row>
    <row r="425" spans="1:27" ht="12.95" customHeight="1"/>
    <row r="427" spans="1:27">
      <c r="A427" s="214" t="s">
        <v>599</v>
      </c>
      <c r="B427" s="214" t="s">
        <v>600</v>
      </c>
      <c r="C427" s="214" t="s">
        <v>601</v>
      </c>
      <c r="I427" s="214" t="str">
        <f ca="1">IF(I423*I422&gt;0,$A427,IF(I422*I423&lt;0,$B427,$C427))</f>
        <v>ぶり</v>
      </c>
      <c r="J427" s="214" t="str">
        <f ca="1">IF(J423*J422&gt;0,$A427,IF(J422*J423&lt;0,$B427,$C427))</f>
        <v>連続</v>
      </c>
      <c r="K427" s="214" t="str">
        <f ca="1">IF(K423*K422&gt;0,$A427,IF(K422*K423&lt;0,$B427,$C427))</f>
        <v>ぶり</v>
      </c>
      <c r="Q427" s="214" t="str">
        <f ca="1">IF(Q423*Q422&gt;0,$A427,IF(Q422*Q423&lt;0,$B427,$C427))</f>
        <v>連続</v>
      </c>
      <c r="R427" s="214" t="str">
        <f ca="1">IF(R423*R422&gt;0,$A427,IF(R422*R423&lt;0,$B427,$C427))</f>
        <v>連続</v>
      </c>
      <c r="S427" s="214" t="str">
        <f ca="1">IF(S423*S422&gt;0,$A427,IF(S422*S423&lt;0,$B427,$C427))</f>
        <v>連続</v>
      </c>
      <c r="T427" s="1179"/>
      <c r="Y427" s="214" t="str">
        <f ca="1">IF(Y423*Y422&gt;0,$A427,IF(Y422*Y423&lt;0,$B427,$C427))</f>
        <v>連続</v>
      </c>
      <c r="Z427" s="214" t="str">
        <f ca="1">IF(Z423*Z422&gt;0,$A427,IF(Z422*Z423&lt;0,$B427,$C427))</f>
        <v>連続</v>
      </c>
      <c r="AA427" s="214" t="str">
        <f ca="1">IF(AA423*AA422&gt;0,$A427,IF(AA422*AA423&lt;0,$B427,$C427))</f>
        <v>連続</v>
      </c>
    </row>
    <row r="428" spans="1:27">
      <c r="A428" s="311" t="s">
        <v>596</v>
      </c>
      <c r="B428" s="311" t="s">
        <v>597</v>
      </c>
      <c r="C428" s="311" t="s">
        <v>598</v>
      </c>
      <c r="I428" s="214" t="str">
        <f ca="1">IF(I423&gt;0,$A428,IF(I423&lt;0,$B428,$C428))</f>
        <v>上昇</v>
      </c>
      <c r="J428" s="214" t="str">
        <f ca="1">IF(J423&gt;0,$A428,IF(J423&lt;0,$B428,$C428))</f>
        <v>上昇</v>
      </c>
      <c r="K428" s="214" t="str">
        <f ca="1">IF(K423&gt;0,$A428,IF(K423&lt;0,$B428,$C428))</f>
        <v>上昇</v>
      </c>
      <c r="Q428" s="214" t="str">
        <f ca="1">IF(Q423&gt;0,$A428,IF(Q423&lt;0,$B428,$C428))</f>
        <v>上昇</v>
      </c>
      <c r="R428" s="214" t="str">
        <f ca="1">IF(R423&gt;0,$A428,IF(R423&lt;0,$B428,$C428))</f>
        <v>上昇</v>
      </c>
      <c r="S428" s="214" t="str">
        <f ca="1">IF(S423&gt;0,$A428,IF(S423&lt;0,$B428,$C428))</f>
        <v>下降</v>
      </c>
      <c r="T428" s="1179"/>
      <c r="Y428" s="214" t="str">
        <f ca="1">IF(Y423&gt;0,$A428,IF(Y423&lt;0,$B428,$C428))</f>
        <v>上昇</v>
      </c>
      <c r="Z428" s="214" t="str">
        <f ca="1">IF(Z423&gt;0,$A428,IF(Z423&lt;0,$B428,$C428))</f>
        <v>上昇</v>
      </c>
      <c r="AA428" s="214" t="str">
        <f ca="1">IF(AA423&gt;0,$A428,IF(AA423&lt;0,$B428,$C428))</f>
        <v>下降</v>
      </c>
    </row>
    <row r="429" spans="1:27">
      <c r="T429" s="1179">
        <f>ROUND(T419-T418,4)</f>
        <v>-5.7099999999999998E-2</v>
      </c>
    </row>
    <row r="430" spans="1:27">
      <c r="T430" s="1179">
        <f>ROUND(T420-T419,4)</f>
        <v>-0.2286</v>
      </c>
    </row>
    <row r="431" spans="1:27">
      <c r="T431" s="1179">
        <f>ROUND(T421-T420,4)</f>
        <v>0.21429999999999999</v>
      </c>
    </row>
    <row r="432" spans="1:27">
      <c r="T432" s="1179">
        <f>ROUND(T422-T421,4)</f>
        <v>-0.35709999999999997</v>
      </c>
    </row>
    <row r="433" spans="20:20">
      <c r="T433" s="1179">
        <f>ROUND(T423-T422,4)</f>
        <v>-1.43E-2</v>
      </c>
    </row>
  </sheetData>
  <customSheetViews>
    <customSheetView guid="{7EBA91D6-F088-446F-A1CC-E1462A1CA2C3}" showRuler="0">
      <pane xSplit="4" ySplit="3" topLeftCell="E184" activePane="bottomRight" state="frozen"/>
      <selection pane="bottomRight" activeCell="D196" sqref="D196"/>
      <pageMargins left="0.75" right="0.75" top="1" bottom="1" header="0.51200000000000001" footer="0.51200000000000001"/>
      <pageSetup paperSize="9" orientation="portrait" r:id="rId1"/>
      <headerFooter alignWithMargins="0"/>
    </customSheetView>
    <customSheetView guid="{883B7A2B-3CB3-449D-A461-655262B722BC}" showRuler="0">
      <pane xSplit="4" ySplit="3" topLeftCell="E184" activePane="bottomRight" state="frozen"/>
      <selection pane="bottomRight" activeCell="D196" sqref="D196"/>
      <pageMargins left="0.75" right="0.75" top="1" bottom="1" header="0.51200000000000001" footer="0.51200000000000001"/>
      <pageSetup paperSize="9" orientation="portrait" r:id="rId2"/>
      <headerFooter alignWithMargins="0"/>
    </customSheetView>
  </customSheetViews>
  <mergeCells count="7">
    <mergeCell ref="A2:C2"/>
    <mergeCell ref="A422:C422"/>
    <mergeCell ref="A423:C423"/>
    <mergeCell ref="A418:C418"/>
    <mergeCell ref="A419:C419"/>
    <mergeCell ref="A420:C420"/>
    <mergeCell ref="A421:C421"/>
  </mergeCells>
  <phoneticPr fontId="3"/>
  <conditionalFormatting sqref="A1:XFD426 A427:C427 G427:S427 T427:IV428 A428:B428 I428:S428 A429:XFD65550">
    <cfRule type="cellIs" dxfId="0" priority="25" stopIfTrue="1" operator="lessThan">
      <formula>0</formula>
    </cfRule>
  </conditionalFormatting>
  <conditionalFormatting sqref="R246">
    <cfRule type="colorScale" priority="23">
      <colorScale>
        <cfvo type="num" val="&quot;セルの値＞0&quot;"/>
        <cfvo type="num" val="&quot;セルの値＜0&quot;"/>
        <color theme="0"/>
        <color rgb="FFFFFF99"/>
      </colorScale>
    </cfRule>
  </conditionalFormatting>
  <conditionalFormatting sqref="R258:R413">
    <cfRule type="colorScale" priority="21">
      <colorScale>
        <cfvo type="num" val="&quot;セルの値＞0&quot;"/>
        <cfvo type="num" val="&quot;セルの値＜0&quot;"/>
        <color theme="0"/>
        <color rgb="FFFFFF99"/>
      </colorScale>
    </cfRule>
  </conditionalFormatting>
  <conditionalFormatting sqref="R270:R413">
    <cfRule type="colorScale" priority="20">
      <colorScale>
        <cfvo type="num" val="&quot;セルの値＞0&quot;"/>
        <cfvo type="num" val="&quot;セルの値＜0&quot;"/>
        <color theme="0"/>
        <color rgb="FFFFFF99"/>
      </colorScale>
    </cfRule>
  </conditionalFormatting>
  <conditionalFormatting sqref="R282:R413">
    <cfRule type="colorScale" priority="19">
      <colorScale>
        <cfvo type="num" val="&quot;セルの値＞0&quot;"/>
        <cfvo type="num" val="&quot;セルの値＜0&quot;"/>
        <color theme="0"/>
        <color rgb="FFFFFF99"/>
      </colorScale>
    </cfRule>
  </conditionalFormatting>
  <conditionalFormatting sqref="R294:R413">
    <cfRule type="colorScale" priority="18">
      <colorScale>
        <cfvo type="num" val="&quot;セルの値＞0&quot;"/>
        <cfvo type="num" val="&quot;セルの値＜0&quot;"/>
        <color theme="0"/>
        <color rgb="FFFFFF99"/>
      </colorScale>
    </cfRule>
  </conditionalFormatting>
  <conditionalFormatting sqref="R306:R413">
    <cfRule type="colorScale" priority="17">
      <colorScale>
        <cfvo type="num" val="&quot;セルの値＞0&quot;"/>
        <cfvo type="num" val="&quot;セルの値＜0&quot;"/>
        <color theme="0"/>
        <color rgb="FFFFFF99"/>
      </colorScale>
    </cfRule>
  </conditionalFormatting>
  <conditionalFormatting sqref="R318:R413">
    <cfRule type="colorScale" priority="16">
      <colorScale>
        <cfvo type="num" val="&quot;セルの値＞0&quot;"/>
        <cfvo type="num" val="&quot;セルの値＜0&quot;"/>
        <color theme="0"/>
        <color rgb="FFFFFF99"/>
      </colorScale>
    </cfRule>
  </conditionalFormatting>
  <conditionalFormatting sqref="R330:R413">
    <cfRule type="colorScale" priority="15">
      <colorScale>
        <cfvo type="num" val="&quot;セルの値＞0&quot;"/>
        <cfvo type="num" val="&quot;セルの値＜0&quot;"/>
        <color theme="0"/>
        <color rgb="FFFFFF99"/>
      </colorScale>
    </cfRule>
  </conditionalFormatting>
  <conditionalFormatting sqref="R342:R413">
    <cfRule type="colorScale" priority="14">
      <colorScale>
        <cfvo type="num" val="&quot;セルの値＞0&quot;"/>
        <cfvo type="num" val="&quot;セルの値＜0&quot;"/>
        <color theme="0"/>
        <color rgb="FFFFFF99"/>
      </colorScale>
    </cfRule>
  </conditionalFormatting>
  <conditionalFormatting sqref="R354:R413">
    <cfRule type="colorScale" priority="22">
      <colorScale>
        <cfvo type="num" val="&quot;セルの値＞0&quot;"/>
        <cfvo type="num" val="&quot;セルの値＜0&quot;"/>
        <color theme="0"/>
        <color rgb="FFFFFF99"/>
      </colorScale>
    </cfRule>
  </conditionalFormatting>
  <conditionalFormatting sqref="R414">
    <cfRule type="colorScale" priority="1">
      <colorScale>
        <cfvo type="num" val="&quot;セルの値＞0&quot;"/>
        <cfvo type="num" val="&quot;セルの値＜0&quot;"/>
        <color theme="0"/>
        <color rgb="FFFFFF99"/>
      </colorScale>
    </cfRule>
    <cfRule type="colorScale" priority="2">
      <colorScale>
        <cfvo type="num" val="&quot;セルの値＞0&quot;"/>
        <cfvo type="num" val="&quot;セルの値＜0&quot;"/>
        <color theme="0"/>
        <color rgb="FFFFFF99"/>
      </colorScale>
    </cfRule>
    <cfRule type="colorScale" priority="3">
      <colorScale>
        <cfvo type="num" val="&quot;セルの値＞0&quot;"/>
        <cfvo type="num" val="&quot;セルの値＜0&quot;"/>
        <color theme="0"/>
        <color rgb="FFFFFF99"/>
      </colorScale>
    </cfRule>
    <cfRule type="colorScale" priority="4">
      <colorScale>
        <cfvo type="num" val="&quot;セルの値＞0&quot;"/>
        <cfvo type="num" val="&quot;セルの値＜0&quot;"/>
        <color theme="0"/>
        <color rgb="FFFFFF99"/>
      </colorScale>
    </cfRule>
    <cfRule type="colorScale" priority="5">
      <colorScale>
        <cfvo type="num" val="&quot;セルの値＞0&quot;"/>
        <cfvo type="num" val="&quot;セルの値＜0&quot;"/>
        <color theme="0"/>
        <color rgb="FFFFFF99"/>
      </colorScale>
    </cfRule>
    <cfRule type="colorScale" priority="6">
      <colorScale>
        <cfvo type="num" val="&quot;セルの値＞0&quot;"/>
        <cfvo type="num" val="&quot;セルの値＜0&quot;"/>
        <color theme="0"/>
        <color rgb="FFFFFF99"/>
      </colorScale>
    </cfRule>
    <cfRule type="colorScale" priority="7">
      <colorScale>
        <cfvo type="num" val="&quot;セルの値＞0&quot;"/>
        <cfvo type="num" val="&quot;セルの値＜0&quot;"/>
        <color theme="0"/>
        <color rgb="FFFFFF99"/>
      </colorScale>
    </cfRule>
    <cfRule type="colorScale" priority="8">
      <colorScale>
        <cfvo type="num" val="&quot;セルの値＞0&quot;"/>
        <cfvo type="num" val="&quot;セルの値＜0&quot;"/>
        <color theme="0"/>
        <color rgb="FFFFFF99"/>
      </colorScale>
    </cfRule>
    <cfRule type="colorScale" priority="9">
      <colorScale>
        <cfvo type="num" val="&quot;セルの値＞0&quot;"/>
        <cfvo type="num" val="&quot;セルの値＜0&quot;"/>
        <color theme="0"/>
        <color rgb="FFFFFF99"/>
      </colorScale>
    </cfRule>
  </conditionalFormatting>
  <pageMargins left="0.75" right="0.75" top="0.5" bottom="0.5" header="0.51200000000000001" footer="0.51200000000000001"/>
  <pageSetup paperSize="9" scale="85" orientation="portrait" r:id="rId3"/>
  <headerFooter alignWithMargins="0"/>
  <rowBreaks count="3" manualBreakCount="3">
    <brk id="63" max="26" man="1"/>
    <brk id="123" max="26" man="1"/>
    <brk id="183" max="26" man="1"/>
  </rowBreaks>
  <colBreaks count="2" manualBreakCount="2">
    <brk id="11" max="264" man="1"/>
    <brk id="19" max="264" man="1"/>
  </colBreaks>
  <cellWatches>
    <cellWatch r="Z423"/>
  </cellWatches>
  <ignoredErrors>
    <ignoredError sqref="U235:W238 M232:O238 U232:W234 U240:W241 M241 M240:O240 N241:O241 M199:O231 U184:W231 M184:O198 M139:O183 U139:W183 U94:W138 M94:O137 M138:O138 M244:O247 U244:W247" formulaRange="1"/>
    <ignoredError sqref="U239:W239 M239:O239 U242:W243 M242:O243" formulaRange="1" emptyCellReference="1"/>
    <ignoredError sqref="I239:K239" emptyCellReference="1"/>
  </ignoredErrors>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B3:G17"/>
  <sheetViews>
    <sheetView view="pageBreakPreview" topLeftCell="A3" zoomScaleNormal="100" zoomScaleSheetLayoutView="100" workbookViewId="0">
      <selection activeCell="B18" sqref="A15:I25"/>
    </sheetView>
  </sheetViews>
  <sheetFormatPr defaultColWidth="8.875" defaultRowHeight="14.25"/>
  <cols>
    <col min="1" max="1" width="3.125" style="8" customWidth="1"/>
    <col min="2" max="3" width="11.625" style="8" customWidth="1"/>
    <col min="4" max="4" width="13.375" style="8" customWidth="1"/>
    <col min="5" max="5" width="26.125" style="9" customWidth="1"/>
    <col min="6" max="6" width="4.125" style="10" customWidth="1"/>
    <col min="7" max="7" width="4.125" style="8" customWidth="1"/>
    <col min="8" max="16384" width="8.875" style="8"/>
  </cols>
  <sheetData>
    <row r="3" spans="2:7" ht="50.1" customHeight="1">
      <c r="B3" s="218" t="s">
        <v>194</v>
      </c>
    </row>
    <row r="4" spans="2:7" ht="42.95" customHeight="1">
      <c r="B4" s="219" t="s">
        <v>325</v>
      </c>
      <c r="C4" s="220"/>
      <c r="D4" s="220"/>
      <c r="E4" s="221" t="s">
        <v>326</v>
      </c>
      <c r="F4" s="442" t="s">
        <v>76</v>
      </c>
    </row>
    <row r="5" spans="2:7" ht="42.95" customHeight="1">
      <c r="B5" s="219" t="s">
        <v>99</v>
      </c>
      <c r="C5" s="220"/>
      <c r="D5" s="220"/>
      <c r="E5" s="221" t="s">
        <v>250</v>
      </c>
      <c r="F5" s="442" t="s">
        <v>77</v>
      </c>
    </row>
    <row r="6" spans="2:7" ht="42.95" customHeight="1">
      <c r="B6" s="219" t="s">
        <v>100</v>
      </c>
      <c r="C6" s="220"/>
      <c r="D6" s="220"/>
      <c r="E6" s="221" t="s">
        <v>248</v>
      </c>
      <c r="F6" s="442" t="s">
        <v>78</v>
      </c>
    </row>
    <row r="7" spans="2:7" ht="42.95" customHeight="1">
      <c r="B7" s="219" t="s">
        <v>101</v>
      </c>
      <c r="C7" s="220"/>
      <c r="D7" s="220"/>
      <c r="E7" s="221" t="s">
        <v>327</v>
      </c>
      <c r="F7" s="442" t="s">
        <v>79</v>
      </c>
    </row>
    <row r="8" spans="2:7" ht="42.95" customHeight="1">
      <c r="B8" s="219" t="s">
        <v>197</v>
      </c>
      <c r="C8" s="220"/>
      <c r="D8" s="220"/>
      <c r="E8" s="221" t="s">
        <v>328</v>
      </c>
      <c r="F8" s="442" t="s">
        <v>80</v>
      </c>
    </row>
    <row r="9" spans="2:7" ht="42.95" customHeight="1">
      <c r="B9" s="1166" t="s">
        <v>825</v>
      </c>
      <c r="C9" s="220"/>
      <c r="D9" s="220"/>
      <c r="E9" s="221" t="s">
        <v>328</v>
      </c>
      <c r="F9" s="442" t="s">
        <v>81</v>
      </c>
    </row>
    <row r="10" spans="2:7" ht="42.95" customHeight="1">
      <c r="B10" s="1491" t="s">
        <v>292</v>
      </c>
      <c r="C10" s="1491"/>
      <c r="D10" s="220"/>
      <c r="E10" s="221" t="s">
        <v>329</v>
      </c>
      <c r="F10" s="442" t="s">
        <v>82</v>
      </c>
    </row>
    <row r="11" spans="2:7" ht="42.95" customHeight="1">
      <c r="B11" s="219" t="s">
        <v>198</v>
      </c>
      <c r="C11" s="220"/>
      <c r="D11" s="220"/>
      <c r="E11" s="221" t="s">
        <v>330</v>
      </c>
      <c r="F11" s="222">
        <v>10</v>
      </c>
    </row>
    <row r="12" spans="2:7" ht="42.95" customHeight="1">
      <c r="B12" s="219" t="s">
        <v>199</v>
      </c>
      <c r="C12" s="220"/>
      <c r="D12" s="220"/>
      <c r="E12" s="221" t="s">
        <v>330</v>
      </c>
      <c r="F12" s="222">
        <v>11</v>
      </c>
    </row>
    <row r="13" spans="2:7" ht="42.95" customHeight="1">
      <c r="B13" s="219" t="s">
        <v>200</v>
      </c>
      <c r="C13" s="220"/>
      <c r="D13" s="220"/>
      <c r="E13" s="221" t="s">
        <v>330</v>
      </c>
      <c r="F13" s="222">
        <v>12</v>
      </c>
    </row>
    <row r="14" spans="2:7" ht="42.95" customHeight="1">
      <c r="B14" s="219" t="s">
        <v>249</v>
      </c>
      <c r="C14" s="220"/>
      <c r="D14" s="220"/>
      <c r="E14" s="221" t="s">
        <v>330</v>
      </c>
      <c r="F14" s="222">
        <v>13</v>
      </c>
    </row>
    <row r="15" spans="2:7" ht="42.95" customHeight="1">
      <c r="B15" s="219" t="s">
        <v>251</v>
      </c>
      <c r="C15" s="220"/>
      <c r="D15" s="220"/>
      <c r="E15" s="221" t="s">
        <v>331</v>
      </c>
      <c r="F15" s="224">
        <v>14</v>
      </c>
      <c r="G15" s="12"/>
    </row>
    <row r="16" spans="2:7" ht="42.95" customHeight="1">
      <c r="B16" s="1492" t="s">
        <v>92</v>
      </c>
      <c r="C16" s="1492"/>
      <c r="D16" s="1492"/>
      <c r="E16" s="221" t="s">
        <v>252</v>
      </c>
      <c r="F16" s="222">
        <v>16</v>
      </c>
    </row>
    <row r="17" spans="2:6" ht="42.95" customHeight="1">
      <c r="B17" s="221" t="s">
        <v>332</v>
      </c>
      <c r="C17" s="221"/>
      <c r="D17" s="221"/>
      <c r="E17" s="221" t="s">
        <v>252</v>
      </c>
      <c r="F17" s="222">
        <v>17</v>
      </c>
    </row>
  </sheetData>
  <customSheetViews>
    <customSheetView guid="{7EBA91D6-F088-446F-A1CC-E1462A1CA2C3}" showRuler="0" topLeftCell="A7">
      <selection activeCell="B11" sqref="B11"/>
      <pageMargins left="0.78740157480314965" right="0.78740157480314965" top="0.98425196850393704" bottom="0.98425196850393704" header="0.51181102362204722" footer="0.51181102362204722"/>
      <pageSetup paperSize="9" orientation="portrait" horizontalDpi="300" verticalDpi="300" r:id="rId1"/>
      <headerFooter alignWithMargins="0"/>
    </customSheetView>
    <customSheetView guid="{883B7A2B-3CB3-449D-A461-655262B722BC}" showRuler="0" topLeftCell="A7">
      <selection activeCell="B11" sqref="B11"/>
      <pageMargins left="0.78740157480314965" right="0.78740157480314965" top="0.98425196850393704" bottom="0.98425196850393704" header="0.51181102362204722" footer="0.51181102362204722"/>
      <pageSetup paperSize="9" orientation="portrait" horizontalDpi="300" verticalDpi="300" r:id="rId2"/>
      <headerFooter alignWithMargins="0"/>
    </customSheetView>
  </customSheetViews>
  <mergeCells count="2">
    <mergeCell ref="B10:C10"/>
    <mergeCell ref="B16:D16"/>
  </mergeCells>
  <phoneticPr fontId="3"/>
  <pageMargins left="0.78740157480314965" right="0.59055118110236227" top="0.39370078740157483" bottom="0.59055118110236227" header="0.39370078740157483" footer="0.39370078740157483"/>
  <pageSetup paperSize="9" scale="120" orientation="portrait" horizontalDpi="300" verticalDpi="300"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L85"/>
  <sheetViews>
    <sheetView view="pageBreakPreview" topLeftCell="A15" zoomScaleNormal="100" zoomScaleSheetLayoutView="100" workbookViewId="0">
      <selection activeCell="O41" sqref="O41"/>
    </sheetView>
  </sheetViews>
  <sheetFormatPr defaultColWidth="8.875" defaultRowHeight="10.5"/>
  <cols>
    <col min="1" max="1" width="3.875" style="3" customWidth="1"/>
    <col min="2" max="3" width="7.375" style="3" customWidth="1"/>
    <col min="4" max="4" width="6.875" style="3" customWidth="1"/>
    <col min="5" max="5" width="6.375" style="3" customWidth="1"/>
    <col min="6" max="6" width="11.125" style="3" customWidth="1"/>
    <col min="7" max="7" width="6.875" style="3" customWidth="1"/>
    <col min="8" max="8" width="6.375" style="3" customWidth="1"/>
    <col min="9" max="9" width="11.125" style="3" customWidth="1"/>
    <col min="10" max="10" width="6.875" style="3" customWidth="1"/>
    <col min="11" max="11" width="6.375" style="3" customWidth="1"/>
    <col min="12" max="12" width="11.125" style="3" customWidth="1"/>
    <col min="13" max="16384" width="8.875" style="3"/>
  </cols>
  <sheetData>
    <row r="1" spans="1:12" ht="15" customHeight="1">
      <c r="A1" s="225" t="s">
        <v>206</v>
      </c>
      <c r="B1" s="11"/>
    </row>
    <row r="2" spans="1:12" ht="15" customHeight="1"/>
    <row r="3" spans="1:12" ht="15" customHeight="1">
      <c r="A3" s="477" t="s">
        <v>43</v>
      </c>
      <c r="B3" s="1352" t="str">
        <f ca="1">表紙!B7&amp;表紙!B8</f>
        <v>令和８年３月のＣＩ(令和２年＝100)は、先行指数： 156.2、一致指数： 145.7、遅行指数： 116.5となった。</v>
      </c>
      <c r="C3" s="1352"/>
      <c r="D3" s="1352"/>
      <c r="E3" s="1352"/>
      <c r="F3" s="1352"/>
      <c r="G3" s="1352"/>
      <c r="H3" s="1352"/>
      <c r="I3" s="1352"/>
      <c r="J3" s="1352"/>
      <c r="K3" s="1352"/>
      <c r="L3" s="1352"/>
    </row>
    <row r="4" spans="1:12" ht="15" customHeight="1">
      <c r="A4" s="226"/>
      <c r="B4" s="1353"/>
      <c r="C4" s="1353"/>
      <c r="D4" s="1353"/>
      <c r="E4" s="1353"/>
      <c r="F4" s="1353"/>
      <c r="G4" s="1353"/>
      <c r="H4" s="1353"/>
      <c r="I4" s="1353"/>
      <c r="J4" s="1353"/>
      <c r="K4" s="1353"/>
      <c r="L4" s="1353"/>
    </row>
    <row r="5" spans="1:12" ht="15" customHeight="1" thickBot="1">
      <c r="A5" s="227"/>
      <c r="B5" s="228"/>
      <c r="C5" s="228"/>
      <c r="D5" s="228"/>
      <c r="E5" s="228"/>
      <c r="F5" s="228"/>
      <c r="G5" s="228"/>
      <c r="H5" s="228"/>
      <c r="I5" s="228"/>
      <c r="J5" s="228"/>
      <c r="K5" s="1160" t="str">
        <f>初期登録!F15</f>
        <v>(令和２年=100)</v>
      </c>
      <c r="L5" s="1156"/>
    </row>
    <row r="6" spans="1:12" ht="18" customHeight="1">
      <c r="A6" s="227"/>
      <c r="B6" s="1370"/>
      <c r="C6" s="1371"/>
      <c r="D6" s="1358" t="str">
        <f>表紙!D12</f>
        <v>令和８年３月</v>
      </c>
      <c r="E6" s="1359"/>
      <c r="F6" s="1360"/>
      <c r="G6" s="1359" t="s">
        <v>281</v>
      </c>
      <c r="H6" s="1359"/>
      <c r="I6" s="1359"/>
      <c r="J6" s="1358" t="s">
        <v>282</v>
      </c>
      <c r="K6" s="1359"/>
      <c r="L6" s="1359"/>
    </row>
    <row r="7" spans="1:12" ht="15" customHeight="1">
      <c r="A7" s="227"/>
      <c r="B7" s="1372"/>
      <c r="C7" s="1373"/>
      <c r="D7" s="1354"/>
      <c r="E7" s="751" t="s">
        <v>319</v>
      </c>
      <c r="F7" s="1361" t="s">
        <v>287</v>
      </c>
      <c r="G7" s="1354"/>
      <c r="H7" s="751" t="s">
        <v>320</v>
      </c>
      <c r="I7" s="1361" t="s">
        <v>287</v>
      </c>
      <c r="J7" s="1354"/>
      <c r="K7" s="751" t="s">
        <v>320</v>
      </c>
      <c r="L7" s="1356" t="s">
        <v>287</v>
      </c>
    </row>
    <row r="8" spans="1:12" ht="15" customHeight="1" thickBot="1">
      <c r="A8" s="227"/>
      <c r="B8" s="1374"/>
      <c r="C8" s="1375"/>
      <c r="D8" s="1355"/>
      <c r="E8" s="229" t="s">
        <v>286</v>
      </c>
      <c r="F8" s="1362"/>
      <c r="G8" s="1355"/>
      <c r="H8" s="229" t="s">
        <v>286</v>
      </c>
      <c r="I8" s="1362"/>
      <c r="J8" s="1355"/>
      <c r="K8" s="229" t="s">
        <v>286</v>
      </c>
      <c r="L8" s="1357"/>
    </row>
    <row r="9" spans="1:12" ht="30" customHeight="1">
      <c r="A9" s="227"/>
      <c r="B9" s="1368" t="s">
        <v>826</v>
      </c>
      <c r="C9" s="1369"/>
      <c r="D9" s="877">
        <f ca="1">表紙!D15</f>
        <v>156.19999999999999</v>
      </c>
      <c r="E9" s="807">
        <f ca="1">表紙!E15</f>
        <v>0.5</v>
      </c>
      <c r="F9" s="1124" t="str">
        <f>表紙!F15</f>
        <v>２か月ぶりの
上昇</v>
      </c>
      <c r="G9" s="803">
        <f ca="1">表紙!G15</f>
        <v>156.79999999999998</v>
      </c>
      <c r="H9" s="806">
        <f ca="1">表紙!H15</f>
        <v>0.79999999999998295</v>
      </c>
      <c r="I9" s="1127" t="str">
        <f>表紙!I15</f>
        <v>６か月連続の
上昇</v>
      </c>
      <c r="J9" s="803">
        <f ca="1">表紙!J15</f>
        <v>153.45714285714286</v>
      </c>
      <c r="K9" s="806">
        <f ca="1">表紙!K15</f>
        <v>1.585714285714289</v>
      </c>
      <c r="L9" s="1127" t="str">
        <f>表紙!L15</f>
        <v>４か月連続の
上昇</v>
      </c>
    </row>
    <row r="10" spans="1:12" ht="30" customHeight="1">
      <c r="A10" s="227"/>
      <c r="B10" s="1368" t="s">
        <v>284</v>
      </c>
      <c r="C10" s="1369"/>
      <c r="D10" s="804">
        <f ca="1">表紙!D16</f>
        <v>145.69999999999999</v>
      </c>
      <c r="E10" s="401">
        <f ca="1">表紙!E16</f>
        <v>1</v>
      </c>
      <c r="F10" s="1125" t="str">
        <f>表紙!F16</f>
        <v>３か月連続の
上昇</v>
      </c>
      <c r="G10" s="804">
        <f ca="1">表紙!G16</f>
        <v>143.79999999999998</v>
      </c>
      <c r="H10" s="230">
        <f ca="1">表紙!H16</f>
        <v>5.0666666666666629</v>
      </c>
      <c r="I10" s="1128" t="str">
        <f>表紙!I16</f>
        <v>３か月連続の
上昇</v>
      </c>
      <c r="J10" s="804">
        <f ca="1">表紙!J16</f>
        <v>137.94285714285715</v>
      </c>
      <c r="K10" s="230">
        <f ca="1">表紙!K16</f>
        <v>1.8142857142857167</v>
      </c>
      <c r="L10" s="1128" t="str">
        <f>表紙!L16</f>
        <v>３か月連続の
上昇</v>
      </c>
    </row>
    <row r="11" spans="1:12" ht="30" customHeight="1" thickBot="1">
      <c r="A11" s="231"/>
      <c r="B11" s="1366" t="s">
        <v>285</v>
      </c>
      <c r="C11" s="1367"/>
      <c r="D11" s="805">
        <f ca="1">表紙!D17</f>
        <v>116.5</v>
      </c>
      <c r="E11" s="432">
        <f ca="1">表紙!E17</f>
        <v>3.5999999999999943</v>
      </c>
      <c r="F11" s="1126" t="str">
        <f>表紙!F17</f>
        <v>４か月ぶりの
上昇</v>
      </c>
      <c r="G11" s="805">
        <f ca="1">表紙!G17</f>
        <v>114.7</v>
      </c>
      <c r="H11" s="431">
        <f ca="1">表紙!H17</f>
        <v>-1.9333333333333229</v>
      </c>
      <c r="I11" s="1129" t="str">
        <f>表紙!I17</f>
        <v>３か月連続の
下降</v>
      </c>
      <c r="J11" s="805">
        <f ca="1">表紙!J17</f>
        <v>118.94285714285715</v>
      </c>
      <c r="K11" s="431">
        <f ca="1">表紙!K17</f>
        <v>-0.22857142857142776</v>
      </c>
      <c r="L11" s="1129" t="str">
        <f>表紙!L17</f>
        <v>11か月連続の
下降</v>
      </c>
    </row>
    <row r="12" spans="1:12" ht="15" customHeight="1">
      <c r="A12" s="231"/>
      <c r="B12" s="389"/>
      <c r="C12" s="389"/>
      <c r="D12" s="516"/>
      <c r="E12" s="516"/>
      <c r="F12" s="518"/>
      <c r="G12" s="516"/>
      <c r="H12" s="517"/>
      <c r="I12" s="518"/>
      <c r="J12" s="516"/>
      <c r="K12" s="517"/>
      <c r="L12" s="518"/>
    </row>
    <row r="13" spans="1:12" ht="15" customHeight="1">
      <c r="A13" s="476" t="s">
        <v>44</v>
      </c>
      <c r="B13" s="383" t="s">
        <v>48</v>
      </c>
      <c r="C13" s="227"/>
      <c r="D13" s="227"/>
      <c r="E13" s="227"/>
      <c r="F13" s="227"/>
      <c r="G13" s="227"/>
      <c r="H13" s="227"/>
      <c r="I13" s="227"/>
      <c r="J13" s="227"/>
      <c r="K13" s="227"/>
      <c r="L13" s="227"/>
    </row>
    <row r="14" spans="1:12" ht="15" customHeight="1">
      <c r="A14" s="382"/>
      <c r="B14" s="383" t="str">
        <f>表紙!B9</f>
        <v>景気動向指数（ＣＩ一致指数）は、上方への局面変化を示している。</v>
      </c>
      <c r="C14" s="227"/>
      <c r="D14" s="227"/>
      <c r="E14" s="227"/>
      <c r="F14" s="227"/>
      <c r="G14" s="383"/>
      <c r="H14" s="227"/>
      <c r="I14" s="227"/>
      <c r="J14" s="227"/>
      <c r="K14" s="227"/>
      <c r="L14" s="227"/>
    </row>
    <row r="15" spans="1:12" ht="15" customHeight="1">
      <c r="A15" s="221"/>
      <c r="B15" s="221"/>
      <c r="C15" s="227"/>
      <c r="D15" s="227"/>
      <c r="E15" s="227"/>
      <c r="F15" s="227"/>
      <c r="G15" s="227"/>
      <c r="H15" s="227"/>
      <c r="I15" s="227"/>
      <c r="J15" s="227"/>
      <c r="K15" s="227"/>
      <c r="L15" s="227"/>
    </row>
    <row r="16" spans="1:12" ht="15" customHeight="1">
      <c r="A16" s="476" t="s">
        <v>45</v>
      </c>
      <c r="B16" s="383" t="s">
        <v>49</v>
      </c>
      <c r="C16" s="227"/>
      <c r="D16" s="227"/>
      <c r="E16" s="227"/>
      <c r="F16" s="227"/>
      <c r="G16" s="227"/>
      <c r="H16" s="227"/>
      <c r="I16" s="227"/>
      <c r="J16" s="227"/>
      <c r="K16" s="227"/>
      <c r="L16" s="227"/>
    </row>
    <row r="17" spans="1:12" ht="15" customHeight="1">
      <c r="A17" s="227"/>
      <c r="B17" s="227"/>
      <c r="C17" s="227"/>
      <c r="D17" s="227"/>
      <c r="E17" s="227"/>
      <c r="F17" s="227"/>
      <c r="G17" s="227"/>
      <c r="H17" s="227"/>
      <c r="I17" s="227"/>
      <c r="J17" s="227"/>
      <c r="K17" s="1159" t="str">
        <f>初期登録!F15</f>
        <v>(令和２年=100)</v>
      </c>
      <c r="L17" s="1156"/>
    </row>
    <row r="18" spans="1:12" ht="15" customHeight="1">
      <c r="A18" s="221"/>
      <c r="B18" s="221"/>
      <c r="C18" s="227"/>
      <c r="D18" s="227"/>
      <c r="E18" s="227"/>
      <c r="F18" s="227"/>
      <c r="G18" s="227"/>
      <c r="H18" s="227"/>
      <c r="I18" s="227"/>
      <c r="J18" s="227"/>
      <c r="K18" s="227"/>
      <c r="L18" s="227"/>
    </row>
    <row r="19" spans="1:12" ht="15" customHeight="1">
      <c r="A19" s="221"/>
      <c r="B19" s="221"/>
      <c r="C19" s="227"/>
      <c r="D19" s="227"/>
      <c r="E19" s="227"/>
      <c r="F19" s="227"/>
      <c r="G19" s="227"/>
      <c r="H19" s="227"/>
      <c r="I19" s="227"/>
      <c r="J19" s="227"/>
      <c r="K19" s="227"/>
      <c r="L19" s="227"/>
    </row>
    <row r="20" spans="1:12" ht="15" customHeight="1">
      <c r="A20" s="221"/>
      <c r="B20" s="221"/>
      <c r="C20" s="227"/>
      <c r="D20" s="227"/>
      <c r="E20" s="227"/>
      <c r="F20" s="227"/>
      <c r="G20" s="227"/>
      <c r="H20" s="227"/>
      <c r="I20" s="227"/>
      <c r="J20" s="227"/>
      <c r="K20" s="227"/>
      <c r="L20" s="227"/>
    </row>
    <row r="21" spans="1:12" ht="15" customHeight="1">
      <c r="A21" s="221"/>
      <c r="B21" s="221"/>
      <c r="C21" s="227"/>
      <c r="D21" s="227"/>
      <c r="E21" s="227"/>
      <c r="F21" s="227"/>
      <c r="G21" s="227"/>
      <c r="H21" s="227"/>
      <c r="I21" s="227"/>
      <c r="J21" s="227"/>
      <c r="K21" s="227"/>
      <c r="L21" s="227"/>
    </row>
    <row r="22" spans="1:12" ht="15" customHeight="1">
      <c r="A22" s="221"/>
      <c r="B22" s="221"/>
      <c r="C22" s="227"/>
      <c r="D22" s="227"/>
      <c r="E22" s="227"/>
      <c r="F22" s="227"/>
      <c r="G22" s="227"/>
      <c r="H22" s="227"/>
      <c r="I22" s="227"/>
      <c r="J22" s="227"/>
      <c r="K22" s="227"/>
      <c r="L22" s="227"/>
    </row>
    <row r="23" spans="1:12" ht="15" customHeight="1">
      <c r="A23" s="221"/>
      <c r="B23" s="221"/>
      <c r="C23" s="227"/>
      <c r="D23" s="227"/>
      <c r="E23" s="227"/>
      <c r="F23" s="227"/>
      <c r="G23" s="227"/>
      <c r="H23" s="227"/>
      <c r="I23" s="227"/>
      <c r="J23" s="227"/>
      <c r="K23" s="227"/>
      <c r="L23" s="227"/>
    </row>
    <row r="24" spans="1:12" ht="15" customHeight="1">
      <c r="A24" s="221"/>
      <c r="B24" s="221"/>
      <c r="C24" s="227"/>
      <c r="D24" s="227"/>
      <c r="E24" s="227"/>
      <c r="F24" s="227"/>
      <c r="G24" s="227"/>
      <c r="H24" s="227"/>
      <c r="I24" s="227"/>
      <c r="J24" s="227"/>
      <c r="K24" s="227"/>
      <c r="L24" s="227"/>
    </row>
    <row r="25" spans="1:12" ht="15" customHeight="1">
      <c r="A25" s="221"/>
      <c r="B25" s="221"/>
      <c r="C25" s="227"/>
      <c r="D25" s="227"/>
      <c r="E25" s="227"/>
      <c r="F25" s="227"/>
      <c r="G25" s="227"/>
      <c r="H25" s="227"/>
      <c r="I25" s="227"/>
      <c r="J25" s="227"/>
      <c r="K25" s="227"/>
      <c r="L25" s="227"/>
    </row>
    <row r="26" spans="1:12" ht="15" customHeight="1">
      <c r="A26" s="221"/>
      <c r="B26" s="221"/>
      <c r="C26" s="227"/>
      <c r="D26" s="227"/>
      <c r="E26" s="227"/>
      <c r="F26" s="227"/>
      <c r="G26" s="227"/>
      <c r="H26" s="227"/>
      <c r="I26" s="227"/>
      <c r="J26" s="227"/>
      <c r="K26" s="227"/>
      <c r="L26" s="227"/>
    </row>
    <row r="27" spans="1:12" ht="15" customHeight="1">
      <c r="A27" s="221"/>
      <c r="B27" s="221"/>
      <c r="C27" s="227"/>
      <c r="D27" s="227"/>
      <c r="E27" s="227"/>
      <c r="F27" s="227"/>
      <c r="G27" s="227"/>
      <c r="H27" s="227"/>
      <c r="I27" s="227"/>
      <c r="J27" s="227"/>
      <c r="K27" s="227"/>
      <c r="L27" s="227"/>
    </row>
    <row r="28" spans="1:12" ht="15" customHeight="1">
      <c r="A28" s="221"/>
      <c r="B28" s="221"/>
      <c r="C28" s="227"/>
      <c r="D28" s="227"/>
      <c r="E28" s="227"/>
      <c r="F28" s="227"/>
      <c r="G28" s="227"/>
      <c r="H28" s="227"/>
      <c r="I28" s="227"/>
      <c r="J28" s="227"/>
      <c r="K28" s="227"/>
      <c r="L28" s="227"/>
    </row>
    <row r="29" spans="1:12" ht="15" customHeight="1">
      <c r="A29" s="221"/>
      <c r="B29" s="221"/>
      <c r="C29" s="227"/>
      <c r="D29" s="227"/>
      <c r="E29" s="227"/>
      <c r="F29" s="227"/>
      <c r="G29" s="227"/>
      <c r="H29" s="227"/>
      <c r="I29" s="227"/>
      <c r="J29" s="227"/>
      <c r="K29" s="227"/>
      <c r="L29" s="227"/>
    </row>
    <row r="30" spans="1:12" ht="15" customHeight="1">
      <c r="A30" s="221"/>
      <c r="B30" s="221"/>
      <c r="C30" s="227"/>
      <c r="D30" s="227"/>
      <c r="E30" s="227"/>
      <c r="F30" s="227"/>
      <c r="G30" s="227"/>
      <c r="H30" s="227"/>
      <c r="I30" s="227"/>
      <c r="J30" s="227"/>
      <c r="K30" s="227"/>
      <c r="L30" s="227"/>
    </row>
    <row r="31" spans="1:12" ht="15" customHeight="1">
      <c r="A31" s="221"/>
      <c r="B31" s="221"/>
      <c r="C31" s="227"/>
      <c r="D31" s="227"/>
      <c r="E31" s="227"/>
      <c r="F31" s="227"/>
      <c r="G31" s="227"/>
      <c r="H31" s="227"/>
      <c r="I31" s="227"/>
      <c r="J31" s="227"/>
      <c r="K31" s="227"/>
      <c r="L31" s="227"/>
    </row>
    <row r="32" spans="1:12" ht="15" customHeight="1">
      <c r="A32" s="221"/>
      <c r="B32" s="221"/>
      <c r="C32" s="227"/>
      <c r="D32" s="227"/>
      <c r="E32" s="227"/>
      <c r="F32" s="227"/>
      <c r="G32" s="227"/>
      <c r="H32" s="227"/>
      <c r="I32" s="227"/>
      <c r="J32" s="227"/>
      <c r="K32" s="227"/>
      <c r="L32" s="227"/>
    </row>
    <row r="33" spans="1:12" ht="15" customHeight="1">
      <c r="A33" s="221"/>
      <c r="B33" s="221"/>
      <c r="C33" s="227"/>
      <c r="D33" s="227"/>
      <c r="E33" s="227"/>
      <c r="F33" s="227"/>
      <c r="G33" s="227"/>
      <c r="H33" s="227"/>
      <c r="I33" s="227"/>
      <c r="J33" s="227"/>
      <c r="K33" s="227"/>
      <c r="L33" s="227"/>
    </row>
    <row r="34" spans="1:12" ht="15" customHeight="1">
      <c r="A34" s="221"/>
      <c r="B34" s="221"/>
      <c r="C34" s="227"/>
      <c r="D34" s="227"/>
      <c r="E34" s="227"/>
      <c r="F34" s="227"/>
      <c r="G34" s="227"/>
      <c r="H34" s="227"/>
      <c r="I34" s="227"/>
      <c r="J34" s="227"/>
      <c r="K34" s="227"/>
      <c r="L34" s="227"/>
    </row>
    <row r="35" spans="1:12" ht="15" customHeight="1">
      <c r="A35" s="221"/>
      <c r="B35" s="221"/>
      <c r="C35" s="227"/>
      <c r="D35" s="227"/>
      <c r="E35" s="227"/>
      <c r="F35" s="227"/>
      <c r="G35" s="227"/>
      <c r="H35" s="227"/>
      <c r="I35" s="227"/>
      <c r="J35" s="227"/>
      <c r="K35" s="227"/>
      <c r="L35" s="227"/>
    </row>
    <row r="36" spans="1:12" ht="15" customHeight="1">
      <c r="A36" s="227"/>
      <c r="B36" s="227"/>
      <c r="C36" s="227"/>
      <c r="D36" s="227"/>
      <c r="E36" s="227"/>
      <c r="F36" s="227"/>
      <c r="G36" s="227"/>
      <c r="H36" s="227"/>
      <c r="I36" s="227"/>
      <c r="J36" s="227"/>
      <c r="K36" s="227"/>
      <c r="L36" s="227"/>
    </row>
    <row r="37" spans="1:12" ht="15" customHeight="1">
      <c r="A37" s="227"/>
      <c r="B37" s="227"/>
      <c r="C37" s="227"/>
      <c r="D37" s="227"/>
      <c r="E37" s="227"/>
      <c r="F37" s="227"/>
      <c r="G37" s="227"/>
      <c r="H37" s="227"/>
      <c r="I37" s="227"/>
      <c r="J37" s="227"/>
      <c r="K37" s="227"/>
    </row>
    <row r="38" spans="1:12" ht="15" customHeight="1">
      <c r="A38" s="476" t="s">
        <v>46</v>
      </c>
      <c r="B38" s="383" t="s">
        <v>50</v>
      </c>
      <c r="C38" s="227"/>
      <c r="D38" s="227"/>
      <c r="E38" s="227"/>
      <c r="F38" s="227"/>
      <c r="G38" s="227"/>
      <c r="H38" s="227"/>
      <c r="I38" s="227"/>
      <c r="J38" s="227"/>
      <c r="K38" s="227"/>
      <c r="L38" s="227"/>
    </row>
    <row r="39" spans="1:12" ht="15" customHeight="1">
      <c r="A39" s="231"/>
      <c r="B39" s="221"/>
      <c r="C39" s="227"/>
      <c r="D39" s="227"/>
      <c r="E39" s="227"/>
      <c r="F39" s="227"/>
      <c r="G39" s="227"/>
      <c r="H39" s="227"/>
      <c r="I39" s="227"/>
      <c r="J39" s="227"/>
      <c r="K39" s="227"/>
      <c r="L39" s="227"/>
    </row>
    <row r="40" spans="1:12" s="221" customFormat="1" ht="15" customHeight="1">
      <c r="B40" s="1364" t="s">
        <v>207</v>
      </c>
      <c r="C40" s="1365"/>
      <c r="D40" s="1365"/>
      <c r="E40" s="1365"/>
      <c r="F40" s="1290" t="s">
        <v>136</v>
      </c>
      <c r="G40" s="1364" t="s">
        <v>208</v>
      </c>
      <c r="H40" s="1364"/>
      <c r="I40" s="1364"/>
      <c r="J40" s="1376" t="s">
        <v>136</v>
      </c>
      <c r="K40" s="1377"/>
      <c r="L40" s="227"/>
    </row>
    <row r="41" spans="1:12" s="221" customFormat="1" ht="15" customHeight="1">
      <c r="B41" s="687" t="s">
        <v>811</v>
      </c>
      <c r="E41" s="1303"/>
      <c r="F41" s="1313">
        <f ca="1">'P3.CI一致'!$H$36</f>
        <v>2.6</v>
      </c>
      <c r="G41" s="687" t="s">
        <v>813</v>
      </c>
      <c r="I41" s="1303"/>
      <c r="J41" s="1340">
        <f ca="1">'P3.CI一致'!$H$32</f>
        <v>-2.4</v>
      </c>
      <c r="K41" s="1314"/>
      <c r="L41" s="227"/>
    </row>
    <row r="42" spans="1:12" s="221" customFormat="1" ht="15" customHeight="1">
      <c r="B42" s="687" t="s">
        <v>810</v>
      </c>
      <c r="E42" s="1303"/>
      <c r="F42" s="1340">
        <f ca="1">'P3.CI一致'!$H$42</f>
        <v>1.2</v>
      </c>
      <c r="G42" s="687" t="s">
        <v>814</v>
      </c>
      <c r="I42" s="1303"/>
      <c r="J42" s="1340">
        <f ca="1">'P3.CI一致'!$H$30</f>
        <v>-1.319</v>
      </c>
      <c r="K42" s="1314"/>
      <c r="L42" s="227"/>
    </row>
    <row r="43" spans="1:12" s="221" customFormat="1" ht="15" customHeight="1">
      <c r="B43" s="687" t="s">
        <v>808</v>
      </c>
      <c r="E43" s="1303"/>
      <c r="F43" s="1340">
        <f ca="1">'P3.CI一致'!$H$38</f>
        <v>1.1000000000000001</v>
      </c>
      <c r="G43" s="687" t="s">
        <v>809</v>
      </c>
      <c r="I43" s="1303"/>
      <c r="J43" s="1340">
        <f ca="1">'P3.CI一致'!$H$40</f>
        <v>-0.4</v>
      </c>
      <c r="K43" s="1314"/>
      <c r="L43" s="227"/>
    </row>
    <row r="44" spans="1:12" s="221" customFormat="1" ht="15" customHeight="1">
      <c r="B44" s="687" t="s">
        <v>806</v>
      </c>
      <c r="E44" s="1303"/>
      <c r="F44" s="1340">
        <f ca="1">'P3.CI一致'!$H$44</f>
        <v>0.4</v>
      </c>
      <c r="G44" s="687" t="s">
        <v>812</v>
      </c>
      <c r="I44" s="1303"/>
      <c r="J44" s="1340">
        <f ca="1">'P3.CI一致'!$H$34</f>
        <v>-0.3</v>
      </c>
      <c r="K44" s="1314"/>
      <c r="L44" s="227"/>
    </row>
    <row r="45" spans="1:12" s="221" customFormat="1" ht="15" customHeight="1">
      <c r="B45" s="687"/>
      <c r="E45" s="1303"/>
      <c r="G45" s="687"/>
      <c r="I45" s="1303"/>
      <c r="K45" s="1314"/>
      <c r="L45" s="227"/>
    </row>
    <row r="46" spans="1:12" s="221" customFormat="1" ht="15" customHeight="1">
      <c r="B46" s="687"/>
      <c r="E46" s="1303"/>
      <c r="G46" s="687"/>
      <c r="I46" s="1303"/>
      <c r="K46" s="1314"/>
      <c r="L46" s="227"/>
    </row>
    <row r="47" spans="1:12" s="221" customFormat="1" ht="15" customHeight="1">
      <c r="B47" s="687"/>
      <c r="E47" s="1303"/>
      <c r="G47" s="687"/>
      <c r="I47" s="1303"/>
      <c r="K47" s="1314"/>
      <c r="L47" s="227"/>
    </row>
    <row r="48" spans="1:12" s="221" customFormat="1" ht="15" customHeight="1">
      <c r="B48" s="1002"/>
      <c r="C48" s="766"/>
      <c r="D48" s="766"/>
      <c r="E48" s="767"/>
      <c r="F48" s="1304"/>
      <c r="G48" s="1002"/>
      <c r="H48" s="766"/>
      <c r="I48" s="767"/>
      <c r="J48" s="1291"/>
      <c r="K48" s="1130"/>
      <c r="L48" s="227"/>
    </row>
    <row r="49" spans="1:12" s="221" customFormat="1" ht="15" customHeight="1">
      <c r="B49" s="9" t="s">
        <v>800</v>
      </c>
      <c r="L49" s="227"/>
    </row>
    <row r="50" spans="1:12" s="9" customFormat="1" ht="15" customHeight="1">
      <c r="A50" s="221"/>
      <c r="B50" s="221"/>
      <c r="L50" s="227"/>
    </row>
    <row r="51" spans="1:12" ht="15" customHeight="1">
      <c r="A51" s="227"/>
    </row>
    <row r="52" spans="1:12" ht="15" customHeight="1">
      <c r="A52" s="227"/>
      <c r="B52" s="1269"/>
    </row>
    <row r="53" spans="1:12" ht="12.6" customHeight="1">
      <c r="B53" s="221"/>
      <c r="C53" s="221"/>
      <c r="D53" s="221"/>
      <c r="E53" s="221"/>
      <c r="G53" s="9"/>
      <c r="H53" s="9"/>
      <c r="I53" s="9"/>
      <c r="J53" s="9"/>
      <c r="K53" s="9"/>
    </row>
    <row r="54" spans="1:12" ht="12.6" customHeight="1">
      <c r="B54" s="221"/>
      <c r="C54" s="221"/>
      <c r="D54" s="221"/>
      <c r="E54" s="221"/>
    </row>
    <row r="55" spans="1:12" ht="12.6" customHeight="1">
      <c r="B55" s="221"/>
      <c r="C55" s="221"/>
      <c r="D55" s="221"/>
      <c r="E55" s="221"/>
      <c r="F55" s="221"/>
    </row>
    <row r="56" spans="1:12" ht="12.6" customHeight="1"/>
    <row r="57" spans="1:12" ht="12.6" customHeight="1"/>
    <row r="58" spans="1:12" ht="12.6" customHeight="1">
      <c r="B58" s="221"/>
      <c r="C58" s="221"/>
      <c r="D58" s="221"/>
      <c r="E58" s="221"/>
      <c r="F58" s="221"/>
    </row>
    <row r="59" spans="1:12" ht="12.6" customHeight="1">
      <c r="B59" s="221"/>
      <c r="C59" s="221"/>
      <c r="D59" s="221"/>
      <c r="E59" s="221"/>
      <c r="F59" s="221"/>
    </row>
    <row r="60" spans="1:12" ht="12.6" customHeight="1">
      <c r="B60" s="9"/>
      <c r="C60" s="9"/>
      <c r="D60" s="9"/>
      <c r="E60" s="9"/>
      <c r="F60" s="9"/>
      <c r="G60" s="221"/>
      <c r="H60" s="221"/>
      <c r="I60" s="221"/>
      <c r="J60" s="221"/>
      <c r="K60" s="221"/>
    </row>
    <row r="61" spans="1:12" ht="12.6" customHeight="1">
      <c r="B61" s="9"/>
      <c r="C61" s="9"/>
      <c r="D61" s="9"/>
      <c r="E61" s="9"/>
      <c r="F61" s="9"/>
      <c r="G61" s="221"/>
      <c r="H61" s="221"/>
      <c r="I61" s="221"/>
      <c r="J61" s="221"/>
      <c r="K61" s="221"/>
    </row>
    <row r="62" spans="1:12" ht="12.6" customHeight="1">
      <c r="B62" s="221"/>
      <c r="C62" s="221"/>
      <c r="D62" s="221"/>
      <c r="E62" s="221"/>
      <c r="F62" s="221"/>
    </row>
    <row r="63" spans="1:12" ht="12.6" customHeight="1">
      <c r="B63" s="221"/>
      <c r="C63" s="221"/>
      <c r="D63" s="221"/>
      <c r="E63" s="221"/>
      <c r="F63" s="221"/>
      <c r="G63" s="221"/>
      <c r="H63" s="221"/>
      <c r="I63" s="221"/>
      <c r="J63" s="221"/>
      <c r="K63" s="221"/>
    </row>
    <row r="64" spans="1:12" ht="12.6" customHeight="1">
      <c r="G64" s="1363"/>
      <c r="H64" s="1363"/>
      <c r="I64" s="1363"/>
      <c r="J64" s="440"/>
      <c r="K64" s="222"/>
    </row>
    <row r="65" spans="2:11" ht="12.6" customHeight="1">
      <c r="B65" s="221"/>
      <c r="C65" s="221"/>
      <c r="D65" s="221"/>
      <c r="E65" s="221"/>
      <c r="F65" s="222"/>
      <c r="G65" s="570"/>
      <c r="H65" s="570"/>
      <c r="I65" s="570"/>
      <c r="J65" s="440"/>
      <c r="K65" s="440"/>
    </row>
    <row r="66" spans="2:11" ht="12.6" customHeight="1">
      <c r="B66" s="221"/>
      <c r="C66" s="221"/>
      <c r="D66" s="221"/>
      <c r="E66" s="221"/>
      <c r="F66" s="566"/>
      <c r="G66" s="1363"/>
      <c r="H66" s="1363"/>
      <c r="I66" s="1363"/>
      <c r="J66" s="222"/>
      <c r="K66" s="222"/>
    </row>
    <row r="67" spans="2:11" ht="12.6" customHeight="1">
      <c r="B67" s="221"/>
      <c r="C67" s="221"/>
      <c r="D67" s="221"/>
      <c r="E67" s="221"/>
      <c r="F67" s="222"/>
      <c r="G67" s="1363"/>
      <c r="H67" s="1363"/>
      <c r="I67" s="1363"/>
      <c r="J67" s="222"/>
      <c r="K67" s="222"/>
    </row>
    <row r="68" spans="2:11" ht="12.6" customHeight="1">
      <c r="B68" s="570"/>
      <c r="C68" s="570"/>
      <c r="D68" s="570"/>
      <c r="E68" s="570"/>
      <c r="F68" s="566"/>
      <c r="G68" s="1363"/>
      <c r="H68" s="1363"/>
      <c r="I68" s="1363"/>
      <c r="J68" s="440"/>
      <c r="K68" s="222"/>
    </row>
    <row r="69" spans="2:11" ht="12.6" customHeight="1">
      <c r="B69" s="570"/>
      <c r="C69" s="570"/>
      <c r="D69" s="570"/>
      <c r="E69" s="570"/>
      <c r="F69" s="440"/>
      <c r="G69" s="1363"/>
      <c r="H69" s="1363"/>
      <c r="I69" s="1363"/>
      <c r="J69" s="222"/>
    </row>
    <row r="70" spans="2:11" ht="12.6" customHeight="1">
      <c r="F70" s="227"/>
      <c r="G70" s="1363"/>
      <c r="H70" s="1363"/>
      <c r="I70" s="1363"/>
      <c r="J70" s="222"/>
    </row>
    <row r="71" spans="2:11" ht="12.6" customHeight="1">
      <c r="B71" s="227"/>
      <c r="C71" s="227"/>
      <c r="D71" s="227"/>
      <c r="F71" s="227"/>
      <c r="G71" s="1363"/>
      <c r="H71" s="1363"/>
      <c r="I71" s="1363"/>
      <c r="J71" s="222"/>
    </row>
    <row r="72" spans="2:11" ht="12.6" customHeight="1">
      <c r="B72" s="227"/>
      <c r="C72" s="227"/>
      <c r="D72" s="227"/>
      <c r="H72" s="232"/>
      <c r="I72" s="232"/>
      <c r="J72" s="433"/>
    </row>
    <row r="73" spans="2:11" ht="12.6" customHeight="1">
      <c r="B73" s="221"/>
      <c r="C73" s="227"/>
      <c r="D73" s="227"/>
      <c r="G73" s="227"/>
    </row>
    <row r="74" spans="2:11" ht="12.6" customHeight="1">
      <c r="B74" s="227"/>
      <c r="G74" s="232"/>
    </row>
    <row r="75" spans="2:11" ht="12.6" customHeight="1">
      <c r="B75" s="227"/>
      <c r="C75" s="201"/>
      <c r="D75" s="201"/>
    </row>
    <row r="76" spans="2:11" ht="12.6" customHeight="1">
      <c r="C76" s="201"/>
      <c r="D76" s="201"/>
    </row>
    <row r="77" spans="2:11" ht="12.6" customHeight="1"/>
    <row r="78" spans="2:11" ht="12.6" customHeight="1"/>
    <row r="79" spans="2:11" ht="12.6" customHeight="1"/>
    <row r="80" spans="2:11" ht="12.6" customHeight="1"/>
    <row r="81" ht="12.6" customHeight="1"/>
    <row r="82" ht="12.6" customHeight="1"/>
    <row r="83" ht="12.6" customHeight="1"/>
    <row r="84" ht="12.6" customHeight="1"/>
    <row r="85" ht="12.6" customHeight="1"/>
  </sheetData>
  <customSheetViews>
    <customSheetView guid="{7EBA91D6-F088-446F-A1CC-E1462A1CA2C3}" showRuler="0" topLeftCell="A11">
      <selection activeCell="L29" sqref="L29"/>
      <pageMargins left="0.59055118110236227" right="0.19685039370078741" top="0.98425196850393704" bottom="0.98425196850393704" header="0.51181102362204722" footer="0.51181102362204722"/>
      <pageSetup paperSize="9" orientation="portrait" r:id="rId1"/>
      <headerFooter alignWithMargins="0">
        <oddFooter xml:space="preserve">&amp;C-1- </oddFooter>
      </headerFooter>
    </customSheetView>
    <customSheetView guid="{883B7A2B-3CB3-449D-A461-655262B722BC}" showRuler="0" topLeftCell="A11">
      <selection activeCell="L29" sqref="L29"/>
      <pageMargins left="0.59055118110236227" right="0.19685039370078741" top="0.98425196850393704" bottom="0.98425196850393704" header="0.51181102362204722" footer="0.51181102362204722"/>
      <pageSetup paperSize="9" orientation="portrait" r:id="rId2"/>
      <headerFooter alignWithMargins="0">
        <oddFooter xml:space="preserve">&amp;C-1- </oddFooter>
      </headerFooter>
    </customSheetView>
  </customSheetViews>
  <mergeCells count="25">
    <mergeCell ref="B11:C11"/>
    <mergeCell ref="B10:C10"/>
    <mergeCell ref="B6:C8"/>
    <mergeCell ref="J40:K40"/>
    <mergeCell ref="D7:D8"/>
    <mergeCell ref="G7:G8"/>
    <mergeCell ref="B9:C9"/>
    <mergeCell ref="G71:I71"/>
    <mergeCell ref="G67:I67"/>
    <mergeCell ref="G64:I64"/>
    <mergeCell ref="B40:E40"/>
    <mergeCell ref="G69:I69"/>
    <mergeCell ref="G40:I40"/>
    <mergeCell ref="G68:I68"/>
    <mergeCell ref="G66:I66"/>
    <mergeCell ref="G70:I70"/>
    <mergeCell ref="B3:L3"/>
    <mergeCell ref="B4:L4"/>
    <mergeCell ref="J7:J8"/>
    <mergeCell ref="L7:L8"/>
    <mergeCell ref="J6:L6"/>
    <mergeCell ref="D6:F6"/>
    <mergeCell ref="G6:I6"/>
    <mergeCell ref="I7:I8"/>
    <mergeCell ref="F7:F8"/>
  </mergeCells>
  <phoneticPr fontId="3"/>
  <conditionalFormatting sqref="F41:F44">
    <cfRule type="cellIs" dxfId="225" priority="4" stopIfTrue="1" operator="lessThan">
      <formula>0</formula>
    </cfRule>
  </conditionalFormatting>
  <conditionalFormatting sqref="F47:F48">
    <cfRule type="cellIs" dxfId="224" priority="11" stopIfTrue="1" operator="lessThan">
      <formula>0</formula>
    </cfRule>
  </conditionalFormatting>
  <conditionalFormatting sqref="J41:J44">
    <cfRule type="cellIs" dxfId="223" priority="2" stopIfTrue="1" operator="lessThan">
      <formula>0</formula>
    </cfRule>
  </conditionalFormatting>
  <conditionalFormatting sqref="U41:V41 U43:V46">
    <cfRule type="cellIs" dxfId="222" priority="39" stopIfTrue="1" operator="lessThan">
      <formula>0</formula>
    </cfRule>
  </conditionalFormatting>
  <pageMargins left="0.79" right="0.39" top="0.6" bottom="0.59055118110236227" header="0.41" footer="0.41"/>
  <pageSetup paperSize="9" orientation="portrait" horizontalDpi="300" verticalDpi="300" r:id="rId3"/>
  <headerFooter alignWithMargins="0">
    <oddFooter xml:space="preserve">&amp;C&amp;10-1- </oddFooter>
  </headerFooter>
  <rowBreaks count="1" manualBreakCount="1">
    <brk id="52" max="12"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J57"/>
  <sheetViews>
    <sheetView view="pageBreakPreview" topLeftCell="A16" zoomScaleNormal="100" zoomScaleSheetLayoutView="100" workbookViewId="0">
      <selection activeCell="C26" sqref="C26"/>
    </sheetView>
  </sheetViews>
  <sheetFormatPr defaultColWidth="8.875" defaultRowHeight="10.5"/>
  <cols>
    <col min="1" max="1" width="25.375" style="227" customWidth="1"/>
    <col min="2" max="2" width="16.375" style="227" customWidth="1"/>
    <col min="3" max="8" width="6.375" style="227" customWidth="1"/>
    <col min="9" max="9" width="4" style="227" customWidth="1"/>
    <col min="10" max="16384" width="8.875" style="227"/>
  </cols>
  <sheetData>
    <row r="1" spans="1:2" ht="15" customHeight="1">
      <c r="A1" s="225" t="s">
        <v>99</v>
      </c>
    </row>
    <row r="2" spans="1:2" ht="15" customHeight="1"/>
    <row r="3" spans="1:2" ht="15.95" customHeight="1">
      <c r="A3" s="383" t="s">
        <v>47</v>
      </c>
    </row>
    <row r="4" spans="1:2" ht="15" customHeight="1"/>
    <row r="5" spans="1:2" ht="15" customHeight="1"/>
    <row r="6" spans="1:2" ht="15" customHeight="1"/>
    <row r="7" spans="1:2" ht="15" customHeight="1"/>
    <row r="8" spans="1:2" ht="15" customHeight="1"/>
    <row r="9" spans="1:2" ht="15" customHeight="1">
      <c r="B9" s="1339"/>
    </row>
    <row r="10" spans="1:2" ht="15" customHeight="1"/>
    <row r="11" spans="1:2" ht="15" customHeight="1"/>
    <row r="12" spans="1:2" ht="15" customHeight="1"/>
    <row r="13" spans="1:2" ht="15" customHeight="1"/>
    <row r="14" spans="1:2" ht="15" customHeight="1"/>
    <row r="15" spans="1:2" ht="15" customHeight="1"/>
    <row r="16" spans="1:2" ht="15" customHeight="1"/>
    <row r="17" spans="1:10" ht="15" customHeight="1"/>
    <row r="18" spans="1:10" ht="15" customHeight="1"/>
    <row r="19" spans="1:10" ht="15" customHeight="1"/>
    <row r="20" spans="1:10" ht="15" customHeight="1"/>
    <row r="21" spans="1:10" ht="15" customHeight="1"/>
    <row r="22" spans="1:10" ht="15" customHeight="1"/>
    <row r="23" spans="1:10" ht="15" customHeight="1"/>
    <row r="24" spans="1:10" ht="15.95" customHeight="1" thickBot="1">
      <c r="A24" s="383" t="s">
        <v>51</v>
      </c>
      <c r="F24" s="238"/>
      <c r="G24" s="1154"/>
    </row>
    <row r="25" spans="1:10" ht="15" customHeight="1">
      <c r="A25" s="233"/>
      <c r="B25" s="234"/>
      <c r="C25" s="1293" t="s">
        <v>799</v>
      </c>
      <c r="D25" s="1292"/>
      <c r="E25" s="1255"/>
      <c r="F25" s="1325" t="s">
        <v>821</v>
      </c>
      <c r="G25" s="1325"/>
      <c r="H25" s="1325"/>
    </row>
    <row r="26" spans="1:10" ht="15" customHeight="1" thickBot="1">
      <c r="A26" s="235"/>
      <c r="B26" s="236"/>
      <c r="C26" s="1294" t="s">
        <v>191</v>
      </c>
      <c r="D26" s="1104" t="s">
        <v>192</v>
      </c>
      <c r="E26" s="1104" t="s">
        <v>193</v>
      </c>
      <c r="F26" s="1326" t="s">
        <v>851</v>
      </c>
      <c r="G26" s="1104" t="s">
        <v>852</v>
      </c>
      <c r="H26" s="1104" t="s">
        <v>853</v>
      </c>
    </row>
    <row r="27" spans="1:10" ht="15" customHeight="1">
      <c r="A27" s="459" t="s">
        <v>133</v>
      </c>
      <c r="B27" s="460"/>
      <c r="C27" s="1295">
        <f ca="1">グラフデータ!D418</f>
        <v>148.19999999999999</v>
      </c>
      <c r="D27" s="565">
        <f ca="1">グラフデータ!D419</f>
        <v>151.5</v>
      </c>
      <c r="E27" s="565">
        <f ca="1">グラフデータ!D420</f>
        <v>153.80000000000001</v>
      </c>
      <c r="F27" s="1327">
        <f ca="1">グラフデータ!D421</f>
        <v>158.5</v>
      </c>
      <c r="G27" s="565">
        <f ca="1">グラフデータ!D422</f>
        <v>155.69999999999999</v>
      </c>
      <c r="H27" s="565">
        <f ca="1">グラフデータ!D423</f>
        <v>156.19999999999999</v>
      </c>
      <c r="J27" s="780"/>
    </row>
    <row r="28" spans="1:10" ht="15" customHeight="1" thickBot="1">
      <c r="A28" s="461"/>
      <c r="B28" s="462" t="s">
        <v>65</v>
      </c>
      <c r="C28" s="1296">
        <f ca="1">グラフデータ!I418</f>
        <v>-2.1000000000000227</v>
      </c>
      <c r="D28" s="376">
        <f ca="1">グラフデータ!I419</f>
        <v>3.3000000000000114</v>
      </c>
      <c r="E28" s="376">
        <f ca="1">グラフデータ!I420</f>
        <v>2.3000000000000114</v>
      </c>
      <c r="F28" s="1328">
        <f ca="1">グラフデータ!I421</f>
        <v>4.6999999999999886</v>
      </c>
      <c r="G28" s="376">
        <f ca="1">グラフデータ!I422</f>
        <v>-2.8000000000000114</v>
      </c>
      <c r="H28" s="376">
        <f ca="1">グラフデータ!I423</f>
        <v>0.5</v>
      </c>
    </row>
    <row r="29" spans="1:10" ht="15" customHeight="1">
      <c r="A29" s="463" t="s">
        <v>310</v>
      </c>
      <c r="B29" s="468" t="s">
        <v>67</v>
      </c>
      <c r="C29" s="1297">
        <f ca="1">前月比データ!D481</f>
        <v>-5.0795462652493439</v>
      </c>
      <c r="D29" s="240">
        <f ca="1">前月比データ!D482</f>
        <v>-7.8548469921451538</v>
      </c>
      <c r="E29" s="240">
        <f ca="1">前月比データ!D483</f>
        <v>18.371731372531404</v>
      </c>
      <c r="F29" s="1329">
        <f ca="1">前月比データ!D484</f>
        <v>-6.2258593027105462</v>
      </c>
      <c r="G29" s="240">
        <f ca="1">前月比データ!D485</f>
        <v>-3.239161984810317</v>
      </c>
      <c r="H29" s="240">
        <f ca="1">前月比データ!D486</f>
        <v>2.5764722698684932</v>
      </c>
    </row>
    <row r="30" spans="1:10" ht="15" customHeight="1">
      <c r="A30" s="465" t="s">
        <v>481</v>
      </c>
      <c r="B30" s="466" t="s">
        <v>136</v>
      </c>
      <c r="C30" s="1298">
        <f ca="1">寄与度データ!E419</f>
        <v>-1.4</v>
      </c>
      <c r="D30" s="241">
        <f ca="1">寄与度データ!E420</f>
        <v>-2.1</v>
      </c>
      <c r="E30" s="241">
        <f ca="1">寄与度データ!E421</f>
        <v>3.3</v>
      </c>
      <c r="F30" s="1330">
        <f ca="1">寄与度データ!E422</f>
        <v>-1.7</v>
      </c>
      <c r="G30" s="241">
        <f ca="1">寄与度データ!E423</f>
        <v>-0.9</v>
      </c>
      <c r="H30" s="241">
        <f ca="1">寄与度データ!E424</f>
        <v>0.8</v>
      </c>
    </row>
    <row r="31" spans="1:10" ht="15" customHeight="1">
      <c r="A31" s="463" t="s">
        <v>482</v>
      </c>
      <c r="B31" s="468" t="s">
        <v>67</v>
      </c>
      <c r="C31" s="1299">
        <f ca="1">前月比データ!E481</f>
        <v>1.8126888217522659</v>
      </c>
      <c r="D31" s="239">
        <f ca="1">前月比データ!E482</f>
        <v>1.4268727705112996</v>
      </c>
      <c r="E31" s="239">
        <f ca="1">前月比データ!E483</f>
        <v>-5.0847457627118686</v>
      </c>
      <c r="F31" s="1331">
        <f ca="1">前月比データ!E484</f>
        <v>2.2113022113022076</v>
      </c>
      <c r="G31" s="239">
        <f ca="1">前月比データ!E485</f>
        <v>-0.48721071863579962</v>
      </c>
      <c r="H31" s="239">
        <f ca="1">前月比データ!E486</f>
        <v>7.6335877862595414</v>
      </c>
    </row>
    <row r="32" spans="1:10" ht="15" customHeight="1">
      <c r="A32" s="463"/>
      <c r="B32" s="466" t="s">
        <v>136</v>
      </c>
      <c r="C32" s="1299">
        <f ca="1">寄与度データ!$F419</f>
        <v>0.9</v>
      </c>
      <c r="D32" s="239">
        <f ca="1">寄与度データ!$F420</f>
        <v>0.7</v>
      </c>
      <c r="E32" s="239">
        <f ca="1">寄与度データ!$F421</f>
        <v>-2</v>
      </c>
      <c r="F32" s="1331">
        <f ca="1">寄与度データ!$F422</f>
        <v>1.1000000000000001</v>
      </c>
      <c r="G32" s="239">
        <f ca="1">寄与度データ!$F423</f>
        <v>-0.1</v>
      </c>
      <c r="H32" s="239">
        <f ca="1">寄与度データ!$F424</f>
        <v>3.4</v>
      </c>
    </row>
    <row r="33" spans="1:8" ht="15" customHeight="1">
      <c r="A33" s="467" t="s">
        <v>483</v>
      </c>
      <c r="B33" s="468" t="s">
        <v>67</v>
      </c>
      <c r="C33" s="1300">
        <f ca="1">前月比データ!F481</f>
        <v>-0.40966816878328555</v>
      </c>
      <c r="D33" s="242">
        <f ca="1">前月比データ!F482</f>
        <v>-1.5721969383533236</v>
      </c>
      <c r="E33" s="242">
        <f ca="1">前月比データ!F483</f>
        <v>-2.1070375052675936</v>
      </c>
      <c r="F33" s="1332">
        <f ca="1">前月比データ!F484</f>
        <v>0.59447983014861028</v>
      </c>
      <c r="G33" s="242">
        <f ca="1">前月比データ!F485</f>
        <v>-3.1827956989247213</v>
      </c>
      <c r="H33" s="242">
        <f ca="1">前月比データ!F486</f>
        <v>3.6051502145922649</v>
      </c>
    </row>
    <row r="34" spans="1:8" ht="15" customHeight="1">
      <c r="A34" s="465"/>
      <c r="B34" s="466" t="s">
        <v>136</v>
      </c>
      <c r="C34" s="1298">
        <f ca="1">寄与度データ!$G419</f>
        <v>-0.1</v>
      </c>
      <c r="D34" s="241">
        <f ca="1">寄与度データ!$G420</f>
        <v>-0.3</v>
      </c>
      <c r="E34" s="241">
        <f ca="1">寄与度データ!$G421</f>
        <v>-0.4</v>
      </c>
      <c r="F34" s="1330">
        <f ca="1">寄与度データ!$G422</f>
        <v>0</v>
      </c>
      <c r="G34" s="241">
        <f ca="1">寄与度データ!$G423</f>
        <v>-0.6</v>
      </c>
      <c r="H34" s="241">
        <f ca="1">寄与度データ!$G424</f>
        <v>0.4</v>
      </c>
    </row>
    <row r="35" spans="1:8" ht="15" customHeight="1">
      <c r="A35" s="463" t="s">
        <v>311</v>
      </c>
      <c r="B35" s="464" t="s">
        <v>67</v>
      </c>
      <c r="C35" s="1300">
        <f ca="1">前月比データ!G481</f>
        <v>-8.1857764876632793</v>
      </c>
      <c r="D35" s="242">
        <f ca="1">前月比データ!G482</f>
        <v>4.1783967995258555</v>
      </c>
      <c r="E35" s="242">
        <f ca="1">前月比データ!G483</f>
        <v>0.66541299001880516</v>
      </c>
      <c r="F35" s="1332">
        <f ca="1">前月比データ!G484</f>
        <v>-2.8960070206230801</v>
      </c>
      <c r="G35" s="242">
        <f ca="1">前月比データ!G485</f>
        <v>6.2401150251617539</v>
      </c>
      <c r="H35" s="242">
        <f ca="1">前月比データ!G486</f>
        <v>-4.6511627906976747</v>
      </c>
    </row>
    <row r="36" spans="1:8" ht="15" customHeight="1">
      <c r="A36" s="463" t="s">
        <v>70</v>
      </c>
      <c r="B36" s="464" t="s">
        <v>136</v>
      </c>
      <c r="C36" s="1299">
        <f ca="1">寄与度データ!$H419</f>
        <v>-2.7</v>
      </c>
      <c r="D36" s="239">
        <f ca="1">寄与度データ!$H420</f>
        <v>1.3</v>
      </c>
      <c r="E36" s="239">
        <f ca="1">寄与度データ!$H421</f>
        <v>0.2</v>
      </c>
      <c r="F36" s="1331">
        <f ca="1">寄与度データ!$H422</f>
        <v>-1</v>
      </c>
      <c r="G36" s="239">
        <f ca="1">寄与度データ!$H423</f>
        <v>2.1</v>
      </c>
      <c r="H36" s="239">
        <f ca="1">寄与度データ!$H424</f>
        <v>-1.6</v>
      </c>
    </row>
    <row r="37" spans="1:8" ht="15" customHeight="1">
      <c r="A37" s="467" t="s">
        <v>312</v>
      </c>
      <c r="B37" s="468" t="s">
        <v>67</v>
      </c>
      <c r="C37" s="1300">
        <f ca="1">前月比データ!H481</f>
        <v>7.5471698113207548</v>
      </c>
      <c r="D37" s="242">
        <f ca="1">前月比データ!H482</f>
        <v>16.448152562574492</v>
      </c>
      <c r="E37" s="242">
        <f ca="1">前月比データ!H483</f>
        <v>-8.7356321839080469</v>
      </c>
      <c r="F37" s="1332">
        <f ca="1">前月比データ!H484</f>
        <v>33.766233766233768</v>
      </c>
      <c r="G37" s="242">
        <f ca="1">前月比データ!H485</f>
        <v>-56.578947368421055</v>
      </c>
      <c r="H37" s="242">
        <f ca="1">前月比データ!H486</f>
        <v>-54.970760233918128</v>
      </c>
    </row>
    <row r="38" spans="1:8" ht="15" customHeight="1">
      <c r="A38" s="465" t="s">
        <v>71</v>
      </c>
      <c r="B38" s="466" t="s">
        <v>136</v>
      </c>
      <c r="C38" s="1298">
        <f ca="1">寄与度データ!$I419</f>
        <v>0.6</v>
      </c>
      <c r="D38" s="241">
        <f ca="1">寄与度データ!$I420</f>
        <v>1.2</v>
      </c>
      <c r="E38" s="241">
        <f ca="1">寄与度データ!$I421</f>
        <v>-0.7</v>
      </c>
      <c r="F38" s="1330">
        <f ca="1">寄与度データ!$I422</f>
        <v>2.7</v>
      </c>
      <c r="G38" s="241">
        <f ca="1">寄与度データ!$I423</f>
        <v>-4.5</v>
      </c>
      <c r="H38" s="241">
        <f ca="1">寄与度データ!$I424</f>
        <v>-4.4000000000000004</v>
      </c>
    </row>
    <row r="39" spans="1:8" ht="15" customHeight="1">
      <c r="A39" s="463" t="s">
        <v>468</v>
      </c>
      <c r="B39" s="468" t="s">
        <v>67</v>
      </c>
      <c r="C39" s="1299">
        <f ca="1">前月比データ!I481</f>
        <v>3</v>
      </c>
      <c r="D39" s="239">
        <f ca="1">前月比データ!I482</f>
        <v>-1</v>
      </c>
      <c r="E39" s="239">
        <f ca="1">前月比データ!I483</f>
        <v>0</v>
      </c>
      <c r="F39" s="1331">
        <f ca="1">前月比データ!I484</f>
        <v>-4</v>
      </c>
      <c r="G39" s="239">
        <f ca="1">前月比データ!I485</f>
        <v>1</v>
      </c>
      <c r="H39" s="239">
        <f ca="1">前月比データ!I486</f>
        <v>0</v>
      </c>
    </row>
    <row r="40" spans="1:8" ht="15" customHeight="1">
      <c r="A40" s="701"/>
      <c r="B40" s="644" t="s">
        <v>69</v>
      </c>
      <c r="C40" s="1299">
        <f ca="1">寄与度データ!$J419</f>
        <v>-1.4</v>
      </c>
      <c r="D40" s="239">
        <f ca="1">寄与度データ!$J420</f>
        <v>0.5</v>
      </c>
      <c r="E40" s="239">
        <f ca="1">寄与度データ!$J421</f>
        <v>0</v>
      </c>
      <c r="F40" s="1331">
        <f ca="1">寄与度データ!$J422</f>
        <v>2</v>
      </c>
      <c r="G40" s="239">
        <f ca="1">寄与度データ!$J423</f>
        <v>-0.5</v>
      </c>
      <c r="H40" s="239">
        <f ca="1">寄与度データ!$J424</f>
        <v>0</v>
      </c>
    </row>
    <row r="41" spans="1:8" ht="15" customHeight="1">
      <c r="A41" s="467" t="s">
        <v>139</v>
      </c>
      <c r="B41" s="468" t="s">
        <v>135</v>
      </c>
      <c r="C41" s="1300">
        <f ca="1">前月比データ!J481</f>
        <v>2.7000000000000028</v>
      </c>
      <c r="D41" s="242">
        <f ca="1">前月比データ!J482</f>
        <v>2.5999999999999943</v>
      </c>
      <c r="E41" s="242">
        <f ca="1">前月比データ!J483</f>
        <v>2.7000000000000028</v>
      </c>
      <c r="F41" s="1332">
        <f ca="1">前月比データ!J484</f>
        <v>2.2999999999999972</v>
      </c>
      <c r="G41" s="242">
        <f ca="1">前月比データ!J485</f>
        <v>2.4000000000000057</v>
      </c>
      <c r="H41" s="242">
        <f ca="1">前月比データ!J486</f>
        <v>2.2999999999999972</v>
      </c>
    </row>
    <row r="42" spans="1:8" ht="15" customHeight="1">
      <c r="A42" s="465"/>
      <c r="B42" s="466" t="s">
        <v>136</v>
      </c>
      <c r="C42" s="1299">
        <f ca="1">寄与度データ!$K419</f>
        <v>1.5</v>
      </c>
      <c r="D42" s="239">
        <f ca="1">寄与度データ!$K420</f>
        <v>1.4</v>
      </c>
      <c r="E42" s="239">
        <f ca="1">寄与度データ!$K421</f>
        <v>1.5</v>
      </c>
      <c r="F42" s="1331">
        <f ca="1">寄与度データ!$K422</f>
        <v>1.3</v>
      </c>
      <c r="G42" s="239">
        <f ca="1">寄与度データ!$K423</f>
        <v>1.3</v>
      </c>
      <c r="H42" s="239">
        <f ca="1">寄与度データ!$K424</f>
        <v>1.3</v>
      </c>
    </row>
    <row r="43" spans="1:8" ht="15" customHeight="1">
      <c r="A43" s="467" t="s">
        <v>134</v>
      </c>
      <c r="B43" s="468"/>
      <c r="C43" s="1300"/>
      <c r="D43" s="242"/>
      <c r="E43" s="242"/>
      <c r="F43" s="1332"/>
      <c r="G43" s="242"/>
      <c r="H43" s="242"/>
    </row>
    <row r="44" spans="1:8" ht="15" customHeight="1" thickBot="1">
      <c r="A44" s="463"/>
      <c r="B44" s="464" t="s">
        <v>136</v>
      </c>
      <c r="C44" s="1301">
        <f ca="1">寄与度データ!D419</f>
        <v>0.5</v>
      </c>
      <c r="D44" s="237">
        <f ca="1">寄与度データ!D420</f>
        <v>0.5</v>
      </c>
      <c r="E44" s="237">
        <f ca="1">寄与度データ!D421</f>
        <v>0.46</v>
      </c>
      <c r="F44" s="1333">
        <f ca="1">寄与度データ!D422</f>
        <v>0.39</v>
      </c>
      <c r="G44" s="237">
        <f ca="1">寄与度データ!D423</f>
        <v>0.37</v>
      </c>
      <c r="H44" s="237">
        <f ca="1">寄与度データ!D424</f>
        <v>0.53</v>
      </c>
    </row>
    <row r="45" spans="1:8" ht="15" customHeight="1">
      <c r="A45" s="470" t="s">
        <v>142</v>
      </c>
      <c r="B45" s="460"/>
      <c r="C45" s="1295">
        <f ca="1">グラフデータ!M418</f>
        <v>147.86666666666665</v>
      </c>
      <c r="D45" s="565">
        <f ca="1">グラフデータ!M419</f>
        <v>150</v>
      </c>
      <c r="E45" s="565">
        <f ca="1">グラフデータ!M420</f>
        <v>151.16666666666666</v>
      </c>
      <c r="F45" s="1327">
        <f ca="1">グラフデータ!M421</f>
        <v>154.6</v>
      </c>
      <c r="G45" s="565">
        <f ca="1">グラフデータ!M422</f>
        <v>156</v>
      </c>
      <c r="H45" s="565">
        <f ca="1">グラフデータ!M423</f>
        <v>156.79999999999998</v>
      </c>
    </row>
    <row r="46" spans="1:8" ht="15" customHeight="1">
      <c r="A46" s="465"/>
      <c r="B46" s="466" t="s">
        <v>65</v>
      </c>
      <c r="C46" s="1299">
        <f ca="1">グラフデータ!Q418</f>
        <v>0.23333333333329165</v>
      </c>
      <c r="D46" s="239">
        <f ca="1">グラフデータ!Q419</f>
        <v>2.1333333333333542</v>
      </c>
      <c r="E46" s="239">
        <f ca="1">グラフデータ!Q420</f>
        <v>1.1666666666666572</v>
      </c>
      <c r="F46" s="1331">
        <f ca="1">グラフデータ!Q421</f>
        <v>3.4333333333333371</v>
      </c>
      <c r="G46" s="239">
        <f ca="1">グラフデータ!Q422</f>
        <v>1.4000000000000057</v>
      </c>
      <c r="H46" s="239">
        <f ca="1">グラフデータ!Q423</f>
        <v>0.79999999999998295</v>
      </c>
    </row>
    <row r="47" spans="1:8" ht="15" customHeight="1">
      <c r="A47" s="463" t="s">
        <v>143</v>
      </c>
      <c r="B47" s="464"/>
      <c r="C47" s="1302">
        <f ca="1">グラフデータ!U418</f>
        <v>149.2571428571429</v>
      </c>
      <c r="D47" s="1105">
        <f ca="1">グラフデータ!U419</f>
        <v>148.72857142857146</v>
      </c>
      <c r="E47" s="1105">
        <f ca="1">グラフデータ!U420</f>
        <v>149.8857142857143</v>
      </c>
      <c r="F47" s="1334">
        <f ca="1">グラフデータ!U421</f>
        <v>150.70000000000002</v>
      </c>
      <c r="G47" s="1105">
        <f ca="1">グラフデータ!U422</f>
        <v>151.87142857142857</v>
      </c>
      <c r="H47" s="1105">
        <f ca="1">グラフデータ!U423</f>
        <v>153.45714285714286</v>
      </c>
    </row>
    <row r="48" spans="1:8" ht="15" customHeight="1" thickBot="1">
      <c r="A48" s="461"/>
      <c r="B48" s="462" t="s">
        <v>65</v>
      </c>
      <c r="C48" s="1301">
        <f ca="1">グラフデータ!Y418</f>
        <v>0.30000000000003979</v>
      </c>
      <c r="D48" s="237">
        <f ca="1">グラフデータ!Y419</f>
        <v>-0.52857142857143913</v>
      </c>
      <c r="E48" s="237">
        <f ca="1">グラフデータ!Y420</f>
        <v>1.1571428571428442</v>
      </c>
      <c r="F48" s="1333">
        <f ca="1">グラフデータ!Y421</f>
        <v>0.81428571428571672</v>
      </c>
      <c r="G48" s="237">
        <f ca="1">グラフデータ!Y422</f>
        <v>1.1714285714285495</v>
      </c>
      <c r="H48" s="237">
        <f ca="1">グラフデータ!Y423</f>
        <v>1.585714285714289</v>
      </c>
    </row>
    <row r="49" spans="1:8" ht="15" customHeight="1">
      <c r="B49" s="463"/>
    </row>
    <row r="50" spans="1:8" ht="15" customHeight="1">
      <c r="A50" s="1493" t="s">
        <v>567</v>
      </c>
      <c r="B50" s="1494"/>
      <c r="C50" s="1494"/>
      <c r="D50" s="1494"/>
      <c r="E50" s="1494"/>
      <c r="F50" s="1494"/>
      <c r="G50" s="1494"/>
      <c r="H50" s="1494"/>
    </row>
    <row r="51" spans="1:8" ht="15" customHeight="1">
      <c r="A51" s="1493" t="s">
        <v>592</v>
      </c>
      <c r="B51" s="1494"/>
      <c r="C51" s="1494"/>
      <c r="D51" s="1494"/>
      <c r="E51" s="1494"/>
      <c r="F51" s="1494"/>
      <c r="G51" s="1494"/>
      <c r="H51" s="1494"/>
    </row>
    <row r="52" spans="1:8" ht="15" customHeight="1">
      <c r="A52" s="475" t="s">
        <v>593</v>
      </c>
      <c r="B52"/>
      <c r="C52"/>
      <c r="D52"/>
      <c r="E52"/>
      <c r="F52"/>
      <c r="G52"/>
      <c r="H52"/>
    </row>
    <row r="53" spans="1:8" ht="15" customHeight="1">
      <c r="A53" s="1493" t="s">
        <v>568</v>
      </c>
      <c r="B53" s="1494"/>
      <c r="C53" s="1494"/>
      <c r="D53" s="1494"/>
      <c r="E53" s="1494"/>
      <c r="F53" s="1494"/>
      <c r="G53" s="1494"/>
      <c r="H53" s="1494"/>
    </row>
    <row r="54" spans="1:8" ht="12.6" customHeight="1">
      <c r="A54" s="1155" t="s">
        <v>844</v>
      </c>
    </row>
    <row r="55" spans="1:8" ht="12.6" customHeight="1"/>
    <row r="56" spans="1:8" ht="12.6" customHeight="1"/>
    <row r="57" spans="1:8" ht="12.6" customHeight="1"/>
  </sheetData>
  <customSheetViews>
    <customSheetView guid="{7EBA91D6-F088-446F-A1CC-E1462A1CA2C3}" showRuler="0">
      <selection activeCell="I22" sqref="I22"/>
      <pageMargins left="0.78740157480314965" right="0.59055118110236227" top="0.98425196850393704" bottom="0.98425196850393704" header="0.51181102362204722" footer="0.51181102362204722"/>
      <pageSetup paperSize="9" orientation="portrait" r:id="rId1"/>
      <headerFooter alignWithMargins="0">
        <oddFooter>&amp;C-2-</oddFooter>
      </headerFooter>
    </customSheetView>
    <customSheetView guid="{883B7A2B-3CB3-449D-A461-655262B722BC}" showRuler="0">
      <selection activeCell="I22" sqref="I22"/>
      <pageMargins left="0.78740157480314965" right="0.59055118110236227" top="0.98425196850393704" bottom="0.98425196850393704" header="0.51181102362204722" footer="0.51181102362204722"/>
      <pageSetup paperSize="9" orientation="portrait" r:id="rId2"/>
      <headerFooter alignWithMargins="0">
        <oddFooter>&amp;C-2-</oddFooter>
      </headerFooter>
    </customSheetView>
  </customSheetViews>
  <mergeCells count="3">
    <mergeCell ref="A50:H50"/>
    <mergeCell ref="A51:H51"/>
    <mergeCell ref="A53:H53"/>
  </mergeCells>
  <phoneticPr fontId="3"/>
  <conditionalFormatting sqref="C27:H48">
    <cfRule type="cellIs" dxfId="221" priority="1" stopIfTrue="1" operator="lessThan">
      <formula>0</formula>
    </cfRule>
  </conditionalFormatting>
  <pageMargins left="0.78740157480314965" right="0.39370078740157483" top="0.59055118110236227" bottom="0.59055118110236227" header="0.39370078740157483" footer="0.39370078740157483"/>
  <pageSetup paperSize="9" orientation="portrait" horizontalDpi="300" verticalDpi="300" r:id="rId3"/>
  <headerFooter alignWithMargins="0">
    <oddFooter>&amp;C&amp;10-2-</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dimension ref="A1:P54"/>
  <sheetViews>
    <sheetView view="pageBreakPreview" topLeftCell="A9" zoomScaleNormal="100" zoomScaleSheetLayoutView="100" workbookViewId="0">
      <selection activeCell="C26" sqref="C26"/>
    </sheetView>
  </sheetViews>
  <sheetFormatPr defaultColWidth="8.875" defaultRowHeight="10.5"/>
  <cols>
    <col min="1" max="1" width="25.375" style="227" customWidth="1"/>
    <col min="2" max="2" width="16.375" style="227" customWidth="1"/>
    <col min="3" max="8" width="6.625" style="227" customWidth="1"/>
    <col min="9" max="9" width="3.5" style="227" customWidth="1"/>
    <col min="10" max="16384" width="8.875" style="227"/>
  </cols>
  <sheetData>
    <row r="1" spans="1:2" ht="15" customHeight="1">
      <c r="A1" s="225" t="s">
        <v>100</v>
      </c>
    </row>
    <row r="2" spans="1:2" ht="15" customHeight="1">
      <c r="A2" s="221"/>
    </row>
    <row r="3" spans="1:2" ht="15" customHeight="1">
      <c r="A3" s="383" t="s">
        <v>47</v>
      </c>
    </row>
    <row r="4" spans="1:2" ht="15" customHeight="1"/>
    <row r="5" spans="1:2" ht="15" customHeight="1"/>
    <row r="6" spans="1:2" ht="15" customHeight="1"/>
    <row r="7" spans="1:2" ht="15" customHeight="1"/>
    <row r="8" spans="1:2" ht="15" customHeight="1"/>
    <row r="9" spans="1:2" ht="15" customHeight="1">
      <c r="B9" s="1339"/>
    </row>
    <row r="10" spans="1:2" ht="15" customHeight="1"/>
    <row r="11" spans="1:2" ht="15" customHeight="1"/>
    <row r="12" spans="1:2" ht="15" customHeight="1"/>
    <row r="13" spans="1:2" ht="15" customHeight="1"/>
    <row r="14" spans="1:2" ht="15" customHeight="1"/>
    <row r="15" spans="1:2" ht="15" customHeight="1"/>
    <row r="16" spans="1:2" ht="15" customHeight="1"/>
    <row r="17" spans="1:8" ht="15" customHeight="1"/>
    <row r="18" spans="1:8" ht="15" customHeight="1"/>
    <row r="19" spans="1:8" ht="15" customHeight="1"/>
    <row r="20" spans="1:8" ht="15" customHeight="1"/>
    <row r="21" spans="1:8" ht="15" customHeight="1"/>
    <row r="22" spans="1:8" ht="15" customHeight="1"/>
    <row r="23" spans="1:8" ht="15" customHeight="1"/>
    <row r="24" spans="1:8" ht="15.95" customHeight="1" thickBot="1">
      <c r="A24" s="383" t="s">
        <v>51</v>
      </c>
      <c r="G24" s="1155"/>
    </row>
    <row r="25" spans="1:8" ht="15" customHeight="1">
      <c r="A25" s="233"/>
      <c r="B25" s="234"/>
      <c r="C25" s="1293" t="s">
        <v>799</v>
      </c>
      <c r="D25" s="1292"/>
      <c r="E25" s="1341"/>
      <c r="F25" s="1325" t="s">
        <v>821</v>
      </c>
      <c r="G25" s="1255"/>
      <c r="H25" s="1342"/>
    </row>
    <row r="26" spans="1:8" ht="15" customHeight="1" thickBot="1">
      <c r="A26" s="238"/>
      <c r="B26" s="243"/>
      <c r="C26" s="1294" t="s">
        <v>191</v>
      </c>
      <c r="D26" s="1104" t="s">
        <v>192</v>
      </c>
      <c r="E26" s="1343" t="s">
        <v>193</v>
      </c>
      <c r="F26" s="1326" t="s">
        <v>851</v>
      </c>
      <c r="G26" s="1104" t="s">
        <v>852</v>
      </c>
      <c r="H26" s="1104" t="s">
        <v>853</v>
      </c>
    </row>
    <row r="27" spans="1:8" ht="15" customHeight="1">
      <c r="A27" s="459" t="s">
        <v>186</v>
      </c>
      <c r="B27" s="460"/>
      <c r="C27" s="1295">
        <f ca="1">グラフデータ!E418</f>
        <v>133</v>
      </c>
      <c r="D27" s="565">
        <f ca="1">グラフデータ!E419</f>
        <v>138.4</v>
      </c>
      <c r="E27" s="1344">
        <f ca="1">グラフデータ!E420</f>
        <v>130.5</v>
      </c>
      <c r="F27" s="1327">
        <f ca="1">グラフデータ!E421</f>
        <v>141</v>
      </c>
      <c r="G27" s="565">
        <f ca="1">グラフデータ!E422</f>
        <v>144.69999999999999</v>
      </c>
      <c r="H27" s="565">
        <f ca="1">グラフデータ!E423</f>
        <v>145.69999999999999</v>
      </c>
    </row>
    <row r="28" spans="1:8" ht="15" customHeight="1" thickBot="1">
      <c r="A28" s="461"/>
      <c r="B28" s="462" t="s">
        <v>65</v>
      </c>
      <c r="C28" s="1296">
        <f ca="1">グラフデータ!J418</f>
        <v>0.69999999999998863</v>
      </c>
      <c r="D28" s="376">
        <f ca="1">グラフデータ!J419</f>
        <v>5.4000000000000057</v>
      </c>
      <c r="E28" s="1345">
        <f ca="1">グラフデータ!J420</f>
        <v>-7.9000000000000057</v>
      </c>
      <c r="F28" s="1328">
        <f ca="1">グラフデータ!J421</f>
        <v>10.5</v>
      </c>
      <c r="G28" s="376">
        <f ca="1">グラフデータ!J422</f>
        <v>3.6999999999999886</v>
      </c>
      <c r="H28" s="376">
        <f ca="1">グラフデータ!J423</f>
        <v>1</v>
      </c>
    </row>
    <row r="29" spans="1:8" ht="15" customHeight="1">
      <c r="A29" s="463" t="s">
        <v>291</v>
      </c>
      <c r="B29" s="468" t="s">
        <v>135</v>
      </c>
      <c r="C29" s="1297">
        <f ca="1">前月比データ!L481</f>
        <v>-1.0000000000000009E-2</v>
      </c>
      <c r="D29" s="240">
        <f ca="1">前月比データ!L482</f>
        <v>-1.0000000000000009E-2</v>
      </c>
      <c r="E29" s="1346">
        <f ca="1">前月比データ!L483</f>
        <v>0</v>
      </c>
      <c r="F29" s="1329">
        <f ca="1">前月比データ!L484</f>
        <v>2.0000000000000018E-2</v>
      </c>
      <c r="G29" s="240">
        <f ca="1">前月比データ!L485</f>
        <v>2.0000000000000018E-2</v>
      </c>
      <c r="H29" s="240">
        <f ca="1">前月比データ!L486</f>
        <v>-2.0000000000000018E-2</v>
      </c>
    </row>
    <row r="30" spans="1:8" ht="15" customHeight="1">
      <c r="A30" s="465" t="s">
        <v>66</v>
      </c>
      <c r="B30" s="466" t="s">
        <v>136</v>
      </c>
      <c r="C30" s="1298">
        <f ca="1">寄与度データ!M419</f>
        <v>-0.68500000000000005</v>
      </c>
      <c r="D30" s="241">
        <f ca="1">寄与度データ!M420</f>
        <v>-0.66900000000000004</v>
      </c>
      <c r="E30" s="1347">
        <f ca="1">寄与度データ!M421</f>
        <v>-2.1000000000000001E-2</v>
      </c>
      <c r="F30" s="1330">
        <f ca="1">寄与度データ!M422</f>
        <v>1.254</v>
      </c>
      <c r="G30" s="241">
        <f ca="1">寄与度データ!M423</f>
        <v>1.32</v>
      </c>
      <c r="H30" s="241">
        <f ca="1">寄与度データ!M424</f>
        <v>-1.319</v>
      </c>
    </row>
    <row r="31" spans="1:8" ht="15" customHeight="1">
      <c r="A31" s="463" t="s">
        <v>484</v>
      </c>
      <c r="B31" s="468" t="s">
        <v>67</v>
      </c>
      <c r="C31" s="1299">
        <f ca="1">前月比データ!M481</f>
        <v>1.8159920406346699</v>
      </c>
      <c r="D31" s="239">
        <f ca="1">前月比データ!M482</f>
        <v>-5.5158586267943681</v>
      </c>
      <c r="E31" s="1348">
        <f ca="1">前月比データ!M483</f>
        <v>2.988235039918762</v>
      </c>
      <c r="F31" s="1331">
        <f ca="1">前月比データ!M484</f>
        <v>-7.0366819829647547</v>
      </c>
      <c r="G31" s="239">
        <f ca="1">前月比データ!M485</f>
        <v>-1.1186016331124418</v>
      </c>
      <c r="H31" s="239">
        <f ca="1">前月比データ!M486</f>
        <v>6.9366868457138908</v>
      </c>
    </row>
    <row r="32" spans="1:8" ht="15" customHeight="1">
      <c r="A32" s="463"/>
      <c r="B32" s="469" t="s">
        <v>69</v>
      </c>
      <c r="C32" s="1299">
        <f ca="1">寄与度データ!N419</f>
        <v>-0.6</v>
      </c>
      <c r="D32" s="239">
        <f ca="1">寄与度データ!N420</f>
        <v>1.7</v>
      </c>
      <c r="E32" s="1348">
        <f ca="1">寄与度データ!N421</f>
        <v>-0.9</v>
      </c>
      <c r="F32" s="1331">
        <f ca="1">寄与度データ!N422</f>
        <v>2.2000000000000002</v>
      </c>
      <c r="G32" s="239">
        <f ca="1">寄与度データ!N423</f>
        <v>0.3</v>
      </c>
      <c r="H32" s="239">
        <f ca="1">寄与度データ!N424</f>
        <v>-2.4</v>
      </c>
    </row>
    <row r="33" spans="1:11" ht="15" customHeight="1">
      <c r="A33" s="467" t="s">
        <v>485</v>
      </c>
      <c r="B33" s="468" t="s">
        <v>67</v>
      </c>
      <c r="C33" s="1300">
        <f ca="1">前月比データ!N481</f>
        <v>-1.0050251256281373</v>
      </c>
      <c r="D33" s="242">
        <f ca="1">前月比データ!N482</f>
        <v>9.615384615384615</v>
      </c>
      <c r="E33" s="1349">
        <f ca="1">前月比データ!N483</f>
        <v>-4.694835680751174</v>
      </c>
      <c r="F33" s="1332">
        <f ca="1">前月比データ!N484</f>
        <v>-4.9261083743842367</v>
      </c>
      <c r="G33" s="242">
        <f ca="1">前月比データ!N485</f>
        <v>7.7669902912621245</v>
      </c>
      <c r="H33" s="242">
        <f ca="1">前月比データ!N486</f>
        <v>-0.93896713615023153</v>
      </c>
    </row>
    <row r="34" spans="1:11" ht="15" customHeight="1">
      <c r="A34" s="463" t="s">
        <v>68</v>
      </c>
      <c r="B34" s="466" t="s">
        <v>136</v>
      </c>
      <c r="C34" s="1298">
        <f ca="1">寄与度データ!O419</f>
        <v>-0.3</v>
      </c>
      <c r="D34" s="241">
        <f ca="1">寄与度データ!O420</f>
        <v>2.5</v>
      </c>
      <c r="E34" s="1347">
        <f ca="1">寄与度データ!O421</f>
        <v>-1.2</v>
      </c>
      <c r="F34" s="1330">
        <f ca="1">寄与度データ!O422</f>
        <v>-1</v>
      </c>
      <c r="G34" s="241">
        <f ca="1">寄与度データ!O423</f>
        <v>2.2000000000000002</v>
      </c>
      <c r="H34" s="241">
        <f ca="1">寄与度データ!O424</f>
        <v>-0.3</v>
      </c>
    </row>
    <row r="35" spans="1:11" ht="15" customHeight="1">
      <c r="A35" s="467" t="s">
        <v>486</v>
      </c>
      <c r="B35" s="464" t="s">
        <v>67</v>
      </c>
      <c r="C35" s="1300">
        <f ca="1">前月比データ!O481</f>
        <v>-1.854563201561743</v>
      </c>
      <c r="D35" s="242">
        <f ca="1">前月比データ!O482</f>
        <v>5.5555555555555527</v>
      </c>
      <c r="E35" s="1349">
        <f ca="1">前月比データ!O483</f>
        <v>-5.064500716674627</v>
      </c>
      <c r="F35" s="1332">
        <f ca="1">前月比データ!O484</f>
        <v>9.7014925373134364</v>
      </c>
      <c r="G35" s="242">
        <f ca="1">前月比データ!O485</f>
        <v>-17.618586640851888</v>
      </c>
      <c r="H35" s="242">
        <f ca="1">前月比データ!O486</f>
        <v>26.917776757005051</v>
      </c>
    </row>
    <row r="36" spans="1:11" ht="15" customHeight="1">
      <c r="A36" s="465"/>
      <c r="B36" s="464" t="s">
        <v>136</v>
      </c>
      <c r="C36" s="1299">
        <f ca="1">寄与度データ!P419</f>
        <v>-0.3</v>
      </c>
      <c r="D36" s="239">
        <f ca="1">寄与度データ!P420</f>
        <v>0.9</v>
      </c>
      <c r="E36" s="1348">
        <f ca="1">寄与度データ!P421</f>
        <v>-0.8</v>
      </c>
      <c r="F36" s="1331">
        <f ca="1">寄与度データ!P422</f>
        <v>1.6</v>
      </c>
      <c r="G36" s="239">
        <f ca="1">寄与度データ!P423</f>
        <v>-2.2000000000000002</v>
      </c>
      <c r="H36" s="239">
        <f ca="1">寄与度データ!P424</f>
        <v>2.6</v>
      </c>
    </row>
    <row r="37" spans="1:11" ht="15" customHeight="1">
      <c r="A37" s="463" t="s">
        <v>506</v>
      </c>
      <c r="B37" s="468" t="s">
        <v>67</v>
      </c>
      <c r="C37" s="1300">
        <f ca="1">前月比データ!P481</f>
        <v>1.2449652142072625</v>
      </c>
      <c r="D37" s="242">
        <f ca="1">前月比データ!P482</f>
        <v>1.8745493871665426</v>
      </c>
      <c r="E37" s="1349">
        <f ca="1">前月比データ!P483</f>
        <v>-5.6555269922879088</v>
      </c>
      <c r="F37" s="1332">
        <f ca="1">前月比データ!P484</f>
        <v>7.0725483047757844</v>
      </c>
      <c r="G37" s="242">
        <f ca="1">前月比データ!P485</f>
        <v>7.0397747272083283E-2</v>
      </c>
      <c r="H37" s="242">
        <f ca="1">前月比データ!P486</f>
        <v>3.4578146611341634</v>
      </c>
    </row>
    <row r="38" spans="1:11" ht="15" customHeight="1">
      <c r="A38" s="463"/>
      <c r="B38" s="466" t="s">
        <v>136</v>
      </c>
      <c r="C38" s="1298">
        <f ca="1">寄与度データ!Q419</f>
        <v>0.3</v>
      </c>
      <c r="D38" s="241">
        <f ca="1">寄与度データ!Q420</f>
        <v>0.5</v>
      </c>
      <c r="E38" s="1347">
        <f ca="1">寄与度データ!Q421</f>
        <v>-1.8</v>
      </c>
      <c r="F38" s="1330">
        <f ca="1">寄与度データ!Q422</f>
        <v>2.2000000000000002</v>
      </c>
      <c r="G38" s="241">
        <f ca="1">寄与度データ!Q423</f>
        <v>0</v>
      </c>
      <c r="H38" s="241">
        <f ca="1">寄与度データ!Q424</f>
        <v>1.1000000000000001</v>
      </c>
    </row>
    <row r="39" spans="1:11" ht="15" customHeight="1">
      <c r="A39" s="467" t="s">
        <v>507</v>
      </c>
      <c r="B39" s="464" t="s">
        <v>67</v>
      </c>
      <c r="C39" s="1299">
        <f ca="1">前月比データ!Q481</f>
        <v>2.8968014484007143</v>
      </c>
      <c r="D39" s="239">
        <f ca="1">前月比データ!Q482</f>
        <v>3.7361354349095186</v>
      </c>
      <c r="E39" s="1348">
        <f ca="1">前月比データ!Q483</f>
        <v>-8.4204240071663161</v>
      </c>
      <c r="F39" s="1331">
        <f ca="1">前月比データ!Q484</f>
        <v>6.8633353401565342</v>
      </c>
      <c r="G39" s="239">
        <f ca="1">前月比データ!Q485</f>
        <v>6.9662921348314475</v>
      </c>
      <c r="H39" s="239">
        <f ca="1">前月比データ!Q486</f>
        <v>-1.311475409836053</v>
      </c>
    </row>
    <row r="40" spans="1:11" ht="15" customHeight="1">
      <c r="A40" s="465"/>
      <c r="B40" s="464" t="s">
        <v>136</v>
      </c>
      <c r="C40" s="1299">
        <f ca="1">寄与度データ!R419</f>
        <v>0.7</v>
      </c>
      <c r="D40" s="239">
        <f ca="1">寄与度データ!R420</f>
        <v>0.9</v>
      </c>
      <c r="E40" s="1348">
        <f ca="1">寄与度データ!R421</f>
        <v>-2.2999999999999998</v>
      </c>
      <c r="F40" s="1331">
        <f ca="1">寄与度データ!R422</f>
        <v>1.8</v>
      </c>
      <c r="G40" s="239">
        <f ca="1">寄与度データ!R423</f>
        <v>1.9</v>
      </c>
      <c r="H40" s="239">
        <f ca="1">寄与度データ!R424</f>
        <v>-0.4</v>
      </c>
    </row>
    <row r="41" spans="1:11" ht="15" customHeight="1">
      <c r="A41" s="1172" t="s">
        <v>779</v>
      </c>
      <c r="B41" s="468" t="s">
        <v>135</v>
      </c>
      <c r="C41" s="1300">
        <f ca="1">前月比データ!R481</f>
        <v>-1.2999999999999972</v>
      </c>
      <c r="D41" s="242">
        <f ca="1">前月比データ!R482</f>
        <v>0.59999999999999432</v>
      </c>
      <c r="E41" s="1349">
        <f ca="1">前月比データ!R483</f>
        <v>3.6000000000000085</v>
      </c>
      <c r="F41" s="1332">
        <f ca="1">前月比データ!R484</f>
        <v>-7</v>
      </c>
      <c r="G41" s="242">
        <f ca="1">前月比データ!R485</f>
        <v>-1.7000000000000028</v>
      </c>
      <c r="H41" s="242">
        <f ca="1">前月比データ!R486</f>
        <v>-3.8000000000000043</v>
      </c>
    </row>
    <row r="42" spans="1:11" ht="15" customHeight="1">
      <c r="A42" s="465"/>
      <c r="B42" s="469" t="s">
        <v>69</v>
      </c>
      <c r="C42" s="1299">
        <f ca="1">寄与度データ!S419</f>
        <v>0.3</v>
      </c>
      <c r="D42" s="239">
        <f ca="1">寄与度データ!S420</f>
        <v>-0.3</v>
      </c>
      <c r="E42" s="1348">
        <f ca="1">寄与度データ!S421</f>
        <v>-1.1000000000000001</v>
      </c>
      <c r="F42" s="1331">
        <f ca="1">寄与度データ!S422</f>
        <v>2.1</v>
      </c>
      <c r="G42" s="239">
        <f ca="1">寄与度データ!S423</f>
        <v>0.5</v>
      </c>
      <c r="H42" s="239">
        <f ca="1">寄与度データ!S424</f>
        <v>1.2</v>
      </c>
      <c r="K42" s="946"/>
    </row>
    <row r="43" spans="1:11" ht="15" customHeight="1">
      <c r="A43" s="467" t="s">
        <v>637</v>
      </c>
      <c r="B43" s="468" t="s">
        <v>67</v>
      </c>
      <c r="C43" s="1300">
        <f ca="1">前月比データ!S481</f>
        <v>23.898222288299387</v>
      </c>
      <c r="D43" s="242">
        <f ca="1">前月比データ!S482</f>
        <v>-10.600127856800372</v>
      </c>
      <c r="E43" s="1349">
        <f ca="1">前月比データ!S483</f>
        <v>5.9143251957623137</v>
      </c>
      <c r="F43" s="1332">
        <f ca="1">前月比データ!S484</f>
        <v>4.5318512184694288</v>
      </c>
      <c r="G43" s="242">
        <f ca="1">前月比データ!S485</f>
        <v>-8.2572347266880879</v>
      </c>
      <c r="H43" s="242">
        <f ca="1">前月比データ!S486</f>
        <v>6.1514148254098435</v>
      </c>
    </row>
    <row r="44" spans="1:11" ht="15" customHeight="1" thickBot="1">
      <c r="A44" s="463"/>
      <c r="B44" s="464" t="s">
        <v>136</v>
      </c>
      <c r="C44" s="1301">
        <f ca="1">寄与度データ!T419</f>
        <v>1.1000000000000001</v>
      </c>
      <c r="D44" s="237">
        <f ca="1">寄与度データ!T420</f>
        <v>-0.4</v>
      </c>
      <c r="E44" s="1350">
        <f ca="1">寄与度データ!T421</f>
        <v>0.4</v>
      </c>
      <c r="F44" s="1333">
        <f ca="1">寄与度データ!T422</f>
        <v>0.3</v>
      </c>
      <c r="G44" s="237">
        <f ca="1">寄与度データ!T423</f>
        <v>-0.3</v>
      </c>
      <c r="H44" s="237">
        <f ca="1">寄与度データ!T424</f>
        <v>0.4</v>
      </c>
    </row>
    <row r="45" spans="1:11" ht="15" customHeight="1">
      <c r="A45" s="470" t="s">
        <v>142</v>
      </c>
      <c r="B45" s="460"/>
      <c r="C45" s="1295">
        <f ca="1">グラフデータ!N418</f>
        <v>132.76666666666668</v>
      </c>
      <c r="D45" s="565">
        <f ca="1">グラフデータ!N419</f>
        <v>134.56666666666669</v>
      </c>
      <c r="E45" s="1344">
        <f ca="1">グラフデータ!N420</f>
        <v>133.96666666666667</v>
      </c>
      <c r="F45" s="1327">
        <f ca="1">グラフデータ!N421</f>
        <v>136.63333333333333</v>
      </c>
      <c r="G45" s="565">
        <f ca="1">グラフデータ!N422</f>
        <v>138.73333333333332</v>
      </c>
      <c r="H45" s="565">
        <f ca="1">グラフデータ!N423</f>
        <v>143.79999999999998</v>
      </c>
    </row>
    <row r="46" spans="1:11" ht="15" customHeight="1">
      <c r="A46" s="465"/>
      <c r="B46" s="466" t="s">
        <v>65</v>
      </c>
      <c r="C46" s="1299">
        <f ca="1">グラフデータ!R418</f>
        <v>-0.29999999999998295</v>
      </c>
      <c r="D46" s="239">
        <f ca="1">グラフデータ!R419</f>
        <v>1.8000000000000114</v>
      </c>
      <c r="E46" s="1348">
        <f ca="1">グラフデータ!R420</f>
        <v>-0.60000000000002274</v>
      </c>
      <c r="F46" s="1331">
        <f ca="1">グラフデータ!R421</f>
        <v>2.6666666666666572</v>
      </c>
      <c r="G46" s="239">
        <f ca="1">グラフデータ!R422</f>
        <v>2.0999999999999943</v>
      </c>
      <c r="H46" s="239">
        <f ca="1">グラフデータ!R423</f>
        <v>5.0666666666666629</v>
      </c>
    </row>
    <row r="47" spans="1:11" ht="15" customHeight="1">
      <c r="A47" s="463" t="s">
        <v>143</v>
      </c>
      <c r="B47" s="464"/>
      <c r="C47" s="1302">
        <f ca="1">グラフデータ!V418</f>
        <v>135.71428571428572</v>
      </c>
      <c r="D47" s="1105">
        <f ca="1">グラフデータ!V419</f>
        <v>135.55714285714285</v>
      </c>
      <c r="E47" s="1351">
        <f ca="1">グラフデータ!V420</f>
        <v>134.22857142857143</v>
      </c>
      <c r="F47" s="1334">
        <f ca="1">グラフデータ!V421</f>
        <v>134.58571428571429</v>
      </c>
      <c r="G47" s="1105">
        <f ca="1">グラフデータ!V422</f>
        <v>136.12857142857143</v>
      </c>
      <c r="H47" s="1105">
        <f ca="1">グラフデータ!V423</f>
        <v>137.94285714285715</v>
      </c>
    </row>
    <row r="48" spans="1:11" ht="15" customHeight="1" thickBot="1">
      <c r="A48" s="461"/>
      <c r="B48" s="462" t="s">
        <v>65</v>
      </c>
      <c r="C48" s="1301">
        <f ca="1">グラフデータ!Z418</f>
        <v>-2.7714285714285722</v>
      </c>
      <c r="D48" s="237">
        <f ca="1">グラフデータ!Z419</f>
        <v>-0.15714285714287257</v>
      </c>
      <c r="E48" s="1350">
        <f ca="1">グラフデータ!Z420</f>
        <v>-1.3285714285714221</v>
      </c>
      <c r="F48" s="1333">
        <f ca="1">グラフデータ!Z421</f>
        <v>0.3571428571428612</v>
      </c>
      <c r="G48" s="237">
        <f ca="1">グラフデータ!Z422</f>
        <v>1.5428571428571445</v>
      </c>
      <c r="H48" s="237">
        <f ca="1">グラフデータ!Z423</f>
        <v>1.8142857142857167</v>
      </c>
    </row>
    <row r="49" spans="1:16" ht="15" customHeight="1">
      <c r="B49" s="463"/>
      <c r="C49" s="239"/>
      <c r="D49" s="239"/>
      <c r="E49" s="239"/>
      <c r="F49" s="239"/>
      <c r="G49" s="239"/>
      <c r="H49" s="239"/>
      <c r="K49" s="1270"/>
      <c r="L49" s="1270"/>
      <c r="M49" s="1270"/>
      <c r="N49" s="1270"/>
      <c r="O49" s="1270"/>
      <c r="P49" s="1270"/>
    </row>
    <row r="50" spans="1:16" ht="14.1" customHeight="1">
      <c r="A50" s="475" t="s">
        <v>487</v>
      </c>
      <c r="B50" s="519"/>
      <c r="C50" s="519"/>
      <c r="D50" s="519"/>
      <c r="E50" s="519"/>
      <c r="F50" s="519"/>
      <c r="G50" s="519"/>
      <c r="H50" s="519"/>
    </row>
    <row r="51" spans="1:16" ht="14.1" customHeight="1">
      <c r="A51" s="475" t="s">
        <v>645</v>
      </c>
      <c r="B51" s="519"/>
      <c r="C51" s="519"/>
      <c r="D51" s="519"/>
      <c r="E51" s="519"/>
      <c r="F51" s="519"/>
      <c r="G51" s="519"/>
      <c r="H51" s="519"/>
    </row>
    <row r="52" spans="1:16" ht="14.1" customHeight="1">
      <c r="A52" s="475" t="s">
        <v>581</v>
      </c>
      <c r="B52" s="519"/>
      <c r="C52" s="519"/>
      <c r="D52" s="519"/>
      <c r="E52" s="519"/>
      <c r="F52" s="519"/>
      <c r="G52" s="519"/>
      <c r="H52" s="519"/>
    </row>
    <row r="53" spans="1:16" ht="14.1" customHeight="1">
      <c r="A53" s="475" t="s">
        <v>582</v>
      </c>
      <c r="B53" s="519"/>
      <c r="C53" s="519"/>
      <c r="D53" s="519"/>
      <c r="E53" s="519"/>
      <c r="F53" s="519"/>
      <c r="G53" s="519"/>
      <c r="H53" s="519"/>
    </row>
    <row r="54" spans="1:16" ht="12">
      <c r="A54" s="1155" t="s">
        <v>845</v>
      </c>
    </row>
  </sheetData>
  <customSheetViews>
    <customSheetView guid="{7EBA91D6-F088-446F-A1CC-E1462A1CA2C3}" showRuler="0">
      <selection activeCell="J20" sqref="J20"/>
      <pageMargins left="0.78740157480314965" right="0.59055118110236227" top="0.98425196850393704" bottom="0.98425196850393704" header="0.51181102362204722" footer="0.51181102362204722"/>
      <pageSetup paperSize="9" orientation="portrait" r:id="rId1"/>
      <headerFooter alignWithMargins="0">
        <oddFooter>&amp;C-3-</oddFooter>
      </headerFooter>
    </customSheetView>
    <customSheetView guid="{883B7A2B-3CB3-449D-A461-655262B722BC}" showRuler="0">
      <selection activeCell="J20" sqref="J20"/>
      <pageMargins left="0.78740157480314965" right="0.59055118110236227" top="0.98425196850393704" bottom="0.98425196850393704" header="0.51181102362204722" footer="0.51181102362204722"/>
      <pageSetup paperSize="9" orientation="portrait" r:id="rId2"/>
      <headerFooter alignWithMargins="0">
        <oddFooter>&amp;C-3-</oddFooter>
      </headerFooter>
    </customSheetView>
  </customSheetViews>
  <phoneticPr fontId="3"/>
  <conditionalFormatting sqref="C27:H49">
    <cfRule type="cellIs" dxfId="220" priority="1" stopIfTrue="1" operator="lessThan">
      <formula>0</formula>
    </cfRule>
  </conditionalFormatting>
  <conditionalFormatting sqref="K49:P49">
    <cfRule type="cellIs" dxfId="219" priority="4" stopIfTrue="1" operator="notEqual">
      <formula>0</formula>
    </cfRule>
  </conditionalFormatting>
  <pageMargins left="0.78740157480314965" right="0.39" top="0.6" bottom="0.59" header="0.39" footer="0.41"/>
  <pageSetup paperSize="9" scale="101" orientation="portrait" horizontalDpi="300" verticalDpi="300" r:id="rId3"/>
  <headerFooter alignWithMargins="0">
    <oddFooter>&amp;C&amp;10-3-</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pageSetUpPr fitToPage="1"/>
  </sheetPr>
  <dimension ref="A1:H54"/>
  <sheetViews>
    <sheetView view="pageBreakPreview" topLeftCell="A18" zoomScaleNormal="100" zoomScaleSheetLayoutView="100" workbookViewId="0">
      <selection activeCell="D26" sqref="D26"/>
    </sheetView>
  </sheetViews>
  <sheetFormatPr defaultColWidth="8.875" defaultRowHeight="10.5"/>
  <cols>
    <col min="1" max="1" width="25.375" style="3" customWidth="1"/>
    <col min="2" max="2" width="16.375" style="3" customWidth="1"/>
    <col min="3" max="8" width="6.625" style="3" customWidth="1"/>
    <col min="9" max="9" width="2.375" style="3" customWidth="1"/>
    <col min="10" max="16384" width="8.875" style="3"/>
  </cols>
  <sheetData>
    <row r="1" spans="1:8" ht="15" customHeight="1">
      <c r="A1" s="384" t="s">
        <v>101</v>
      </c>
      <c r="B1" s="227"/>
      <c r="C1" s="227"/>
      <c r="D1" s="227"/>
      <c r="E1" s="227"/>
      <c r="F1" s="227"/>
      <c r="G1" s="227"/>
      <c r="H1" s="227"/>
    </row>
    <row r="2" spans="1:8" ht="15" customHeight="1">
      <c r="A2" s="221"/>
      <c r="B2" s="227"/>
      <c r="C2" s="227"/>
      <c r="D2" s="227"/>
      <c r="E2" s="227"/>
      <c r="F2" s="227"/>
      <c r="G2" s="227"/>
      <c r="H2" s="227"/>
    </row>
    <row r="3" spans="1:8" ht="15" customHeight="1">
      <c r="A3" s="383" t="s">
        <v>47</v>
      </c>
      <c r="B3" s="227"/>
      <c r="C3" s="227"/>
      <c r="D3" s="227"/>
      <c r="E3" s="227"/>
      <c r="F3" s="227"/>
      <c r="G3" s="227"/>
      <c r="H3" s="227"/>
    </row>
    <row r="4" spans="1:8" ht="15" customHeight="1">
      <c r="A4" s="227"/>
      <c r="B4" s="227"/>
      <c r="C4" s="227"/>
      <c r="D4" s="227"/>
      <c r="E4" s="227"/>
      <c r="F4" s="227"/>
      <c r="G4" s="227"/>
      <c r="H4" s="227"/>
    </row>
    <row r="5" spans="1:8" ht="15" customHeight="1">
      <c r="A5" s="227"/>
      <c r="B5" s="227"/>
      <c r="C5" s="227"/>
      <c r="D5" s="227"/>
      <c r="E5" s="227"/>
      <c r="F5" s="227"/>
      <c r="G5" s="227"/>
      <c r="H5" s="227"/>
    </row>
    <row r="6" spans="1:8" ht="15" customHeight="1">
      <c r="A6" s="227"/>
      <c r="B6" s="227"/>
      <c r="C6" s="227"/>
      <c r="D6" s="227"/>
      <c r="E6" s="227"/>
      <c r="F6" s="227"/>
      <c r="G6" s="227"/>
      <c r="H6" s="227"/>
    </row>
    <row r="7" spans="1:8" ht="15" customHeight="1">
      <c r="A7" s="227"/>
      <c r="B7" s="227"/>
      <c r="C7" s="227"/>
      <c r="D7" s="227"/>
      <c r="E7" s="227"/>
      <c r="F7" s="227"/>
      <c r="G7" s="227"/>
      <c r="H7" s="227"/>
    </row>
    <row r="8" spans="1:8" ht="15" customHeight="1">
      <c r="A8" s="227"/>
      <c r="B8" s="227"/>
      <c r="C8" s="227"/>
      <c r="D8" s="227"/>
      <c r="E8" s="227"/>
      <c r="F8" s="227"/>
      <c r="G8" s="227"/>
      <c r="H8" s="227"/>
    </row>
    <row r="9" spans="1:8" ht="15" customHeight="1">
      <c r="A9" s="227"/>
      <c r="B9" s="1339"/>
      <c r="C9" s="227"/>
      <c r="D9" s="227"/>
      <c r="E9" s="227"/>
      <c r="F9" s="227"/>
      <c r="G9" s="227"/>
      <c r="H9" s="227"/>
    </row>
    <row r="10" spans="1:8" ht="15" customHeight="1">
      <c r="A10" s="227"/>
      <c r="B10" s="227"/>
      <c r="C10" s="227"/>
      <c r="D10" s="227"/>
      <c r="E10" s="227"/>
      <c r="F10" s="227"/>
      <c r="G10" s="227"/>
      <c r="H10" s="227"/>
    </row>
    <row r="11" spans="1:8" ht="15" customHeight="1">
      <c r="A11" s="227"/>
      <c r="B11" s="227"/>
      <c r="C11" s="227"/>
      <c r="D11" s="227"/>
      <c r="E11" s="227"/>
      <c r="F11" s="227"/>
      <c r="G11" s="227"/>
      <c r="H11" s="227"/>
    </row>
    <row r="12" spans="1:8" ht="15" customHeight="1">
      <c r="A12" s="227"/>
      <c r="B12" s="227"/>
      <c r="C12" s="227"/>
      <c r="D12" s="227"/>
      <c r="E12" s="227"/>
      <c r="F12" s="227"/>
      <c r="G12" s="227"/>
      <c r="H12" s="227"/>
    </row>
    <row r="13" spans="1:8" ht="15" customHeight="1">
      <c r="A13" s="227"/>
      <c r="B13" s="227"/>
      <c r="C13" s="227"/>
      <c r="D13" s="227"/>
      <c r="E13" s="227"/>
      <c r="F13" s="227"/>
      <c r="G13" s="227"/>
      <c r="H13" s="227"/>
    </row>
    <row r="14" spans="1:8" ht="15" customHeight="1">
      <c r="A14" s="227"/>
      <c r="B14" s="227"/>
      <c r="C14" s="227"/>
      <c r="D14" s="227"/>
      <c r="E14" s="227"/>
      <c r="F14" s="227"/>
      <c r="G14" s="227"/>
      <c r="H14" s="227"/>
    </row>
    <row r="15" spans="1:8" ht="15" customHeight="1">
      <c r="A15" s="227"/>
      <c r="B15" s="227"/>
      <c r="C15" s="227"/>
      <c r="D15" s="227"/>
      <c r="E15" s="227"/>
      <c r="F15" s="227"/>
      <c r="G15" s="227"/>
      <c r="H15" s="227"/>
    </row>
    <row r="16" spans="1:8" ht="15" customHeight="1">
      <c r="A16" s="227"/>
      <c r="B16" s="227"/>
      <c r="C16" s="227"/>
      <c r="D16" s="227"/>
      <c r="E16" s="227"/>
      <c r="F16" s="227"/>
      <c r="G16" s="227"/>
      <c r="H16" s="227"/>
    </row>
    <row r="17" spans="1:8" ht="15" customHeight="1">
      <c r="A17" s="227"/>
      <c r="B17" s="227"/>
      <c r="C17" s="227"/>
      <c r="D17" s="227"/>
      <c r="E17" s="227"/>
      <c r="F17" s="227"/>
      <c r="G17" s="227"/>
      <c r="H17" s="227"/>
    </row>
    <row r="18" spans="1:8" ht="15" customHeight="1">
      <c r="A18" s="227"/>
      <c r="B18" s="227"/>
      <c r="C18" s="227"/>
      <c r="D18" s="227"/>
      <c r="E18" s="227"/>
      <c r="F18" s="227"/>
      <c r="G18" s="227"/>
      <c r="H18" s="227"/>
    </row>
    <row r="19" spans="1:8" ht="15" customHeight="1">
      <c r="A19" s="227"/>
      <c r="B19" s="227"/>
      <c r="C19" s="227"/>
      <c r="D19" s="227"/>
      <c r="E19" s="227"/>
      <c r="F19" s="227"/>
      <c r="G19" s="227"/>
      <c r="H19" s="227"/>
    </row>
    <row r="20" spans="1:8" ht="15" customHeight="1">
      <c r="A20" s="227"/>
      <c r="B20" s="227"/>
      <c r="C20" s="227"/>
      <c r="D20" s="227"/>
      <c r="E20" s="227"/>
      <c r="F20" s="227"/>
      <c r="G20" s="227"/>
      <c r="H20" s="227"/>
    </row>
    <row r="21" spans="1:8" ht="15" customHeight="1">
      <c r="A21" s="227"/>
      <c r="B21" s="227"/>
      <c r="C21" s="227"/>
      <c r="D21" s="227"/>
      <c r="E21" s="227"/>
      <c r="F21" s="227"/>
      <c r="G21" s="227"/>
      <c r="H21" s="227"/>
    </row>
    <row r="22" spans="1:8" ht="15" customHeight="1">
      <c r="A22" s="227"/>
      <c r="B22" s="227"/>
      <c r="C22" s="227"/>
      <c r="D22" s="227"/>
      <c r="E22" s="227"/>
      <c r="F22" s="227"/>
      <c r="G22" s="227"/>
      <c r="H22" s="227"/>
    </row>
    <row r="23" spans="1:8" ht="15" customHeight="1">
      <c r="A23" s="227"/>
      <c r="B23" s="227"/>
      <c r="C23" s="227"/>
      <c r="D23" s="227"/>
      <c r="E23" s="227"/>
      <c r="F23" s="227"/>
      <c r="G23" s="227"/>
      <c r="H23" s="227"/>
    </row>
    <row r="24" spans="1:8" ht="15" customHeight="1" thickBot="1">
      <c r="A24" s="383" t="s">
        <v>51</v>
      </c>
      <c r="B24" s="227"/>
      <c r="C24" s="227"/>
      <c r="D24" s="227"/>
      <c r="E24" s="227"/>
      <c r="F24" s="227"/>
      <c r="G24" s="1155"/>
      <c r="H24" s="227"/>
    </row>
    <row r="25" spans="1:8" ht="15" customHeight="1">
      <c r="A25" s="470"/>
      <c r="B25" s="471"/>
      <c r="C25" s="1293" t="s">
        <v>799</v>
      </c>
      <c r="D25" s="1292"/>
      <c r="E25" s="1341"/>
      <c r="F25" s="1325" t="s">
        <v>821</v>
      </c>
      <c r="G25" s="1255"/>
      <c r="H25" s="1342"/>
    </row>
    <row r="26" spans="1:8" ht="15" customHeight="1" thickBot="1">
      <c r="A26" s="463"/>
      <c r="B26" s="472"/>
      <c r="C26" s="1294" t="s">
        <v>191</v>
      </c>
      <c r="D26" s="1104" t="s">
        <v>192</v>
      </c>
      <c r="E26" s="1343" t="s">
        <v>193</v>
      </c>
      <c r="F26" s="1326" t="s">
        <v>851</v>
      </c>
      <c r="G26" s="1104" t="s">
        <v>852</v>
      </c>
      <c r="H26" s="1104" t="s">
        <v>853</v>
      </c>
    </row>
    <row r="27" spans="1:8" ht="15" customHeight="1">
      <c r="A27" s="459" t="s">
        <v>187</v>
      </c>
      <c r="B27" s="460"/>
      <c r="C27" s="1295">
        <f ca="1">グラフデータ!F418</f>
        <v>122</v>
      </c>
      <c r="D27" s="565">
        <f ca="1">グラフデータ!F419</f>
        <v>124.5</v>
      </c>
      <c r="E27" s="1344">
        <f ca="1">グラフデータ!F420</f>
        <v>122.3</v>
      </c>
      <c r="F27" s="1327">
        <f ca="1">グラフデータ!F421</f>
        <v>114.7</v>
      </c>
      <c r="G27" s="565">
        <f ca="1">グラフデータ!F422</f>
        <v>112.9</v>
      </c>
      <c r="H27" s="565">
        <f ca="1">グラフデータ!F423</f>
        <v>116.5</v>
      </c>
    </row>
    <row r="28" spans="1:8" ht="15" customHeight="1" thickBot="1">
      <c r="A28" s="461"/>
      <c r="B28" s="462" t="s">
        <v>65</v>
      </c>
      <c r="C28" s="1296">
        <f ca="1">グラフデータ!K418</f>
        <v>2.2999999999999972</v>
      </c>
      <c r="D28" s="376">
        <f ca="1">グラフデータ!K419</f>
        <v>2.5</v>
      </c>
      <c r="E28" s="1345">
        <f ca="1">グラフデータ!K420</f>
        <v>-2.2000000000000028</v>
      </c>
      <c r="F28" s="1328">
        <f ca="1">グラフデータ!K421</f>
        <v>-7.5999999999999943</v>
      </c>
      <c r="G28" s="376">
        <f ca="1">グラフデータ!K422</f>
        <v>-1.7999999999999972</v>
      </c>
      <c r="H28" s="376">
        <f ca="1">グラフデータ!K423</f>
        <v>3.5999999999999943</v>
      </c>
    </row>
    <row r="29" spans="1:8" ht="15" customHeight="1">
      <c r="A29" s="1155" t="s">
        <v>780</v>
      </c>
      <c r="B29" s="464" t="s">
        <v>67</v>
      </c>
      <c r="C29" s="1297">
        <f ca="1">前月比データ!U481</f>
        <v>0.38610038610037789</v>
      </c>
      <c r="D29" s="240">
        <f ca="1">前月比データ!U482</f>
        <v>0.57636887608069987</v>
      </c>
      <c r="E29" s="1346">
        <f ca="1">前月比データ!U483</f>
        <v>-0.28776978417267279</v>
      </c>
      <c r="F29" s="1329">
        <f ca="1">前月比データ!U484</f>
        <v>-0.48146364949446319</v>
      </c>
      <c r="G29" s="240">
        <f ca="1">前月比データ!U485</f>
        <v>-0.58083252662148532</v>
      </c>
      <c r="H29" s="240">
        <f ca="1">前月比データ!U486</f>
        <v>0.19398642095053623</v>
      </c>
    </row>
    <row r="30" spans="1:8" ht="15" customHeight="1">
      <c r="A30" s="465" t="s">
        <v>72</v>
      </c>
      <c r="B30" s="466" t="s">
        <v>136</v>
      </c>
      <c r="C30" s="1298">
        <f ca="1">寄与度データ!W419</f>
        <v>0.8</v>
      </c>
      <c r="D30" s="241">
        <f ca="1">寄与度データ!W420</f>
        <v>1.3</v>
      </c>
      <c r="E30" s="1347">
        <f ca="1">寄与度データ!W421</f>
        <v>-0.8</v>
      </c>
      <c r="F30" s="1330">
        <f ca="1">寄与度データ!W422</f>
        <v>-1.2</v>
      </c>
      <c r="G30" s="241">
        <f ca="1">寄与度データ!W423</f>
        <v>-1.3</v>
      </c>
      <c r="H30" s="241">
        <f ca="1">寄与度データ!W424</f>
        <v>0.4</v>
      </c>
    </row>
    <row r="31" spans="1:8" ht="15" customHeight="1">
      <c r="A31" s="463" t="s">
        <v>488</v>
      </c>
      <c r="B31" s="464" t="s">
        <v>67</v>
      </c>
      <c r="C31" s="1299">
        <f ca="1">前月比データ!V481</f>
        <v>-2.2433132010353827</v>
      </c>
      <c r="D31" s="239">
        <f ca="1">前月比データ!V482</f>
        <v>5.1020408163265305</v>
      </c>
      <c r="E31" s="1348">
        <f ca="1">前月比データ!V483</f>
        <v>-5.4514480408858521</v>
      </c>
      <c r="F31" s="1331">
        <f ca="1">前月比データ!V484</f>
        <v>15.508885298869144</v>
      </c>
      <c r="G31" s="239">
        <f ca="1">前月比データ!V485</f>
        <v>-24.201680672268914</v>
      </c>
      <c r="H31" s="239">
        <f ca="1">前月比データ!V486</f>
        <v>33.836378077839548</v>
      </c>
    </row>
    <row r="32" spans="1:8" ht="15" customHeight="1">
      <c r="A32" s="463"/>
      <c r="B32" s="464" t="s">
        <v>136</v>
      </c>
      <c r="C32" s="1299">
        <f ca="1">寄与度データ!X419</f>
        <v>-0.3</v>
      </c>
      <c r="D32" s="239">
        <f ca="1">寄与度データ!X420</f>
        <v>0.5</v>
      </c>
      <c r="E32" s="1348">
        <f ca="1">寄与度データ!X421</f>
        <v>-0.7</v>
      </c>
      <c r="F32" s="1331">
        <f ca="1">寄与度データ!X422</f>
        <v>1.3</v>
      </c>
      <c r="G32" s="239">
        <f ca="1">寄与度データ!X423</f>
        <v>-2.4</v>
      </c>
      <c r="H32" s="239">
        <f ca="1">寄与度データ!X424</f>
        <v>2.7</v>
      </c>
    </row>
    <row r="33" spans="1:8" ht="15" customHeight="1">
      <c r="A33" s="467" t="s">
        <v>620</v>
      </c>
      <c r="B33" s="468" t="s">
        <v>135</v>
      </c>
      <c r="C33" s="1300">
        <f ca="1">前月比データ!W481</f>
        <v>0</v>
      </c>
      <c r="D33" s="242">
        <f ca="1">前月比データ!W482</f>
        <v>0</v>
      </c>
      <c r="E33" s="1349">
        <f ca="1">前月比データ!W483</f>
        <v>0</v>
      </c>
      <c r="F33" s="1332">
        <f ca="1">前月比データ!W484</f>
        <v>0.10000000000000009</v>
      </c>
      <c r="G33" s="242">
        <f ca="1">前月比データ!W485</f>
        <v>-0.10000000000000009</v>
      </c>
      <c r="H33" s="242">
        <f ca="1">前月比データ!W486</f>
        <v>0.10000000000000009</v>
      </c>
    </row>
    <row r="34" spans="1:8" ht="15" customHeight="1">
      <c r="A34" s="465" t="s">
        <v>622</v>
      </c>
      <c r="B34" s="644" t="s">
        <v>621</v>
      </c>
      <c r="C34" s="1298">
        <f ca="1">寄与度データ!Y419</f>
        <v>-0.06</v>
      </c>
      <c r="D34" s="241">
        <f ca="1">寄与度データ!Y420</f>
        <v>-0.05</v>
      </c>
      <c r="E34" s="1347">
        <f ca="1">寄与度データ!Y421</f>
        <v>-0.06</v>
      </c>
      <c r="F34" s="1330">
        <f ca="1">寄与度データ!Y422</f>
        <v>-0.69</v>
      </c>
      <c r="G34" s="241">
        <f ca="1">寄与度データ!Y423</f>
        <v>0.6</v>
      </c>
      <c r="H34" s="241">
        <f ca="1">寄与度データ!Y424</f>
        <v>-0.64</v>
      </c>
    </row>
    <row r="35" spans="1:8" ht="15" customHeight="1">
      <c r="A35" s="463" t="s">
        <v>631</v>
      </c>
      <c r="B35" s="468" t="s">
        <v>135</v>
      </c>
      <c r="C35" s="1300">
        <f ca="1">前月比データ!X481</f>
        <v>3.1999999999999997</v>
      </c>
      <c r="D35" s="242">
        <f ca="1">前月比データ!X482</f>
        <v>-0.7</v>
      </c>
      <c r="E35" s="1349">
        <f ca="1">前月比データ!X483</f>
        <v>-3.2</v>
      </c>
      <c r="F35" s="1332">
        <f ca="1">前月比データ!X484</f>
        <v>2.2000000000000002</v>
      </c>
      <c r="G35" s="242">
        <f ca="1">前月比データ!X485</f>
        <v>0.20000000000000007</v>
      </c>
      <c r="H35" s="242">
        <f ca="1">前月比データ!X486</f>
        <v>-2.1999999999999997</v>
      </c>
    </row>
    <row r="36" spans="1:8" ht="15" customHeight="1">
      <c r="A36" s="463" t="s">
        <v>521</v>
      </c>
      <c r="B36" s="466" t="s">
        <v>136</v>
      </c>
      <c r="C36" s="1299">
        <f ca="1">寄与度データ!Z419</f>
        <v>1.1000000000000001</v>
      </c>
      <c r="D36" s="239">
        <f ca="1">寄与度データ!Z420</f>
        <v>-0.2</v>
      </c>
      <c r="E36" s="1348">
        <f ca="1">寄与度データ!Z421</f>
        <v>-1.1000000000000001</v>
      </c>
      <c r="F36" s="1331">
        <f ca="1">寄与度データ!Z422</f>
        <v>0.7</v>
      </c>
      <c r="G36" s="239">
        <f ca="1">寄与度データ!Z423</f>
        <v>0</v>
      </c>
      <c r="H36" s="239">
        <f ca="1">寄与度データ!Z424</f>
        <v>-0.7</v>
      </c>
    </row>
    <row r="37" spans="1:8" ht="15" customHeight="1">
      <c r="A37" s="750" t="s">
        <v>540</v>
      </c>
      <c r="B37" s="468" t="s">
        <v>67</v>
      </c>
      <c r="C37" s="1300">
        <f ca="1">前月比データ!Y481</f>
        <v>-3.841956098259792</v>
      </c>
      <c r="D37" s="242">
        <f ca="1">前月比データ!Y482</f>
        <v>13.556210010921108</v>
      </c>
      <c r="E37" s="1349">
        <f ca="1">前月比データ!Y483</f>
        <v>-4.0859144745579448</v>
      </c>
      <c r="F37" s="1332">
        <f ca="1">前月比データ!Y484</f>
        <v>-20.568268145962119</v>
      </c>
      <c r="G37" s="242">
        <f ca="1">前月比データ!Y485</f>
        <v>-19.124680225534373</v>
      </c>
      <c r="H37" s="242">
        <f ca="1">前月比データ!Y486</f>
        <v>12.418610700923496</v>
      </c>
    </row>
    <row r="38" spans="1:8" ht="15" customHeight="1">
      <c r="A38" s="465" t="s">
        <v>520</v>
      </c>
      <c r="B38" s="466" t="s">
        <v>136</v>
      </c>
      <c r="C38" s="1298">
        <f ca="1">寄与度データ!AA419</f>
        <v>-0.4</v>
      </c>
      <c r="D38" s="241">
        <f ca="1">寄与度データ!AA420</f>
        <v>1.5</v>
      </c>
      <c r="E38" s="1347">
        <f ca="1">寄与度データ!AA421</f>
        <v>-0.4</v>
      </c>
      <c r="F38" s="1330">
        <f ca="1">寄与度データ!AA422</f>
        <v>-2.1</v>
      </c>
      <c r="G38" s="241">
        <f ca="1">寄与度データ!AA423</f>
        <v>-1.8</v>
      </c>
      <c r="H38" s="241">
        <f ca="1">寄与度データ!AA424</f>
        <v>1.3</v>
      </c>
    </row>
    <row r="39" spans="1:8" ht="15" customHeight="1">
      <c r="A39" s="467" t="s">
        <v>518</v>
      </c>
      <c r="B39" s="468" t="s">
        <v>135</v>
      </c>
      <c r="C39" s="1299">
        <f ca="1">前月比データ!Z481</f>
        <v>0.10000000000000009</v>
      </c>
      <c r="D39" s="239">
        <f ca="1">前月比データ!Z482</f>
        <v>9.9999999999999645E-2</v>
      </c>
      <c r="E39" s="1348">
        <f ca="1">前月比データ!Z483</f>
        <v>-0.5</v>
      </c>
      <c r="F39" s="1331">
        <f ca="1">前月比データ!Z484</f>
        <v>-1</v>
      </c>
      <c r="G39" s="239">
        <f ca="1">前月比データ!Z485</f>
        <v>0.10000000000000009</v>
      </c>
      <c r="H39" s="239">
        <f ca="1">前月比データ!Z486</f>
        <v>0.5</v>
      </c>
    </row>
    <row r="40" spans="1:8" ht="15" customHeight="1">
      <c r="A40" s="463" t="s">
        <v>469</v>
      </c>
      <c r="B40" s="466" t="s">
        <v>136</v>
      </c>
      <c r="C40" s="1299">
        <f ca="1">寄与度データ!AB419</f>
        <v>0.1</v>
      </c>
      <c r="D40" s="239">
        <f ca="1">寄与度データ!AB420</f>
        <v>0.1</v>
      </c>
      <c r="E40" s="1348">
        <f ca="1">寄与度データ!AB421</f>
        <v>-1.3</v>
      </c>
      <c r="F40" s="1331">
        <f ca="1">寄与度データ!AB422</f>
        <v>-2.2999999999999998</v>
      </c>
      <c r="G40" s="239">
        <f ca="1">寄与度データ!AB423</f>
        <v>0.1</v>
      </c>
      <c r="H40" s="239">
        <f ca="1">寄与度データ!AB424</f>
        <v>1</v>
      </c>
    </row>
    <row r="41" spans="1:8" ht="15" customHeight="1">
      <c r="A41" s="467" t="s">
        <v>519</v>
      </c>
      <c r="B41" s="468" t="s">
        <v>67</v>
      </c>
      <c r="C41" s="1300">
        <f ca="1">前月比データ!AA481</f>
        <v>12.00206398348814</v>
      </c>
      <c r="D41" s="242">
        <f ca="1">前月比データ!AA482</f>
        <v>-17.116283985520653</v>
      </c>
      <c r="E41" s="1349">
        <f ca="1">前月比データ!AA483</f>
        <v>30.148953399916554</v>
      </c>
      <c r="F41" s="1332">
        <f ca="1">前月比データ!AA484</f>
        <v>-67.346996949915891</v>
      </c>
      <c r="G41" s="242">
        <f ca="1">前月比データ!AA485</f>
        <v>56.3304621654163</v>
      </c>
      <c r="H41" s="242">
        <f ca="1">前月比データ!AA486</f>
        <v>-16.277888485132646</v>
      </c>
    </row>
    <row r="42" spans="1:8" ht="15" customHeight="1">
      <c r="A42" s="465" t="s">
        <v>470</v>
      </c>
      <c r="B42" s="466" t="s">
        <v>136</v>
      </c>
      <c r="C42" s="1299">
        <f ca="1">寄与度データ!AC419</f>
        <v>0.7</v>
      </c>
      <c r="D42" s="239">
        <f ca="1">寄与度データ!AC420</f>
        <v>-0.9</v>
      </c>
      <c r="E42" s="1348">
        <f ca="1">寄与度データ!AC421</f>
        <v>1.8</v>
      </c>
      <c r="F42" s="1331">
        <f ca="1">寄与度データ!AC422</f>
        <v>-3.6</v>
      </c>
      <c r="G42" s="239">
        <f ca="1">寄与度データ!AC423</f>
        <v>2.7</v>
      </c>
      <c r="H42" s="239">
        <f ca="1">寄与度データ!AC424</f>
        <v>-0.8</v>
      </c>
    </row>
    <row r="43" spans="1:8" ht="15" customHeight="1">
      <c r="A43" s="467" t="s">
        <v>134</v>
      </c>
      <c r="B43" s="468"/>
      <c r="C43" s="1300"/>
      <c r="D43" s="242"/>
      <c r="E43" s="1349"/>
      <c r="F43" s="1332"/>
      <c r="G43" s="242"/>
      <c r="H43" s="242"/>
    </row>
    <row r="44" spans="1:8" ht="15" customHeight="1" thickBot="1">
      <c r="A44" s="463"/>
      <c r="B44" s="464" t="s">
        <v>136</v>
      </c>
      <c r="C44" s="1301">
        <f ca="1">寄与度データ!V419</f>
        <v>0.45</v>
      </c>
      <c r="D44" s="237">
        <f ca="1">寄与度データ!V420</f>
        <v>0.46</v>
      </c>
      <c r="E44" s="1350">
        <f ca="1">寄与度データ!V421</f>
        <v>0.41</v>
      </c>
      <c r="F44" s="1333">
        <f ca="1">寄与度データ!V422</f>
        <v>0.34</v>
      </c>
      <c r="G44" s="237">
        <f ca="1">寄与度データ!V423</f>
        <v>0.34</v>
      </c>
      <c r="H44" s="237">
        <f ca="1">寄与度データ!V424</f>
        <v>0.49</v>
      </c>
    </row>
    <row r="45" spans="1:8" ht="15" customHeight="1">
      <c r="A45" s="470" t="s">
        <v>142</v>
      </c>
      <c r="B45" s="460"/>
      <c r="C45" s="1295">
        <f ca="1">グラフデータ!O418</f>
        <v>119.93333333333334</v>
      </c>
      <c r="D45" s="565">
        <f ca="1">グラフデータ!O419</f>
        <v>122.06666666666666</v>
      </c>
      <c r="E45" s="1344">
        <f ca="1">グラフデータ!O420</f>
        <v>122.93333333333334</v>
      </c>
      <c r="F45" s="1327">
        <f ca="1">グラフデータ!O421</f>
        <v>120.5</v>
      </c>
      <c r="G45" s="565">
        <f ca="1">グラフデータ!O422</f>
        <v>116.63333333333333</v>
      </c>
      <c r="H45" s="565">
        <f ca="1">グラフデータ!O423</f>
        <v>114.7</v>
      </c>
    </row>
    <row r="46" spans="1:8" ht="15" customHeight="1">
      <c r="A46" s="465"/>
      <c r="B46" s="466" t="s">
        <v>65</v>
      </c>
      <c r="C46" s="1299">
        <f ca="1">グラフデータ!S418</f>
        <v>-0.76666666666665151</v>
      </c>
      <c r="D46" s="239">
        <f ca="1">グラフデータ!S419</f>
        <v>2.1333333333333258</v>
      </c>
      <c r="E46" s="1348">
        <f ca="1">グラフデータ!S420</f>
        <v>0.86666666666667425</v>
      </c>
      <c r="F46" s="1331">
        <f ca="1">グラフデータ!S421</f>
        <v>-2.4333333333333371</v>
      </c>
      <c r="G46" s="239">
        <f ca="1">グラフデータ!S422</f>
        <v>-3.8666666666666742</v>
      </c>
      <c r="H46" s="239">
        <f ca="1">グラフデータ!S423</f>
        <v>-1.9333333333333229</v>
      </c>
    </row>
    <row r="47" spans="1:8" ht="15" customHeight="1">
      <c r="A47" s="463" t="s">
        <v>143</v>
      </c>
      <c r="B47" s="464"/>
      <c r="C47" s="1302">
        <f ca="1">グラフデータ!W418</f>
        <v>122.1857142857143</v>
      </c>
      <c r="D47" s="1105">
        <f ca="1">グラフデータ!W419</f>
        <v>122.04285714285716</v>
      </c>
      <c r="E47" s="1351">
        <f ca="1">グラフデータ!W420</f>
        <v>121.9142857142857</v>
      </c>
      <c r="F47" s="1334">
        <f ca="1">グラフデータ!W421</f>
        <v>120.79999999999998</v>
      </c>
      <c r="G47" s="1105">
        <f ca="1">グラフデータ!W422</f>
        <v>119.17142857142858</v>
      </c>
      <c r="H47" s="1105">
        <f ca="1">グラフデータ!W423</f>
        <v>118.94285714285715</v>
      </c>
    </row>
    <row r="48" spans="1:8" ht="15" customHeight="1" thickBot="1">
      <c r="A48" s="461"/>
      <c r="B48" s="462" t="s">
        <v>65</v>
      </c>
      <c r="C48" s="1301">
        <f ca="1">グラフデータ!AA418</f>
        <v>-0.82857142857142208</v>
      </c>
      <c r="D48" s="237">
        <f ca="1">グラフデータ!AA419</f>
        <v>-0.1428571428571388</v>
      </c>
      <c r="E48" s="1350">
        <f ca="1">グラフデータ!AA420</f>
        <v>-0.12857142857146187</v>
      </c>
      <c r="F48" s="1333">
        <f ca="1">グラフデータ!AA421</f>
        <v>-1.1142857142857139</v>
      </c>
      <c r="G48" s="237">
        <f ca="1">グラフデータ!AA422</f>
        <v>-1.628571428571405</v>
      </c>
      <c r="H48" s="237">
        <f ca="1">グラフデータ!AA423</f>
        <v>-0.22857142857142776</v>
      </c>
    </row>
    <row r="49" spans="1:8" ht="14.1" customHeight="1">
      <c r="B49" s="463"/>
      <c r="C49" s="239"/>
      <c r="D49" s="239"/>
      <c r="E49" s="239"/>
      <c r="F49" s="239"/>
      <c r="G49" s="239"/>
      <c r="H49" s="239"/>
    </row>
    <row r="50" spans="1:8" ht="12.6" customHeight="1">
      <c r="A50" s="475" t="s">
        <v>629</v>
      </c>
      <c r="B50" s="519"/>
      <c r="C50" s="519"/>
      <c r="D50" s="519"/>
      <c r="E50" s="519"/>
      <c r="F50" s="519"/>
      <c r="G50" s="519"/>
    </row>
    <row r="51" spans="1:8" ht="12.6" customHeight="1">
      <c r="A51" s="475" t="s">
        <v>646</v>
      </c>
      <c r="B51" s="519"/>
      <c r="C51" s="519"/>
      <c r="D51" s="519"/>
      <c r="E51" s="519"/>
      <c r="F51" s="519"/>
      <c r="G51" s="519"/>
    </row>
    <row r="52" spans="1:8" ht="12.6" customHeight="1">
      <c r="A52" s="475" t="s">
        <v>647</v>
      </c>
      <c r="B52" s="519"/>
      <c r="C52" s="519"/>
      <c r="D52" s="519"/>
      <c r="E52" s="519"/>
      <c r="F52" s="519"/>
      <c r="G52" s="519"/>
    </row>
    <row r="53" spans="1:8" ht="12">
      <c r="A53" s="475" t="s">
        <v>630</v>
      </c>
      <c r="B53" s="519"/>
      <c r="C53" s="519"/>
      <c r="D53" s="519"/>
      <c r="E53" s="519"/>
      <c r="F53" s="519"/>
      <c r="G53" s="519"/>
    </row>
    <row r="54" spans="1:8" ht="12">
      <c r="A54" s="1155" t="s">
        <v>846</v>
      </c>
    </row>
  </sheetData>
  <customSheetViews>
    <customSheetView guid="{7EBA91D6-F088-446F-A1CC-E1462A1CA2C3}" showRuler="0">
      <selection activeCell="J15" sqref="J15"/>
      <pageMargins left="0.78740157480314965" right="0.59055118110236227" top="0.98425196850393704" bottom="0.98425196850393704" header="0.51181102362204722" footer="0.51181102362204722"/>
      <pageSetup paperSize="9" orientation="portrait" r:id="rId1"/>
      <headerFooter alignWithMargins="0">
        <oddFooter>&amp;C-4-</oddFooter>
      </headerFooter>
    </customSheetView>
    <customSheetView guid="{883B7A2B-3CB3-449D-A461-655262B722BC}" showRuler="0">
      <selection activeCell="J15" sqref="J15"/>
      <pageMargins left="0.78740157480314965" right="0.59055118110236227" top="0.98425196850393704" bottom="0.98425196850393704" header="0.51181102362204722" footer="0.51181102362204722"/>
      <pageSetup paperSize="9" orientation="portrait" r:id="rId2"/>
      <headerFooter alignWithMargins="0">
        <oddFooter>&amp;C-4-</oddFooter>
      </headerFooter>
    </customSheetView>
  </customSheetViews>
  <phoneticPr fontId="3"/>
  <conditionalFormatting sqref="C27:H49">
    <cfRule type="cellIs" dxfId="218" priority="1" stopIfTrue="1" operator="lessThan">
      <formula>0</formula>
    </cfRule>
  </conditionalFormatting>
  <pageMargins left="0.78740157480314965" right="0.39370078740157483" top="0.59055118110236227" bottom="0.59055118110236227" header="0.51181102362204722" footer="0.51181102362204722"/>
  <pageSetup paperSize="9" orientation="portrait" horizontalDpi="300" verticalDpi="300" r:id="rId3"/>
  <headerFooter alignWithMargins="0">
    <oddFooter>&amp;C&amp;10-4-</oddFoot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dimension ref="B1:O52"/>
  <sheetViews>
    <sheetView view="pageBreakPreview" zoomScaleNormal="100" zoomScaleSheetLayoutView="100" workbookViewId="0">
      <selection activeCell="J24" sqref="J24"/>
    </sheetView>
  </sheetViews>
  <sheetFormatPr defaultColWidth="8.875" defaultRowHeight="14.25"/>
  <cols>
    <col min="1" max="1" width="4.625" style="214" customWidth="1"/>
    <col min="2" max="9" width="9.875" style="214" customWidth="1"/>
    <col min="10" max="16384" width="8.875" style="214"/>
  </cols>
  <sheetData>
    <row r="1" spans="2:15">
      <c r="B1" s="1495" t="s">
        <v>197</v>
      </c>
      <c r="C1" s="1495"/>
      <c r="D1" s="1495"/>
      <c r="E1" s="1495"/>
      <c r="F1" s="1495"/>
      <c r="G1" s="1495"/>
      <c r="H1" s="1495"/>
      <c r="I1" s="1495"/>
    </row>
    <row r="2" spans="2:15">
      <c r="B2" s="1496"/>
      <c r="C2" s="1496"/>
      <c r="D2" s="1496"/>
      <c r="E2" s="1496"/>
      <c r="F2" s="1496"/>
      <c r="G2" s="1496"/>
      <c r="H2" s="1496"/>
      <c r="I2" s="1496"/>
    </row>
    <row r="3" spans="2:15">
      <c r="B3" s="693" t="s">
        <v>52</v>
      </c>
    </row>
    <row r="9" spans="2:15">
      <c r="B9" s="1338"/>
    </row>
    <row r="13" spans="2:15">
      <c r="O13" s="214" t="s">
        <v>717</v>
      </c>
    </row>
    <row r="20" spans="2:2">
      <c r="B20" s="693" t="s">
        <v>53</v>
      </c>
    </row>
    <row r="36" spans="2:2">
      <c r="B36" s="693" t="s">
        <v>54</v>
      </c>
    </row>
    <row r="52" spans="2:2">
      <c r="B52" s="473" t="s">
        <v>381</v>
      </c>
    </row>
  </sheetData>
  <customSheetViews>
    <customSheetView guid="{7EBA91D6-F088-446F-A1CC-E1462A1CA2C3}" showPageBreaks="1" view="pageBreakPreview" showRuler="0" topLeftCell="A26">
      <selection activeCell="L26" sqref="L26"/>
      <pageMargins left="0.59055118110236227" right="0.39370078740157483" top="0.78740157480314965" bottom="0.78740157480314965" header="0.51181102362204722" footer="0.51181102362204722"/>
      <pageSetup paperSize="9" orientation="portrait" r:id="rId1"/>
      <headerFooter alignWithMargins="0">
        <oddFooter>&amp;C-5-</oddFooter>
      </headerFooter>
    </customSheetView>
    <customSheetView guid="{883B7A2B-3CB3-449D-A461-655262B722BC}" showPageBreaks="1" view="pageBreakPreview" showRuler="0" topLeftCell="A26">
      <selection activeCell="L26" sqref="L26"/>
      <pageMargins left="0.59055118110236227" right="0.39370078740157483" top="0.78740157480314965" bottom="0.78740157480314965" header="0.51181102362204722" footer="0.51181102362204722"/>
      <pageSetup paperSize="9" orientation="portrait" r:id="rId2"/>
      <headerFooter alignWithMargins="0">
        <oddFooter>&amp;C-5-</oddFooter>
      </headerFooter>
    </customSheetView>
  </customSheetViews>
  <mergeCells count="2">
    <mergeCell ref="B1:I1"/>
    <mergeCell ref="B2:I2"/>
  </mergeCells>
  <phoneticPr fontId="3"/>
  <pageMargins left="0.78" right="0.39370078740157483" top="0.6" bottom="0.6" header="0.41" footer="0.41"/>
  <pageSetup paperSize="9" scale="109" orientation="portrait" horizontalDpi="300" verticalDpi="300" r:id="rId3"/>
  <headerFooter alignWithMargins="0">
    <oddFooter>&amp;C&amp;10-5-</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0">
    <pageSetUpPr fitToPage="1"/>
  </sheetPr>
  <dimension ref="A1:BI64"/>
  <sheetViews>
    <sheetView view="pageBreakPreview" topLeftCell="A24" zoomScaleNormal="100" zoomScaleSheetLayoutView="100" workbookViewId="0">
      <selection activeCell="I53" sqref="I53"/>
    </sheetView>
  </sheetViews>
  <sheetFormatPr defaultColWidth="8.875" defaultRowHeight="14.25"/>
  <cols>
    <col min="1" max="2" width="5" style="214" customWidth="1"/>
    <col min="3" max="14" width="6.875" style="214" customWidth="1"/>
    <col min="15" max="15" width="0.75" style="214" customWidth="1"/>
    <col min="16" max="16" width="2.875" style="214" customWidth="1"/>
    <col min="17" max="61" width="9" customWidth="1"/>
    <col min="62" max="16384" width="8.875" style="214"/>
  </cols>
  <sheetData>
    <row r="1" spans="1:14">
      <c r="A1" s="1495" t="s">
        <v>55</v>
      </c>
      <c r="B1" s="1495"/>
      <c r="C1" s="1495"/>
      <c r="D1" s="1495"/>
      <c r="E1" s="1495"/>
      <c r="F1" s="1495"/>
      <c r="G1" s="1495"/>
      <c r="H1" s="1495"/>
      <c r="I1" s="1495"/>
      <c r="J1" s="1495"/>
      <c r="K1" s="1495"/>
      <c r="L1" s="1495"/>
      <c r="M1" s="1495"/>
      <c r="N1" s="1495"/>
    </row>
    <row r="2" spans="1:14" ht="15" customHeight="1">
      <c r="A2" s="1496"/>
      <c r="B2" s="1496"/>
      <c r="C2" s="1496"/>
      <c r="D2" s="1496"/>
      <c r="E2" s="1496"/>
      <c r="F2" s="1496"/>
      <c r="G2" s="1496"/>
      <c r="H2" s="1496"/>
      <c r="I2" s="1496"/>
      <c r="J2" s="1496"/>
      <c r="K2" s="1496"/>
      <c r="L2" s="1496"/>
      <c r="M2" s="1496"/>
      <c r="N2" s="1496"/>
    </row>
    <row r="3" spans="1:14" ht="15" customHeight="1">
      <c r="A3" s="693" t="s">
        <v>52</v>
      </c>
      <c r="B3" s="244"/>
      <c r="C3" s="244"/>
      <c r="D3" s="244"/>
      <c r="E3" s="244"/>
      <c r="F3" s="244"/>
      <c r="G3" s="244"/>
      <c r="H3" s="244"/>
      <c r="I3" s="244"/>
      <c r="J3" s="244"/>
      <c r="K3" s="244"/>
      <c r="L3" s="244"/>
      <c r="M3" s="1158"/>
      <c r="N3" s="413" t="str">
        <f>初期登録!F15</f>
        <v>(令和２年=100)</v>
      </c>
    </row>
    <row r="4" spans="1:14" ht="15" customHeight="1">
      <c r="A4" s="443"/>
      <c r="B4" s="694" t="s">
        <v>189</v>
      </c>
      <c r="C4" s="1497" t="s">
        <v>256</v>
      </c>
      <c r="D4" s="1497" t="s">
        <v>382</v>
      </c>
      <c r="E4" s="1497" t="s">
        <v>383</v>
      </c>
      <c r="F4" s="1497" t="s">
        <v>384</v>
      </c>
      <c r="G4" s="1497" t="s">
        <v>385</v>
      </c>
      <c r="H4" s="1497" t="s">
        <v>386</v>
      </c>
      <c r="I4" s="1497" t="s">
        <v>387</v>
      </c>
      <c r="J4" s="1497" t="s">
        <v>388</v>
      </c>
      <c r="K4" s="1497" t="s">
        <v>389</v>
      </c>
      <c r="L4" s="1497" t="s">
        <v>191</v>
      </c>
      <c r="M4" s="1497" t="s">
        <v>192</v>
      </c>
      <c r="N4" s="1497" t="s">
        <v>193</v>
      </c>
    </row>
    <row r="5" spans="1:14" ht="15" customHeight="1">
      <c r="A5" s="695" t="s">
        <v>190</v>
      </c>
      <c r="B5" s="444"/>
      <c r="C5" s="1498"/>
      <c r="D5" s="1498"/>
      <c r="E5" s="1498"/>
      <c r="F5" s="1498"/>
      <c r="G5" s="1498"/>
      <c r="H5" s="1498"/>
      <c r="I5" s="1498"/>
      <c r="J5" s="1498"/>
      <c r="K5" s="1498"/>
      <c r="L5" s="1498"/>
      <c r="M5" s="1498"/>
      <c r="N5" s="1498"/>
    </row>
    <row r="6" spans="1:14" ht="15" customHeight="1">
      <c r="A6" s="1251" t="s">
        <v>670</v>
      </c>
      <c r="B6" s="1252"/>
      <c r="C6" s="956">
        <f>グラフデータ!D232</f>
        <v>149.69999999999999</v>
      </c>
      <c r="D6" s="956">
        <f>グラフデータ!D233</f>
        <v>152.19999999999999</v>
      </c>
      <c r="E6" s="956">
        <f>グラフデータ!D234</f>
        <v>144.69999999999999</v>
      </c>
      <c r="F6" s="956">
        <f>グラフデータ!D235</f>
        <v>160.9</v>
      </c>
      <c r="G6" s="956">
        <f>グラフデータ!D236</f>
        <v>158.9</v>
      </c>
      <c r="H6" s="956">
        <f>グラフデータ!D237</f>
        <v>158.9</v>
      </c>
      <c r="I6" s="956">
        <f>グラフデータ!D238</f>
        <v>157.4</v>
      </c>
      <c r="J6" s="956">
        <f>グラフデータ!D239</f>
        <v>155.9</v>
      </c>
      <c r="K6" s="956">
        <f>グラフデータ!D240</f>
        <v>148.6</v>
      </c>
      <c r="L6" s="956">
        <f>グラフデータ!D241</f>
        <v>147.19999999999999</v>
      </c>
      <c r="M6" s="956">
        <f>グラフデータ!D242</f>
        <v>146.5</v>
      </c>
      <c r="N6" s="957">
        <f>グラフデータ!D243</f>
        <v>140.1</v>
      </c>
    </row>
    <row r="7" spans="1:14" ht="15" customHeight="1">
      <c r="A7" s="1251" t="s">
        <v>671</v>
      </c>
      <c r="B7" s="1252"/>
      <c r="C7" s="956">
        <f>グラフデータ!D244</f>
        <v>141.9</v>
      </c>
      <c r="D7" s="956">
        <f>グラフデータ!D245</f>
        <v>147.1</v>
      </c>
      <c r="E7" s="956">
        <f>グラフデータ!D246</f>
        <v>141.30000000000001</v>
      </c>
      <c r="F7" s="956">
        <f>グラフデータ!D247</f>
        <v>139.5</v>
      </c>
      <c r="G7" s="956">
        <f>グラフデータ!D248</f>
        <v>139.80000000000001</v>
      </c>
      <c r="H7" s="956">
        <f>グラフデータ!D249</f>
        <v>138.1</v>
      </c>
      <c r="I7" s="956">
        <f>グラフデータ!D250</f>
        <v>138.1</v>
      </c>
      <c r="J7" s="956">
        <f>グラフデータ!D251</f>
        <v>142.9</v>
      </c>
      <c r="K7" s="956">
        <f>グラフデータ!D252</f>
        <v>143.30000000000001</v>
      </c>
      <c r="L7" s="956">
        <f>グラフデータ!D253</f>
        <v>142</v>
      </c>
      <c r="M7" s="956">
        <f>グラフデータ!D254</f>
        <v>140.5</v>
      </c>
      <c r="N7" s="957">
        <f>グラフデータ!D255</f>
        <v>140.9</v>
      </c>
    </row>
    <row r="8" spans="1:14" ht="15" customHeight="1">
      <c r="A8" s="1251" t="s">
        <v>672</v>
      </c>
      <c r="B8" s="1252"/>
      <c r="C8" s="956">
        <f>グラフデータ!D256</f>
        <v>141.19999999999999</v>
      </c>
      <c r="D8" s="956">
        <f>グラフデータ!D257</f>
        <v>140.5</v>
      </c>
      <c r="E8" s="956">
        <f>グラフデータ!D258</f>
        <v>137.19999999999999</v>
      </c>
      <c r="F8" s="956">
        <f>グラフデータ!D259</f>
        <v>131.19999999999999</v>
      </c>
      <c r="G8" s="956">
        <f>グラフデータ!D260</f>
        <v>131.1</v>
      </c>
      <c r="H8" s="956">
        <f>グラフデータ!D261</f>
        <v>129.6</v>
      </c>
      <c r="I8" s="956">
        <f>グラフデータ!D262</f>
        <v>126.4</v>
      </c>
      <c r="J8" s="956">
        <f>グラフデータ!D263</f>
        <v>125.3</v>
      </c>
      <c r="K8" s="956">
        <f>グラフデータ!D264</f>
        <v>129.69999999999999</v>
      </c>
      <c r="L8" s="956">
        <f>グラフデータ!D265</f>
        <v>130.19999999999999</v>
      </c>
      <c r="M8" s="956">
        <f>グラフデータ!D266</f>
        <v>129</v>
      </c>
      <c r="N8" s="957">
        <f>グラフデータ!D267</f>
        <v>136.5</v>
      </c>
    </row>
    <row r="9" spans="1:14" ht="15" customHeight="1">
      <c r="A9" s="1251" t="s">
        <v>673</v>
      </c>
      <c r="B9" s="1252"/>
      <c r="C9" s="956">
        <f>グラフデータ!D268</f>
        <v>129.80000000000001</v>
      </c>
      <c r="D9" s="956">
        <f>グラフデータ!D269</f>
        <v>125.1</v>
      </c>
      <c r="E9" s="956">
        <f>グラフデータ!D270</f>
        <v>123.8</v>
      </c>
      <c r="F9" s="956">
        <f>グラフデータ!D271</f>
        <v>119.9</v>
      </c>
      <c r="G9" s="956">
        <f>グラフデータ!D272</f>
        <v>123</v>
      </c>
      <c r="H9" s="956">
        <f>グラフデータ!D273</f>
        <v>121.8</v>
      </c>
      <c r="I9" s="956">
        <f>グラフデータ!D274</f>
        <v>121.7</v>
      </c>
      <c r="J9" s="956">
        <f>グラフデータ!D275</f>
        <v>122.3</v>
      </c>
      <c r="K9" s="956">
        <f>グラフデータ!D276</f>
        <v>119.5</v>
      </c>
      <c r="L9" s="956">
        <f>グラフデータ!D277</f>
        <v>116.9</v>
      </c>
      <c r="M9" s="956">
        <f>グラフデータ!D278</f>
        <v>114.3</v>
      </c>
      <c r="N9" s="957">
        <f>グラフデータ!D279</f>
        <v>115.4</v>
      </c>
    </row>
    <row r="10" spans="1:14" ht="15" customHeight="1">
      <c r="A10" s="1251" t="s">
        <v>674</v>
      </c>
      <c r="B10" s="1252"/>
      <c r="C10" s="958">
        <f>グラフデータ!D280</f>
        <v>114.8</v>
      </c>
      <c r="D10" s="958">
        <f>グラフデータ!D281</f>
        <v>112.7</v>
      </c>
      <c r="E10" s="958">
        <f>グラフデータ!D282</f>
        <v>110.2</v>
      </c>
      <c r="F10" s="958">
        <f>グラフデータ!D283</f>
        <v>111.5</v>
      </c>
      <c r="G10" s="958">
        <f>グラフデータ!D284</f>
        <v>110.8</v>
      </c>
      <c r="H10" s="958">
        <f>グラフデータ!D285</f>
        <v>106.6</v>
      </c>
      <c r="I10" s="956">
        <f>グラフデータ!D286</f>
        <v>108.3</v>
      </c>
      <c r="J10" s="958">
        <f>グラフデータ!D287</f>
        <v>106.1</v>
      </c>
      <c r="K10" s="958">
        <f>グラフデータ!D288</f>
        <v>108.9</v>
      </c>
      <c r="L10" s="958">
        <f>グラフデータ!D289</f>
        <v>110.3</v>
      </c>
      <c r="M10" s="958">
        <f>グラフデータ!D290</f>
        <v>111.7</v>
      </c>
      <c r="N10" s="957">
        <f>グラフデータ!D291</f>
        <v>116.5</v>
      </c>
    </row>
    <row r="11" spans="1:14" ht="15" customHeight="1">
      <c r="A11" s="1251" t="s">
        <v>675</v>
      </c>
      <c r="B11" s="1252"/>
      <c r="C11" s="960">
        <f>グラフデータ!D292</f>
        <v>111.4</v>
      </c>
      <c r="D11" s="960">
        <f>グラフデータ!D293</f>
        <v>113</v>
      </c>
      <c r="E11" s="960">
        <f>グラフデータ!D294</f>
        <v>110.6</v>
      </c>
      <c r="F11" s="960">
        <f>グラフデータ!D295</f>
        <v>113.9</v>
      </c>
      <c r="G11" s="960">
        <f>グラフデータ!D296</f>
        <v>112.5</v>
      </c>
      <c r="H11" s="960">
        <f>グラフデータ!D297</f>
        <v>114.6</v>
      </c>
      <c r="I11" s="960">
        <f>グラフデータ!D298</f>
        <v>114.9</v>
      </c>
      <c r="J11" s="960">
        <f>グラフデータ!D299</f>
        <v>109.2</v>
      </c>
      <c r="K11" s="960">
        <f>グラフデータ!D300</f>
        <v>110.7</v>
      </c>
      <c r="L11" s="960">
        <f>グラフデータ!D301</f>
        <v>109</v>
      </c>
      <c r="M11" s="958">
        <f>グラフデータ!D302</f>
        <v>112.5</v>
      </c>
      <c r="N11" s="960">
        <f>グラフデータ!D303</f>
        <v>114.5</v>
      </c>
    </row>
    <row r="12" spans="1:14" ht="15" customHeight="1">
      <c r="A12" s="1251" t="s">
        <v>676</v>
      </c>
      <c r="B12" s="1252"/>
      <c r="C12" s="958">
        <f>グラフデータ!D304</f>
        <v>115</v>
      </c>
      <c r="D12" s="958">
        <f>グラフデータ!D305</f>
        <v>115.3</v>
      </c>
      <c r="E12" s="960">
        <f>グラフデータ!D306</f>
        <v>118.3</v>
      </c>
      <c r="F12" s="958">
        <f>グラフデータ!D307</f>
        <v>121.1</v>
      </c>
      <c r="G12" s="958">
        <f>グラフデータ!D308</f>
        <v>119.6</v>
      </c>
      <c r="H12" s="958">
        <f>グラフデータ!D309</f>
        <v>119.7</v>
      </c>
      <c r="I12" s="958">
        <f>グラフデータ!D310</f>
        <v>123.2</v>
      </c>
      <c r="J12" s="960">
        <f>グラフデータ!D311</f>
        <v>122.5</v>
      </c>
      <c r="K12" s="958">
        <f>グラフデータ!D312</f>
        <v>123.2</v>
      </c>
      <c r="L12" s="958">
        <f>グラフデータ!D313</f>
        <v>125.1</v>
      </c>
      <c r="M12" s="958">
        <f>グラフデータ!D314</f>
        <v>129.19999999999999</v>
      </c>
      <c r="N12" s="957">
        <f>グラフデータ!D315</f>
        <v>125.9</v>
      </c>
    </row>
    <row r="13" spans="1:14" ht="15" customHeight="1">
      <c r="A13" s="1251" t="s">
        <v>678</v>
      </c>
      <c r="B13" s="1252"/>
      <c r="C13" s="958">
        <f>グラフデータ!D316</f>
        <v>125.7</v>
      </c>
      <c r="D13" s="988">
        <f>グラフデータ!D317</f>
        <v>124.5</v>
      </c>
      <c r="E13" s="988">
        <f>グラフデータ!D318</f>
        <v>120.7</v>
      </c>
      <c r="F13" s="988">
        <f>グラフデータ!D319</f>
        <v>122.2</v>
      </c>
      <c r="G13" s="988">
        <f>グラフデータ!D320</f>
        <v>126.5</v>
      </c>
      <c r="H13" s="988">
        <f>グラフデータ!D321</f>
        <v>125.4</v>
      </c>
      <c r="I13" s="988">
        <f>グラフデータ!D322</f>
        <v>123.1</v>
      </c>
      <c r="J13" s="988">
        <f>グラフデータ!D323</f>
        <v>118.4</v>
      </c>
      <c r="K13" s="988">
        <f>グラフデータ!D324</f>
        <v>117.2</v>
      </c>
      <c r="L13" s="988">
        <f>グラフデータ!D325</f>
        <v>114.1</v>
      </c>
      <c r="M13" s="988">
        <f>グラフデータ!D326</f>
        <v>119.8</v>
      </c>
      <c r="N13" s="960">
        <f>グラフデータ!D327</f>
        <v>113.2</v>
      </c>
    </row>
    <row r="14" spans="1:14" ht="15" customHeight="1">
      <c r="A14" s="1251" t="s">
        <v>677</v>
      </c>
      <c r="B14" s="1252"/>
      <c r="C14" s="958">
        <f>グラフデータ!D328</f>
        <v>112.2</v>
      </c>
      <c r="D14" s="988">
        <f>グラフデータ!D329</f>
        <v>113</v>
      </c>
      <c r="E14" s="988">
        <f>グラフデータ!D330</f>
        <v>107.3</v>
      </c>
      <c r="F14" s="988">
        <f>グラフデータ!D331</f>
        <v>97.6</v>
      </c>
      <c r="G14" s="988">
        <f>グラフデータ!D332</f>
        <v>88.9</v>
      </c>
      <c r="H14" s="988">
        <f>グラフデータ!D333</f>
        <v>86.7</v>
      </c>
      <c r="I14" s="988">
        <f>グラフデータ!D334</f>
        <v>91.8</v>
      </c>
      <c r="J14" s="988">
        <f>グラフデータ!D335</f>
        <v>96.5</v>
      </c>
      <c r="K14" s="988">
        <f>グラフデータ!D336</f>
        <v>98.6</v>
      </c>
      <c r="L14" s="988">
        <f>グラフデータ!D337</f>
        <v>102.1</v>
      </c>
      <c r="M14" s="988">
        <f>グラフデータ!D338</f>
        <v>102.4</v>
      </c>
      <c r="N14" s="960">
        <f>グラフデータ!D339</f>
        <v>103.1</v>
      </c>
    </row>
    <row r="15" spans="1:14" ht="15" customHeight="1">
      <c r="A15" s="1251" t="s">
        <v>683</v>
      </c>
      <c r="B15" s="1252"/>
      <c r="C15" s="960">
        <f>グラフデータ!D340</f>
        <v>106.1</v>
      </c>
      <c r="D15" s="960">
        <f>グラフデータ!D341</f>
        <v>102.4</v>
      </c>
      <c r="E15" s="960">
        <f>グラフデータ!D342</f>
        <v>105</v>
      </c>
      <c r="F15" s="960">
        <f>グラフデータ!D343</f>
        <v>109.1</v>
      </c>
      <c r="G15" s="960">
        <f>グラフデータ!D344</f>
        <v>108.7</v>
      </c>
      <c r="H15" s="988">
        <f>グラフデータ!D345</f>
        <v>104.9</v>
      </c>
      <c r="I15" s="960">
        <f>グラフデータ!D346</f>
        <v>109.8</v>
      </c>
      <c r="J15" s="960">
        <f>グラフデータ!D347</f>
        <v>109.2</v>
      </c>
      <c r="K15" s="960">
        <f>グラフデータ!D348</f>
        <v>103.6</v>
      </c>
      <c r="L15" s="960">
        <f>グラフデータ!D349</f>
        <v>105.3</v>
      </c>
      <c r="M15" s="960">
        <f>グラフデータ!D350</f>
        <v>110.6</v>
      </c>
      <c r="N15" s="960">
        <f>グラフデータ!D351</f>
        <v>114.8</v>
      </c>
    </row>
    <row r="16" spans="1:14" ht="15" customHeight="1">
      <c r="A16" s="1080" t="s">
        <v>687</v>
      </c>
      <c r="B16" s="1081"/>
      <c r="C16" s="960">
        <f>グラフデータ!D352</f>
        <v>110.3</v>
      </c>
      <c r="D16" s="960">
        <f>グラフデータ!D353</f>
        <v>106</v>
      </c>
      <c r="E16" s="960">
        <f>グラフデータ!D354</f>
        <v>106.6</v>
      </c>
      <c r="F16" s="960">
        <f>グラフデータ!D355</f>
        <v>112</v>
      </c>
      <c r="G16" s="960">
        <f>グラフデータ!D356</f>
        <v>115.8</v>
      </c>
      <c r="H16" s="960">
        <f>グラフデータ!D357</f>
        <v>118</v>
      </c>
      <c r="I16" s="960">
        <f>グラフデータ!D358</f>
        <v>119.5</v>
      </c>
      <c r="J16" s="960">
        <f>グラフデータ!D359</f>
        <v>117.4</v>
      </c>
      <c r="K16" s="960">
        <f>グラフデータ!D360</f>
        <v>118.4</v>
      </c>
      <c r="L16" s="960">
        <f>グラフデータ!D361</f>
        <v>123.7</v>
      </c>
      <c r="M16" s="960">
        <f>グラフデータ!D362</f>
        <v>122.2</v>
      </c>
      <c r="N16" s="960">
        <f>グラフデータ!D363</f>
        <v>124.5</v>
      </c>
    </row>
    <row r="17" spans="1:14" ht="15" customHeight="1">
      <c r="A17" s="1080" t="s">
        <v>696</v>
      </c>
      <c r="B17" s="1081"/>
      <c r="C17" s="960">
        <f>グラフデータ!D364</f>
        <v>124.9</v>
      </c>
      <c r="D17" s="960">
        <f>グラフデータ!D365</f>
        <v>127.6</v>
      </c>
      <c r="E17" s="960">
        <f>グラフデータ!D366</f>
        <v>122</v>
      </c>
      <c r="F17" s="960">
        <f>グラフデータ!D367</f>
        <v>128.1</v>
      </c>
      <c r="G17" s="960">
        <f>グラフデータ!D368</f>
        <v>128.4</v>
      </c>
      <c r="H17" s="960">
        <f>グラフデータ!D369</f>
        <v>138.1</v>
      </c>
      <c r="I17" s="960">
        <f>グラフデータ!D370</f>
        <v>128.9</v>
      </c>
      <c r="J17" s="960">
        <f>グラフデータ!D371</f>
        <v>130.6</v>
      </c>
      <c r="K17" s="960">
        <f>グラフデータ!D372</f>
        <v>137.80000000000001</v>
      </c>
      <c r="L17" s="960">
        <f>グラフデータ!D373</f>
        <v>133.9</v>
      </c>
      <c r="M17" s="960">
        <f>グラフデータ!D374</f>
        <v>137</v>
      </c>
      <c r="N17" s="960">
        <f>グラフデータ!D375</f>
        <v>137.30000000000001</v>
      </c>
    </row>
    <row r="18" spans="1:14" ht="15" customHeight="1">
      <c r="A18" s="1080" t="s">
        <v>699</v>
      </c>
      <c r="B18" s="1081"/>
      <c r="C18" s="960">
        <f>グラフデータ!D376</f>
        <v>125.9</v>
      </c>
      <c r="D18" s="960">
        <f>グラフデータ!D377</f>
        <v>124</v>
      </c>
      <c r="E18" s="960">
        <f>グラフデータ!$D378</f>
        <v>130.19999999999999</v>
      </c>
      <c r="F18" s="960">
        <f>グラフデータ!$D379</f>
        <v>136.19999999999999</v>
      </c>
      <c r="G18" s="960">
        <f>グラフデータ!$D380</f>
        <v>135.4</v>
      </c>
      <c r="H18" s="960">
        <f>グラフデータ!$D381</f>
        <v>134.5</v>
      </c>
      <c r="I18" s="960">
        <f>グラフデータ!$D382</f>
        <v>137.19999999999999</v>
      </c>
      <c r="J18" s="960">
        <f>グラフデータ!$D383</f>
        <v>137.6</v>
      </c>
      <c r="K18" s="960">
        <f>グラフデータ!$D384</f>
        <v>140.5</v>
      </c>
      <c r="L18" s="960">
        <f>グラフデータ!$D385</f>
        <v>141</v>
      </c>
      <c r="M18" s="960">
        <f>グラフデータ!$D386</f>
        <v>140.4</v>
      </c>
      <c r="N18" s="960">
        <f>グラフデータ!$D387</f>
        <v>141.5</v>
      </c>
    </row>
    <row r="19" spans="1:14" ht="15" customHeight="1">
      <c r="A19" s="1080" t="s">
        <v>819</v>
      </c>
      <c r="B19" s="1081"/>
      <c r="C19" s="960">
        <f>グラフデータ!$D388</f>
        <v>146.80000000000001</v>
      </c>
      <c r="D19" s="960">
        <f>グラフデータ!$D389</f>
        <v>148.19999999999999</v>
      </c>
      <c r="E19" s="960">
        <f>グラフデータ!$D390</f>
        <v>146.1</v>
      </c>
      <c r="F19" s="960">
        <f>グラフデータ!$D391</f>
        <v>155.19999999999999</v>
      </c>
      <c r="G19" s="960">
        <f>グラフデータ!$D392</f>
        <v>145.69999999999999</v>
      </c>
      <c r="H19" s="960">
        <f>グラフデータ!$D393</f>
        <v>152.80000000000001</v>
      </c>
      <c r="I19" s="960">
        <f>グラフデータ!$D394</f>
        <v>147.5</v>
      </c>
      <c r="J19" s="960">
        <f>グラフデータ!$D395</f>
        <v>145.1</v>
      </c>
      <c r="K19" s="960">
        <f>グラフデータ!$D396</f>
        <v>150.30000000000001</v>
      </c>
      <c r="L19" s="960">
        <f>グラフデータ!$D397</f>
        <v>148.19999999999999</v>
      </c>
      <c r="M19" s="960">
        <f>グラフデータ!$D398</f>
        <v>151.5</v>
      </c>
      <c r="N19" s="960">
        <f>グラフデータ!$D399</f>
        <v>153.80000000000001</v>
      </c>
    </row>
    <row r="20" spans="1:14" ht="15" customHeight="1">
      <c r="A20" s="1077" t="s">
        <v>820</v>
      </c>
      <c r="B20" s="1078"/>
      <c r="C20" s="959">
        <f>グラフデータ!$D400</f>
        <v>158.5</v>
      </c>
      <c r="D20" s="959">
        <f>グラフデータ!$D401</f>
        <v>155.69999999999999</v>
      </c>
      <c r="E20" s="959">
        <f>グラフデータ!$D402</f>
        <v>156.19999999999999</v>
      </c>
      <c r="F20" s="959"/>
      <c r="G20" s="959"/>
      <c r="H20" s="959"/>
      <c r="I20" s="959"/>
      <c r="J20" s="959"/>
      <c r="K20" s="959"/>
      <c r="L20" s="959"/>
      <c r="M20" s="959"/>
      <c r="N20" s="959"/>
    </row>
    <row r="21" spans="1:14" ht="7.5" customHeight="1">
      <c r="A21" s="1073"/>
      <c r="B21" s="1073"/>
      <c r="C21" s="1074"/>
      <c r="D21" s="1074"/>
      <c r="E21" s="1074"/>
      <c r="F21" s="1074"/>
      <c r="G21" s="1074"/>
      <c r="H21" s="1074"/>
      <c r="I21" s="1074"/>
      <c r="J21" s="1074"/>
      <c r="K21" s="1074"/>
      <c r="L21" s="1074"/>
      <c r="M21" s="1074"/>
      <c r="N21" s="1074"/>
    </row>
    <row r="22" spans="1:14" ht="7.5" customHeight="1"/>
    <row r="23" spans="1:14" ht="15" customHeight="1">
      <c r="A23" s="693" t="s">
        <v>53</v>
      </c>
      <c r="B23" s="244"/>
      <c r="C23" s="244"/>
      <c r="D23" s="244"/>
      <c r="E23" s="244"/>
      <c r="F23" s="244"/>
      <c r="G23" s="244"/>
      <c r="H23" s="244"/>
      <c r="I23" s="244"/>
      <c r="J23" s="244"/>
      <c r="K23" s="244"/>
      <c r="L23" s="244"/>
      <c r="M23" s="1158"/>
      <c r="N23" s="413" t="str">
        <f>初期登録!F15</f>
        <v>(令和２年=100)</v>
      </c>
    </row>
    <row r="24" spans="1:14" ht="15" customHeight="1">
      <c r="A24" s="443"/>
      <c r="B24" s="694" t="s">
        <v>189</v>
      </c>
      <c r="C24" s="1497" t="s">
        <v>256</v>
      </c>
      <c r="D24" s="1497" t="s">
        <v>382</v>
      </c>
      <c r="E24" s="1497" t="s">
        <v>383</v>
      </c>
      <c r="F24" s="1497" t="s">
        <v>384</v>
      </c>
      <c r="G24" s="1497" t="s">
        <v>385</v>
      </c>
      <c r="H24" s="1497" t="s">
        <v>386</v>
      </c>
      <c r="I24" s="1497" t="s">
        <v>387</v>
      </c>
      <c r="J24" s="1497" t="s">
        <v>388</v>
      </c>
      <c r="K24" s="1497" t="s">
        <v>389</v>
      </c>
      <c r="L24" s="1497" t="s">
        <v>191</v>
      </c>
      <c r="M24" s="1497" t="s">
        <v>192</v>
      </c>
      <c r="N24" s="1497" t="s">
        <v>193</v>
      </c>
    </row>
    <row r="25" spans="1:14" ht="15" customHeight="1">
      <c r="A25" s="695" t="s">
        <v>190</v>
      </c>
      <c r="B25" s="444"/>
      <c r="C25" s="1498"/>
      <c r="D25" s="1498"/>
      <c r="E25" s="1498"/>
      <c r="F25" s="1498"/>
      <c r="G25" s="1498"/>
      <c r="H25" s="1498"/>
      <c r="I25" s="1498"/>
      <c r="J25" s="1498"/>
      <c r="K25" s="1498"/>
      <c r="L25" s="1498"/>
      <c r="M25" s="1498"/>
      <c r="N25" s="1498"/>
    </row>
    <row r="26" spans="1:14" ht="15" customHeight="1">
      <c r="A26" s="1251" t="s">
        <v>670</v>
      </c>
      <c r="B26" s="1252"/>
      <c r="C26" s="956">
        <f>グラフデータ!E232</f>
        <v>138.6</v>
      </c>
      <c r="D26" s="956">
        <f>グラフデータ!E233</f>
        <v>144.9</v>
      </c>
      <c r="E26" s="956">
        <f>グラフデータ!E234</f>
        <v>154.19999999999999</v>
      </c>
      <c r="F26" s="956">
        <f>グラフデータ!E235</f>
        <v>151.80000000000001</v>
      </c>
      <c r="G26" s="956">
        <f>グラフデータ!E236</f>
        <v>156.4</v>
      </c>
      <c r="H26" s="956">
        <f>グラフデータ!E237</f>
        <v>157</v>
      </c>
      <c r="I26" s="956">
        <f>グラフデータ!E238</f>
        <v>159.9</v>
      </c>
      <c r="J26" s="956">
        <f>グラフデータ!E239</f>
        <v>152.19999999999999</v>
      </c>
      <c r="K26" s="956">
        <f>グラフデータ!E240</f>
        <v>150.80000000000001</v>
      </c>
      <c r="L26" s="956">
        <f>グラフデータ!E241</f>
        <v>146.1</v>
      </c>
      <c r="M26" s="956">
        <f>グラフデータ!E242</f>
        <v>145</v>
      </c>
      <c r="N26" s="957">
        <f>グラフデータ!E243</f>
        <v>146.19999999999999</v>
      </c>
    </row>
    <row r="27" spans="1:14" ht="15" customHeight="1">
      <c r="A27" s="1251" t="s">
        <v>671</v>
      </c>
      <c r="B27" s="1252"/>
      <c r="C27" s="956">
        <f>グラフデータ!E244</f>
        <v>150.80000000000001</v>
      </c>
      <c r="D27" s="956">
        <f>グラフデータ!E245</f>
        <v>149.4</v>
      </c>
      <c r="E27" s="956">
        <f>グラフデータ!E246</f>
        <v>153.1</v>
      </c>
      <c r="F27" s="956">
        <f>グラフデータ!E247</f>
        <v>145.69999999999999</v>
      </c>
      <c r="G27" s="956">
        <f>グラフデータ!E248</f>
        <v>147.9</v>
      </c>
      <c r="H27" s="956">
        <f>グラフデータ!E249</f>
        <v>152.5</v>
      </c>
      <c r="I27" s="956">
        <f>グラフデータ!E250</f>
        <v>152.80000000000001</v>
      </c>
      <c r="J27" s="956">
        <f>グラフデータ!E251</f>
        <v>158</v>
      </c>
      <c r="K27" s="956">
        <f>グラフデータ!E252</f>
        <v>156.1</v>
      </c>
      <c r="L27" s="956">
        <f>グラフデータ!E253</f>
        <v>153</v>
      </c>
      <c r="M27" s="956">
        <f>グラフデータ!E254</f>
        <v>157.4</v>
      </c>
      <c r="N27" s="957">
        <f>グラフデータ!E255</f>
        <v>154</v>
      </c>
    </row>
    <row r="28" spans="1:14" ht="15" customHeight="1">
      <c r="A28" s="1251" t="s">
        <v>672</v>
      </c>
      <c r="B28" s="1252"/>
      <c r="C28" s="956">
        <f>グラフデータ!E256</f>
        <v>156.69999999999999</v>
      </c>
      <c r="D28" s="956">
        <f>グラフデータ!E257</f>
        <v>156</v>
      </c>
      <c r="E28" s="956">
        <f>グラフデータ!E258</f>
        <v>145.6</v>
      </c>
      <c r="F28" s="956">
        <f>グラフデータ!E259</f>
        <v>142.30000000000001</v>
      </c>
      <c r="G28" s="956">
        <f>グラフデータ!E260</f>
        <v>145.4</v>
      </c>
      <c r="H28" s="956">
        <f>グラフデータ!E261</f>
        <v>146.6</v>
      </c>
      <c r="I28" s="956">
        <f>グラフデータ!E262</f>
        <v>143.6</v>
      </c>
      <c r="J28" s="956">
        <f>グラフデータ!E263</f>
        <v>135.69999999999999</v>
      </c>
      <c r="K28" s="956">
        <f>グラフデータ!E264</f>
        <v>141.30000000000001</v>
      </c>
      <c r="L28" s="956">
        <f>グラフデータ!E265</f>
        <v>143.19999999999999</v>
      </c>
      <c r="M28" s="956">
        <f>グラフデータ!E266</f>
        <v>149.80000000000001</v>
      </c>
      <c r="N28" s="957">
        <f>グラフデータ!E267</f>
        <v>141.69999999999999</v>
      </c>
    </row>
    <row r="29" spans="1:14" ht="15" customHeight="1">
      <c r="A29" s="1251" t="s">
        <v>673</v>
      </c>
      <c r="B29" s="1252"/>
      <c r="C29" s="956">
        <f>グラフデータ!E268</f>
        <v>150.30000000000001</v>
      </c>
      <c r="D29" s="956">
        <f>グラフデータ!E269</f>
        <v>144.9</v>
      </c>
      <c r="E29" s="956">
        <f>グラフデータ!E270</f>
        <v>146</v>
      </c>
      <c r="F29" s="956">
        <f>グラフデータ!E271</f>
        <v>149.30000000000001</v>
      </c>
      <c r="G29" s="956">
        <f>グラフデータ!E272</f>
        <v>144</v>
      </c>
      <c r="H29" s="956">
        <f>グラフデータ!E273</f>
        <v>140.30000000000001</v>
      </c>
      <c r="I29" s="956">
        <f>グラフデータ!E274</f>
        <v>142.4</v>
      </c>
      <c r="J29" s="956">
        <f>グラフデータ!E275</f>
        <v>142.30000000000001</v>
      </c>
      <c r="K29" s="956">
        <f>グラフデータ!E276</f>
        <v>137.5</v>
      </c>
      <c r="L29" s="956">
        <f>グラフデータ!E277</f>
        <v>136.9</v>
      </c>
      <c r="M29" s="956">
        <f>グラフデータ!E278</f>
        <v>130.1</v>
      </c>
      <c r="N29" s="957">
        <f>グラフデータ!E279</f>
        <v>132.6</v>
      </c>
    </row>
    <row r="30" spans="1:14" ht="15" customHeight="1">
      <c r="A30" s="1251" t="s">
        <v>674</v>
      </c>
      <c r="B30" s="1252"/>
      <c r="C30" s="956">
        <f>グラフデータ!E280</f>
        <v>130.5</v>
      </c>
      <c r="D30" s="956">
        <f>グラフデータ!E281</f>
        <v>130.4</v>
      </c>
      <c r="E30" s="956">
        <f>グラフデータ!E282</f>
        <v>129.4</v>
      </c>
      <c r="F30" s="956">
        <f>グラフデータ!E283</f>
        <v>130.69999999999999</v>
      </c>
      <c r="G30" s="956">
        <f>グラフデータ!E284</f>
        <v>128.4</v>
      </c>
      <c r="H30" s="956">
        <f>グラフデータ!E285</f>
        <v>126.2</v>
      </c>
      <c r="I30" s="956">
        <f>グラフデータ!E286</f>
        <v>125.4</v>
      </c>
      <c r="J30" s="956">
        <f>グラフデータ!E287</f>
        <v>125</v>
      </c>
      <c r="K30" s="956">
        <f>グラフデータ!E288</f>
        <v>131.9</v>
      </c>
      <c r="L30" s="956">
        <f>グラフデータ!E289</f>
        <v>128.9</v>
      </c>
      <c r="M30" s="956">
        <f>グラフデータ!E290</f>
        <v>131.19999999999999</v>
      </c>
      <c r="N30" s="957">
        <f>グラフデータ!E291</f>
        <v>134.19999999999999</v>
      </c>
    </row>
    <row r="31" spans="1:14" ht="15" customHeight="1">
      <c r="A31" s="1251" t="s">
        <v>675</v>
      </c>
      <c r="B31" s="1252"/>
      <c r="C31" s="956">
        <f>グラフデータ!E292</f>
        <v>136.4</v>
      </c>
      <c r="D31" s="956">
        <f>グラフデータ!E293</f>
        <v>137.69999999999999</v>
      </c>
      <c r="E31" s="956">
        <f>グラフデータ!E294</f>
        <v>135.6</v>
      </c>
      <c r="F31" s="956">
        <f>グラフデータ!E295</f>
        <v>141.9</v>
      </c>
      <c r="G31" s="956">
        <f>グラフデータ!E296</f>
        <v>141.69999999999999</v>
      </c>
      <c r="H31" s="956">
        <f>グラフデータ!E297</f>
        <v>142.6</v>
      </c>
      <c r="I31" s="956">
        <f>グラフデータ!E298</f>
        <v>144</v>
      </c>
      <c r="J31" s="956">
        <f>グラフデータ!E299</f>
        <v>140.9</v>
      </c>
      <c r="K31" s="956">
        <f>グラフデータ!E300</f>
        <v>137.1</v>
      </c>
      <c r="L31" s="956">
        <f>グラフデータ!E301</f>
        <v>140.80000000000001</v>
      </c>
      <c r="M31" s="956">
        <f>グラフデータ!E302</f>
        <v>144.5</v>
      </c>
      <c r="N31" s="960">
        <f>グラフデータ!E303</f>
        <v>144.9</v>
      </c>
    </row>
    <row r="32" spans="1:14" ht="15" customHeight="1">
      <c r="A32" s="1251" t="s">
        <v>676</v>
      </c>
      <c r="B32" s="1252"/>
      <c r="C32" s="956">
        <f>グラフデータ!E304</f>
        <v>144.80000000000001</v>
      </c>
      <c r="D32" s="956">
        <f>グラフデータ!E305</f>
        <v>141.4</v>
      </c>
      <c r="E32" s="956">
        <f>グラフデータ!E306</f>
        <v>144.5</v>
      </c>
      <c r="F32" s="956">
        <f>グラフデータ!E307</f>
        <v>146.6</v>
      </c>
      <c r="G32" s="956">
        <f>グラフデータ!E308</f>
        <v>145.4</v>
      </c>
      <c r="H32" s="956">
        <f>グラフデータ!E309</f>
        <v>148.19999999999999</v>
      </c>
      <c r="I32" s="956">
        <f>グラフデータ!E310</f>
        <v>147.69999999999999</v>
      </c>
      <c r="J32" s="956">
        <f>グラフデータ!E311</f>
        <v>145.30000000000001</v>
      </c>
      <c r="K32" s="956">
        <f>グラフデータ!E312</f>
        <v>144.30000000000001</v>
      </c>
      <c r="L32" s="956">
        <f>グラフデータ!E313</f>
        <v>144.1</v>
      </c>
      <c r="M32" s="956">
        <f>グラフデータ!E314</f>
        <v>140.30000000000001</v>
      </c>
      <c r="N32" s="957">
        <f>グラフデータ!E315</f>
        <v>141.5</v>
      </c>
    </row>
    <row r="33" spans="1:14" ht="15" customHeight="1">
      <c r="A33" s="1251" t="s">
        <v>678</v>
      </c>
      <c r="B33" s="1252"/>
      <c r="C33" s="988">
        <f>グラフデータ!E316</f>
        <v>133</v>
      </c>
      <c r="D33" s="988">
        <f>グラフデータ!E317</f>
        <v>136.30000000000001</v>
      </c>
      <c r="E33" s="988">
        <f>グラフデータ!E318</f>
        <v>135.69999999999999</v>
      </c>
      <c r="F33" s="988">
        <f>グラフデータ!E319</f>
        <v>132.19999999999999</v>
      </c>
      <c r="G33" s="988">
        <f>グラフデータ!E320</f>
        <v>134.5</v>
      </c>
      <c r="H33" s="988">
        <f>グラフデータ!E321</f>
        <v>129.5</v>
      </c>
      <c r="I33" s="988">
        <f>グラフデータ!E322</f>
        <v>127.4</v>
      </c>
      <c r="J33" s="988">
        <f>グラフデータ!E323</f>
        <v>124.6</v>
      </c>
      <c r="K33" s="988">
        <f>グラフデータ!E324</f>
        <v>126.8</v>
      </c>
      <c r="L33" s="988">
        <f>グラフデータ!E325</f>
        <v>126.5</v>
      </c>
      <c r="M33" s="988">
        <f>グラフデータ!E326</f>
        <v>120.2</v>
      </c>
      <c r="N33" s="960">
        <f>グラフデータ!E327</f>
        <v>112.9</v>
      </c>
    </row>
    <row r="34" spans="1:14" ht="15" customHeight="1">
      <c r="A34" s="1251" t="s">
        <v>677</v>
      </c>
      <c r="B34" s="1252"/>
      <c r="C34" s="960">
        <f>グラフデータ!E328</f>
        <v>109</v>
      </c>
      <c r="D34" s="988">
        <f>グラフデータ!E329</f>
        <v>117.2</v>
      </c>
      <c r="E34" s="988">
        <f>グラフデータ!E330</f>
        <v>111.2</v>
      </c>
      <c r="F34" s="988">
        <f>グラフデータ!E331</f>
        <v>106.4</v>
      </c>
      <c r="G34" s="988">
        <f>グラフデータ!E332</f>
        <v>90.4</v>
      </c>
      <c r="H34" s="960">
        <f>グラフデータ!E333</f>
        <v>88.4</v>
      </c>
      <c r="I34" s="988">
        <f>グラフデータ!E334</f>
        <v>90.1</v>
      </c>
      <c r="J34" s="988">
        <f>グラフデータ!E335</f>
        <v>92.1</v>
      </c>
      <c r="K34" s="988">
        <f>グラフデータ!E336</f>
        <v>93.1</v>
      </c>
      <c r="L34" s="988">
        <f>グラフデータ!E337</f>
        <v>97.8</v>
      </c>
      <c r="M34" s="988">
        <f>グラフデータ!E338</f>
        <v>100.9</v>
      </c>
      <c r="N34" s="960">
        <f>グラフデータ!E339</f>
        <v>103.5</v>
      </c>
    </row>
    <row r="35" spans="1:14" ht="15" customHeight="1">
      <c r="A35" s="1251" t="s">
        <v>683</v>
      </c>
      <c r="B35" s="1252"/>
      <c r="C35" s="960">
        <f>グラフデータ!E340</f>
        <v>115.7</v>
      </c>
      <c r="D35" s="960">
        <f>グラフデータ!E341</f>
        <v>113.7</v>
      </c>
      <c r="E35" s="960">
        <f>グラフデータ!E342</f>
        <v>114.8</v>
      </c>
      <c r="F35" s="960">
        <f>グラフデータ!E343</f>
        <v>121.3</v>
      </c>
      <c r="G35" s="960">
        <f>グラフデータ!E344</f>
        <v>122.7</v>
      </c>
      <c r="H35" s="960">
        <f>グラフデータ!E345</f>
        <v>131.4</v>
      </c>
      <c r="I35" s="960">
        <f>グラフデータ!E346</f>
        <v>132.9</v>
      </c>
      <c r="J35" s="960">
        <f>グラフデータ!E347</f>
        <v>140</v>
      </c>
      <c r="K35" s="960">
        <f>グラフデータ!E348</f>
        <v>136.30000000000001</v>
      </c>
      <c r="L35" s="960">
        <f>グラフデータ!E349</f>
        <v>134.80000000000001</v>
      </c>
      <c r="M35" s="960">
        <f>グラフデータ!E350</f>
        <v>137</v>
      </c>
      <c r="N35" s="960">
        <f>グラフデータ!E351</f>
        <v>143.80000000000001</v>
      </c>
    </row>
    <row r="36" spans="1:14" ht="15" customHeight="1">
      <c r="A36" s="1080" t="s">
        <v>687</v>
      </c>
      <c r="B36" s="1081"/>
      <c r="C36" s="960">
        <f>グラフデータ!E352</f>
        <v>149.69999999999999</v>
      </c>
      <c r="D36" s="960">
        <f>グラフデータ!E353</f>
        <v>149.1</v>
      </c>
      <c r="E36" s="960">
        <f>グラフデータ!E354</f>
        <v>149.5</v>
      </c>
      <c r="F36" s="960">
        <f>グラフデータ!E355</f>
        <v>147.19999999999999</v>
      </c>
      <c r="G36" s="960">
        <f>グラフデータ!E356</f>
        <v>152.19999999999999</v>
      </c>
      <c r="H36" s="960">
        <f>グラフデータ!E357</f>
        <v>151.69999999999999</v>
      </c>
      <c r="I36" s="960">
        <f>グラフデータ!E358</f>
        <v>158.30000000000001</v>
      </c>
      <c r="J36" s="960">
        <f>グラフデータ!E359</f>
        <v>155.4</v>
      </c>
      <c r="K36" s="960">
        <f>グラフデータ!E360</f>
        <v>160</v>
      </c>
      <c r="L36" s="960">
        <f>グラフデータ!E361</f>
        <v>148.4</v>
      </c>
      <c r="M36" s="960">
        <f>グラフデータ!E362</f>
        <v>154.5</v>
      </c>
      <c r="N36" s="960">
        <f>グラフデータ!E363</f>
        <v>148.9</v>
      </c>
    </row>
    <row r="37" spans="1:14" ht="15" customHeight="1">
      <c r="A37" s="1080" t="s">
        <v>696</v>
      </c>
      <c r="B37" s="1081"/>
      <c r="C37" s="960">
        <f>グラフデータ!E364</f>
        <v>150.9</v>
      </c>
      <c r="D37" s="960">
        <f>グラフデータ!E365</f>
        <v>149.30000000000001</v>
      </c>
      <c r="E37" s="960">
        <f>グラフデータ!E366</f>
        <v>144.80000000000001</v>
      </c>
      <c r="F37" s="960">
        <f>グラフデータ!E367</f>
        <v>141</v>
      </c>
      <c r="G37" s="960">
        <f>グラフデータ!E368</f>
        <v>139.30000000000001</v>
      </c>
      <c r="H37" s="960">
        <f>グラフデータ!E369</f>
        <v>140.6</v>
      </c>
      <c r="I37" s="960">
        <f>グラフデータ!E370</f>
        <v>135.4</v>
      </c>
      <c r="J37" s="960">
        <f>グラフデータ!E371</f>
        <v>129.9</v>
      </c>
      <c r="K37" s="960">
        <f>グラフデータ!E372</f>
        <v>129</v>
      </c>
      <c r="L37" s="960">
        <f>グラフデータ!E373</f>
        <v>128.80000000000001</v>
      </c>
      <c r="M37" s="960">
        <f>グラフデータ!E374</f>
        <v>126</v>
      </c>
      <c r="N37" s="960">
        <f>グラフデータ!E375</f>
        <v>128.9</v>
      </c>
    </row>
    <row r="38" spans="1:14" ht="15" customHeight="1">
      <c r="A38" s="1080" t="s">
        <v>699</v>
      </c>
      <c r="B38" s="1081"/>
      <c r="C38" s="960">
        <f>グラフデータ!$E376</f>
        <v>124.3</v>
      </c>
      <c r="D38" s="960">
        <f>グラフデータ!$E377</f>
        <v>128.6</v>
      </c>
      <c r="E38" s="960">
        <f>グラフデータ!$E378</f>
        <v>131.4</v>
      </c>
      <c r="F38" s="960">
        <f>グラフデータ!$E379</f>
        <v>134.9</v>
      </c>
      <c r="G38" s="960">
        <f>グラフデータ!$E380</f>
        <v>136</v>
      </c>
      <c r="H38" s="960">
        <f>グラフデータ!$E381</f>
        <v>134.9</v>
      </c>
      <c r="I38" s="960">
        <f>グラフデータ!$E382</f>
        <v>130.4</v>
      </c>
      <c r="J38" s="960">
        <f>グラフデータ!$E383</f>
        <v>132.9</v>
      </c>
      <c r="K38" s="960">
        <f>グラフデータ!$E384</f>
        <v>138.4</v>
      </c>
      <c r="L38" s="960">
        <f>グラフデータ!$E385</f>
        <v>148</v>
      </c>
      <c r="M38" s="960">
        <f>グラフデータ!$E386</f>
        <v>141.5</v>
      </c>
      <c r="N38" s="960">
        <f>グラフデータ!$E387</f>
        <v>140.4</v>
      </c>
    </row>
    <row r="39" spans="1:14" ht="15" customHeight="1">
      <c r="A39" s="1080" t="s">
        <v>819</v>
      </c>
      <c r="B39" s="1081"/>
      <c r="C39" s="960">
        <f>グラフデータ!$E388</f>
        <v>147.5</v>
      </c>
      <c r="D39" s="960">
        <f>グラフデータ!$E389</f>
        <v>149.1</v>
      </c>
      <c r="E39" s="960">
        <f>グラフデータ!$E390</f>
        <v>152.4</v>
      </c>
      <c r="F39" s="960">
        <f>グラフデータ!$E391</f>
        <v>139.5</v>
      </c>
      <c r="G39" s="960">
        <f>グラフデータ!$E392</f>
        <v>139.80000000000001</v>
      </c>
      <c r="H39" s="960">
        <f>グラフデータ!$E393</f>
        <v>138.5</v>
      </c>
      <c r="I39" s="960">
        <f>グラフデータ!$E394</f>
        <v>133.9</v>
      </c>
      <c r="J39" s="960">
        <f>グラフデータ!$E395</f>
        <v>133</v>
      </c>
      <c r="K39" s="960">
        <f>グラフデータ!$E396</f>
        <v>132.30000000000001</v>
      </c>
      <c r="L39" s="960">
        <f>グラフデータ!$E397</f>
        <v>133</v>
      </c>
      <c r="M39" s="960">
        <f>グラフデータ!$E398</f>
        <v>138.4</v>
      </c>
      <c r="N39" s="960">
        <f>グラフデータ!$E399</f>
        <v>130.5</v>
      </c>
    </row>
    <row r="40" spans="1:14" ht="15" customHeight="1">
      <c r="A40" s="1077" t="s">
        <v>820</v>
      </c>
      <c r="B40" s="1078"/>
      <c r="C40" s="959">
        <f>グラフデータ!$E400</f>
        <v>141</v>
      </c>
      <c r="D40" s="959">
        <f>グラフデータ!$E401</f>
        <v>144.69999999999999</v>
      </c>
      <c r="E40" s="959">
        <f>グラフデータ!$E402</f>
        <v>145.69999999999999</v>
      </c>
      <c r="F40" s="959"/>
      <c r="G40" s="959"/>
      <c r="H40" s="959"/>
      <c r="I40" s="959"/>
      <c r="J40" s="959"/>
      <c r="K40" s="959"/>
      <c r="L40" s="959"/>
      <c r="M40" s="959"/>
      <c r="N40" s="959"/>
    </row>
    <row r="41" spans="1:14" ht="7.5" customHeight="1">
      <c r="A41" s="1073"/>
      <c r="B41" s="1073"/>
      <c r="C41" s="1074"/>
      <c r="D41" s="1074"/>
      <c r="E41" s="1074"/>
      <c r="F41" s="1074"/>
      <c r="G41" s="1074"/>
      <c r="H41" s="1074"/>
      <c r="I41" s="1074"/>
      <c r="J41" s="1074"/>
      <c r="K41" s="1074"/>
      <c r="L41" s="1074"/>
      <c r="M41" s="1074"/>
      <c r="N41" s="1074"/>
    </row>
    <row r="42" spans="1:14" ht="7.5" customHeight="1"/>
    <row r="43" spans="1:14" ht="15" customHeight="1">
      <c r="A43" s="693" t="s">
        <v>54</v>
      </c>
      <c r="B43" s="244"/>
      <c r="C43" s="244"/>
      <c r="D43" s="244"/>
      <c r="E43" s="244"/>
      <c r="F43" s="244"/>
      <c r="G43" s="244"/>
      <c r="H43" s="244"/>
      <c r="I43" s="244"/>
      <c r="J43" s="244"/>
      <c r="K43" s="244"/>
      <c r="L43" s="244"/>
      <c r="M43" s="1158"/>
      <c r="N43" s="413" t="str">
        <f>初期登録!F15</f>
        <v>(令和２年=100)</v>
      </c>
    </row>
    <row r="44" spans="1:14" ht="15" customHeight="1">
      <c r="A44" s="443"/>
      <c r="B44" s="694" t="s">
        <v>189</v>
      </c>
      <c r="C44" s="1497" t="s">
        <v>256</v>
      </c>
      <c r="D44" s="1497" t="s">
        <v>382</v>
      </c>
      <c r="E44" s="1497" t="s">
        <v>383</v>
      </c>
      <c r="F44" s="1497" t="s">
        <v>384</v>
      </c>
      <c r="G44" s="1497" t="s">
        <v>385</v>
      </c>
      <c r="H44" s="1497" t="s">
        <v>386</v>
      </c>
      <c r="I44" s="1497" t="s">
        <v>387</v>
      </c>
      <c r="J44" s="1497" t="s">
        <v>388</v>
      </c>
      <c r="K44" s="1497" t="s">
        <v>389</v>
      </c>
      <c r="L44" s="1497" t="s">
        <v>191</v>
      </c>
      <c r="M44" s="1497" t="s">
        <v>192</v>
      </c>
      <c r="N44" s="1497" t="s">
        <v>193</v>
      </c>
    </row>
    <row r="45" spans="1:14" ht="15" customHeight="1">
      <c r="A45" s="695" t="s">
        <v>190</v>
      </c>
      <c r="B45" s="444"/>
      <c r="C45" s="1498"/>
      <c r="D45" s="1498"/>
      <c r="E45" s="1498"/>
      <c r="F45" s="1498"/>
      <c r="G45" s="1498"/>
      <c r="H45" s="1498"/>
      <c r="I45" s="1498"/>
      <c r="J45" s="1498"/>
      <c r="K45" s="1498"/>
      <c r="L45" s="1498"/>
      <c r="M45" s="1498"/>
      <c r="N45" s="1498"/>
    </row>
    <row r="46" spans="1:14" ht="15" customHeight="1">
      <c r="A46" s="1251" t="s">
        <v>670</v>
      </c>
      <c r="B46" s="1252"/>
      <c r="C46" s="956">
        <f>グラフデータ!F232</f>
        <v>94.6</v>
      </c>
      <c r="D46" s="956">
        <f>グラフデータ!F233</f>
        <v>95.2</v>
      </c>
      <c r="E46" s="956">
        <f>グラフデータ!F234</f>
        <v>97.4</v>
      </c>
      <c r="F46" s="956">
        <f>グラフデータ!F235</f>
        <v>97.9</v>
      </c>
      <c r="G46" s="956">
        <f>グラフデータ!F236</f>
        <v>101</v>
      </c>
      <c r="H46" s="956">
        <f>グラフデータ!F237</f>
        <v>100.7</v>
      </c>
      <c r="I46" s="956">
        <f>グラフデータ!F238</f>
        <v>98.9</v>
      </c>
      <c r="J46" s="956">
        <f>グラフデータ!F239</f>
        <v>98.2</v>
      </c>
      <c r="K46" s="956">
        <f>グラフデータ!F240</f>
        <v>99.8</v>
      </c>
      <c r="L46" s="956">
        <f>グラフデータ!F241</f>
        <v>98.2</v>
      </c>
      <c r="M46" s="956">
        <f>グラフデータ!F242</f>
        <v>98.1</v>
      </c>
      <c r="N46" s="957">
        <f>グラフデータ!F243</f>
        <v>97.9</v>
      </c>
    </row>
    <row r="47" spans="1:14" ht="15" customHeight="1">
      <c r="A47" s="1251" t="s">
        <v>671</v>
      </c>
      <c r="B47" s="1252"/>
      <c r="C47" s="956">
        <f>グラフデータ!F244</f>
        <v>96.2</v>
      </c>
      <c r="D47" s="956">
        <f>グラフデータ!F245</f>
        <v>98.9</v>
      </c>
      <c r="E47" s="956">
        <f>グラフデータ!F246</f>
        <v>103</v>
      </c>
      <c r="F47" s="956">
        <f>グラフデータ!F247</f>
        <v>99.4</v>
      </c>
      <c r="G47" s="956">
        <f>グラフデータ!F248</f>
        <v>102.2</v>
      </c>
      <c r="H47" s="956">
        <f>グラフデータ!F249</f>
        <v>105.8</v>
      </c>
      <c r="I47" s="956">
        <f>グラフデータ!F250</f>
        <v>105.7</v>
      </c>
      <c r="J47" s="956">
        <f>グラフデータ!F251</f>
        <v>106.5</v>
      </c>
      <c r="K47" s="956">
        <f>グラフデータ!F252</f>
        <v>107.4</v>
      </c>
      <c r="L47" s="956">
        <f>グラフデータ!F253</f>
        <v>107</v>
      </c>
      <c r="M47" s="956">
        <f>グラフデータ!F254</f>
        <v>110.2</v>
      </c>
      <c r="N47" s="957">
        <f>グラフデータ!F255</f>
        <v>111.1</v>
      </c>
    </row>
    <row r="48" spans="1:14" ht="15" customHeight="1">
      <c r="A48" s="1251" t="s">
        <v>672</v>
      </c>
      <c r="B48" s="1252"/>
      <c r="C48" s="956">
        <f>グラフデータ!F256</f>
        <v>112</v>
      </c>
      <c r="D48" s="956">
        <f>グラフデータ!F257</f>
        <v>112.4</v>
      </c>
      <c r="E48" s="956">
        <f>グラフデータ!F258</f>
        <v>106.6</v>
      </c>
      <c r="F48" s="956">
        <f>グラフデータ!F259</f>
        <v>108.7</v>
      </c>
      <c r="G48" s="956">
        <f>グラフデータ!F260</f>
        <v>114.2</v>
      </c>
      <c r="H48" s="956">
        <f>グラフデータ!F261</f>
        <v>114.8</v>
      </c>
      <c r="I48" s="956">
        <f>グラフデータ!F262</f>
        <v>114.8</v>
      </c>
      <c r="J48" s="956">
        <f>グラフデータ!F263</f>
        <v>114.5</v>
      </c>
      <c r="K48" s="956">
        <f>グラフデータ!F264</f>
        <v>115.3</v>
      </c>
      <c r="L48" s="956">
        <f>グラフデータ!F265</f>
        <v>115.3</v>
      </c>
      <c r="M48" s="956">
        <f>グラフデータ!F266</f>
        <v>113.6</v>
      </c>
      <c r="N48" s="957">
        <f>グラフデータ!F267</f>
        <v>109.9</v>
      </c>
    </row>
    <row r="49" spans="1:17" ht="15" customHeight="1">
      <c r="A49" s="1251" t="s">
        <v>673</v>
      </c>
      <c r="B49" s="1252"/>
      <c r="C49" s="956">
        <f>グラフデータ!F268</f>
        <v>102.3</v>
      </c>
      <c r="D49" s="956">
        <f>グラフデータ!F269</f>
        <v>106.6</v>
      </c>
      <c r="E49" s="956">
        <f>グラフデータ!F270</f>
        <v>105.8</v>
      </c>
      <c r="F49" s="956">
        <f>グラフデータ!F271</f>
        <v>105.6</v>
      </c>
      <c r="G49" s="956">
        <f>グラフデータ!F272</f>
        <v>104.9</v>
      </c>
      <c r="H49" s="956">
        <f>グラフデータ!F273</f>
        <v>102.6</v>
      </c>
      <c r="I49" s="956">
        <f>グラフデータ!F274</f>
        <v>100.4</v>
      </c>
      <c r="J49" s="956">
        <f>グラフデータ!F275</f>
        <v>100.9</v>
      </c>
      <c r="K49" s="956">
        <f>グラフデータ!F276</f>
        <v>97.1</v>
      </c>
      <c r="L49" s="956">
        <f>グラフデータ!F277</f>
        <v>101.4</v>
      </c>
      <c r="M49" s="956">
        <f>グラフデータ!F278</f>
        <v>97.6</v>
      </c>
      <c r="N49" s="957">
        <f>グラフデータ!F279</f>
        <v>100.3</v>
      </c>
    </row>
    <row r="50" spans="1:17" ht="15" customHeight="1">
      <c r="A50" s="1251" t="s">
        <v>674</v>
      </c>
      <c r="B50" s="1252"/>
      <c r="C50" s="956">
        <f>グラフデータ!F280</f>
        <v>101.6</v>
      </c>
      <c r="D50" s="956">
        <f>グラフデータ!F281</f>
        <v>101.5</v>
      </c>
      <c r="E50" s="956">
        <f>グラフデータ!F282</f>
        <v>101.2</v>
      </c>
      <c r="F50" s="956">
        <f>グラフデータ!F283</f>
        <v>99.8</v>
      </c>
      <c r="G50" s="956">
        <f>グラフデータ!F284</f>
        <v>99</v>
      </c>
      <c r="H50" s="956">
        <f>グラフデータ!F285</f>
        <v>97.4</v>
      </c>
      <c r="I50" s="956">
        <f>グラフデータ!F286</f>
        <v>99.8</v>
      </c>
      <c r="J50" s="956">
        <f>グラフデータ!F287</f>
        <v>97.8</v>
      </c>
      <c r="K50" s="956">
        <f>グラフデータ!F288</f>
        <v>98.1</v>
      </c>
      <c r="L50" s="956">
        <f>グラフデータ!F289</f>
        <v>99.8</v>
      </c>
      <c r="M50" s="956">
        <f>グラフデータ!F290</f>
        <v>101.1</v>
      </c>
      <c r="N50" s="957">
        <f>グラフデータ!F291</f>
        <v>101.2</v>
      </c>
    </row>
    <row r="51" spans="1:17" ht="15" customHeight="1">
      <c r="A51" s="1251" t="s">
        <v>675</v>
      </c>
      <c r="B51" s="1252"/>
      <c r="C51" s="956">
        <f>グラフデータ!F292</f>
        <v>101</v>
      </c>
      <c r="D51" s="956">
        <f>グラフデータ!F293</f>
        <v>101.4</v>
      </c>
      <c r="E51" s="956">
        <f>グラフデータ!F294</f>
        <v>100.5</v>
      </c>
      <c r="F51" s="956">
        <f>グラフデータ!F295</f>
        <v>102.5</v>
      </c>
      <c r="G51" s="956">
        <f>グラフデータ!F296</f>
        <v>98.7</v>
      </c>
      <c r="H51" s="956">
        <f>グラフデータ!F297</f>
        <v>100.6</v>
      </c>
      <c r="I51" s="956">
        <f>グラフデータ!F298</f>
        <v>100.2</v>
      </c>
      <c r="J51" s="956">
        <f>グラフデータ!F299</f>
        <v>100.1</v>
      </c>
      <c r="K51" s="956">
        <f>グラフデータ!F300</f>
        <v>100.6</v>
      </c>
      <c r="L51" s="956">
        <f>グラフデータ!F301</f>
        <v>99.2</v>
      </c>
      <c r="M51" s="956">
        <f>グラフデータ!F302</f>
        <v>100.6</v>
      </c>
      <c r="N51" s="960">
        <f>グラフデータ!F303</f>
        <v>103.3</v>
      </c>
    </row>
    <row r="52" spans="1:17" ht="15" customHeight="1">
      <c r="A52" s="1251" t="s">
        <v>676</v>
      </c>
      <c r="B52" s="1252"/>
      <c r="C52" s="956">
        <f>グラフデータ!F304</f>
        <v>104.9</v>
      </c>
      <c r="D52" s="956">
        <f>グラフデータ!F305</f>
        <v>102.9</v>
      </c>
      <c r="E52" s="956">
        <f>グラフデータ!F306</f>
        <v>102.7</v>
      </c>
      <c r="F52" s="956">
        <f>グラフデータ!F307</f>
        <v>99.1</v>
      </c>
      <c r="G52" s="956">
        <f>グラフデータ!F308</f>
        <v>103.3</v>
      </c>
      <c r="H52" s="956">
        <f>グラフデータ!F309</f>
        <v>103.1</v>
      </c>
      <c r="I52" s="956">
        <f>グラフデータ!F310</f>
        <v>104.8</v>
      </c>
      <c r="J52" s="956">
        <f>グラフデータ!F311</f>
        <v>101.6</v>
      </c>
      <c r="K52" s="956">
        <f>グラフデータ!F312</f>
        <v>99.8</v>
      </c>
      <c r="L52" s="956">
        <f>グラフデータ!F313</f>
        <v>98.7</v>
      </c>
      <c r="M52" s="956">
        <f>グラフデータ!F314</f>
        <v>98.3</v>
      </c>
      <c r="N52" s="957">
        <f>グラフデータ!F315</f>
        <v>99.2</v>
      </c>
      <c r="O52" s="267"/>
      <c r="P52" s="267"/>
    </row>
    <row r="53" spans="1:17" ht="15" customHeight="1">
      <c r="A53" s="1251" t="s">
        <v>678</v>
      </c>
      <c r="B53" s="1252"/>
      <c r="C53" s="988">
        <f>グラフデータ!F316</f>
        <v>94.8</v>
      </c>
      <c r="D53" s="988">
        <f>グラフデータ!$F317</f>
        <v>96.2</v>
      </c>
      <c r="E53" s="988">
        <f>グラフデータ!$F318</f>
        <v>96.7</v>
      </c>
      <c r="F53" s="988">
        <f>グラフデータ!$F319</f>
        <v>95</v>
      </c>
      <c r="G53" s="988">
        <f>グラフデータ!$F320</f>
        <v>101.2</v>
      </c>
      <c r="H53" s="988">
        <f>グラフデータ!$F321</f>
        <v>103.7</v>
      </c>
      <c r="I53" s="988">
        <f>グラフデータ!$F322</f>
        <v>97.2</v>
      </c>
      <c r="J53" s="988">
        <f>グラフデータ!$F323</f>
        <v>103</v>
      </c>
      <c r="K53" s="988">
        <f>グラフデータ!$F324</f>
        <v>103.7</v>
      </c>
      <c r="L53" s="988">
        <f>グラフデータ!$F325</f>
        <v>100.1</v>
      </c>
      <c r="M53" s="988">
        <f>グラフデータ!$F326</f>
        <v>101.2</v>
      </c>
      <c r="N53" s="960">
        <f>グラフデータ!$F327</f>
        <v>102.5</v>
      </c>
      <c r="O53" s="267"/>
      <c r="P53" s="267"/>
    </row>
    <row r="54" spans="1:17" ht="15" customHeight="1">
      <c r="A54" s="1251" t="s">
        <v>677</v>
      </c>
      <c r="B54" s="1252"/>
      <c r="C54" s="960">
        <f>グラフデータ!$F328</f>
        <v>103.7</v>
      </c>
      <c r="D54" s="988">
        <f>グラフデータ!$F329</f>
        <v>103.5</v>
      </c>
      <c r="E54" s="988">
        <f>グラフデータ!$F330</f>
        <v>100.8</v>
      </c>
      <c r="F54" s="988">
        <f>グラフデータ!$F331</f>
        <v>101</v>
      </c>
      <c r="G54" s="988">
        <f>グラフデータ!$F332</f>
        <v>97.5</v>
      </c>
      <c r="H54" s="960">
        <f>グラフデータ!$F333</f>
        <v>102.2</v>
      </c>
      <c r="I54" s="988">
        <f>グラフデータ!$F334</f>
        <v>103</v>
      </c>
      <c r="J54" s="988">
        <f>グラフデータ!$F335</f>
        <v>97.6</v>
      </c>
      <c r="K54" s="988">
        <f>グラフデータ!$F336</f>
        <v>99</v>
      </c>
      <c r="L54" s="988">
        <f>グラフデータ!$F337</f>
        <v>99.8</v>
      </c>
      <c r="M54" s="988">
        <f>グラフデータ!$F338</f>
        <v>97.8</v>
      </c>
      <c r="N54" s="960">
        <f>グラフデータ!$F339</f>
        <v>94.2</v>
      </c>
      <c r="O54" s="267"/>
      <c r="P54" s="267"/>
    </row>
    <row r="55" spans="1:17" ht="15" customHeight="1">
      <c r="A55" s="1251" t="s">
        <v>683</v>
      </c>
      <c r="B55" s="1252"/>
      <c r="C55" s="960">
        <f>グラフデータ!$F340</f>
        <v>98.3</v>
      </c>
      <c r="D55" s="960">
        <f>グラフデータ!$F341</f>
        <v>97</v>
      </c>
      <c r="E55" s="960">
        <f>グラフデータ!$F342</f>
        <v>103.2</v>
      </c>
      <c r="F55" s="960">
        <f>グラフデータ!$F343</f>
        <v>105.3</v>
      </c>
      <c r="G55" s="960">
        <f>グラフデータ!$F344</f>
        <v>102.5</v>
      </c>
      <c r="H55" s="960">
        <f>グラフデータ!$F345</f>
        <v>103.7</v>
      </c>
      <c r="I55" s="960">
        <f>グラフデータ!$F346</f>
        <v>101.4</v>
      </c>
      <c r="J55" s="960">
        <f>グラフデータ!$F347</f>
        <v>101.7</v>
      </c>
      <c r="K55" s="960">
        <f>グラフデータ!$F348</f>
        <v>101.8</v>
      </c>
      <c r="L55" s="960">
        <f>グラフデータ!$F349</f>
        <v>104</v>
      </c>
      <c r="M55" s="960">
        <f>グラフデータ!$F350</f>
        <v>104.6</v>
      </c>
      <c r="N55" s="960">
        <f>グラフデータ!$F351</f>
        <v>105.3</v>
      </c>
      <c r="O55" s="267"/>
      <c r="P55" s="267"/>
    </row>
    <row r="56" spans="1:17" ht="15" customHeight="1">
      <c r="A56" s="1080" t="s">
        <v>687</v>
      </c>
      <c r="B56" s="1081"/>
      <c r="C56" s="960">
        <f>グラフデータ!$F352</f>
        <v>105.9</v>
      </c>
      <c r="D56" s="960">
        <f>グラフデータ!$F353</f>
        <v>102.5</v>
      </c>
      <c r="E56" s="960">
        <f>グラフデータ!$F354</f>
        <v>110.6</v>
      </c>
      <c r="F56" s="960">
        <f>グラフデータ!$F355</f>
        <v>107.4</v>
      </c>
      <c r="G56" s="960">
        <f>グラフデータ!$F356</f>
        <v>117.5</v>
      </c>
      <c r="H56" s="960">
        <f>グラフデータ!$F357</f>
        <v>113.8</v>
      </c>
      <c r="I56" s="960">
        <f>グラフデータ!$F358</f>
        <v>121</v>
      </c>
      <c r="J56" s="960">
        <f>グラフデータ!$F359</f>
        <v>117.2</v>
      </c>
      <c r="K56" s="960">
        <f>グラフデータ!$F360</f>
        <v>118.9</v>
      </c>
      <c r="L56" s="960">
        <f>グラフデータ!$F361</f>
        <v>118.3</v>
      </c>
      <c r="M56" s="960">
        <f>グラフデータ!$F362</f>
        <v>120.9</v>
      </c>
      <c r="N56" s="960">
        <f>グラフデータ!$F363</f>
        <v>125.4</v>
      </c>
    </row>
    <row r="57" spans="1:17" ht="15" customHeight="1">
      <c r="A57" s="1080" t="s">
        <v>696</v>
      </c>
      <c r="B57" s="1081"/>
      <c r="C57" s="960">
        <f>グラフデータ!$F364</f>
        <v>126.3</v>
      </c>
      <c r="D57" s="960">
        <f>グラフデータ!$F365</f>
        <v>125.9</v>
      </c>
      <c r="E57" s="960">
        <f>グラフデータ!$F366</f>
        <v>124.1</v>
      </c>
      <c r="F57" s="960">
        <f>グラフデータ!$F367</f>
        <v>123.5</v>
      </c>
      <c r="G57" s="960">
        <f>グラフデータ!$F368</f>
        <v>121.8</v>
      </c>
      <c r="H57" s="960">
        <f>グラフデータ!$F369</f>
        <v>119.8</v>
      </c>
      <c r="I57" s="960">
        <f>グラフデータ!$F370</f>
        <v>123.5</v>
      </c>
      <c r="J57" s="960">
        <f>グラフデータ!$F371</f>
        <v>126.6</v>
      </c>
      <c r="K57" s="960">
        <f>グラフデータ!$F372</f>
        <v>126.7</v>
      </c>
      <c r="L57" s="960">
        <f>グラフデータ!$F373</f>
        <v>129.5</v>
      </c>
      <c r="M57" s="960">
        <f>グラフデータ!$F374</f>
        <v>124</v>
      </c>
      <c r="N57" s="960">
        <f>グラフデータ!$F375</f>
        <v>126.2</v>
      </c>
    </row>
    <row r="58" spans="1:17" ht="15" customHeight="1">
      <c r="A58" s="1080" t="s">
        <v>699</v>
      </c>
      <c r="B58" s="1081"/>
      <c r="C58" s="960">
        <f>グラフデータ!$F376</f>
        <v>118.6</v>
      </c>
      <c r="D58" s="960">
        <f>グラフデータ!$F377</f>
        <v>125.6</v>
      </c>
      <c r="E58" s="960">
        <f>グラフデータ!$F378</f>
        <v>123.8</v>
      </c>
      <c r="F58" s="960">
        <f>グラフデータ!$F379</f>
        <v>121.9</v>
      </c>
      <c r="G58" s="960">
        <f>グラフデータ!$F380</f>
        <v>123.2</v>
      </c>
      <c r="H58" s="960">
        <f>グラフデータ!$F381</f>
        <v>127.1</v>
      </c>
      <c r="I58" s="960">
        <f>グラフデータ!$F382</f>
        <v>118.4</v>
      </c>
      <c r="J58" s="960">
        <f>グラフデータ!$F383</f>
        <v>124.6</v>
      </c>
      <c r="K58" s="960">
        <f>グラフデータ!$F384</f>
        <v>123</v>
      </c>
      <c r="L58" s="960">
        <f>グラフデータ!$F385</f>
        <v>123.4</v>
      </c>
      <c r="M58" s="960">
        <f>グラフデータ!$F386</f>
        <v>129.1</v>
      </c>
      <c r="N58" s="960">
        <f>グラフデータ!$F387</f>
        <v>127.3</v>
      </c>
      <c r="Q58" s="1075"/>
    </row>
    <row r="59" spans="1:17" ht="15" customHeight="1">
      <c r="A59" s="1080" t="s">
        <v>819</v>
      </c>
      <c r="B59" s="1081"/>
      <c r="C59" s="960">
        <f>グラフデータ!$F388</f>
        <v>128.69999999999999</v>
      </c>
      <c r="D59" s="960">
        <f>グラフデータ!$F389</f>
        <v>128.1</v>
      </c>
      <c r="E59" s="960">
        <f>グラフデータ!$F390</f>
        <v>127.8</v>
      </c>
      <c r="F59" s="960">
        <f>グラフデータ!$F391</f>
        <v>125.5</v>
      </c>
      <c r="G59" s="960">
        <f>グラフデータ!$F392</f>
        <v>123.2</v>
      </c>
      <c r="H59" s="960">
        <f>グラフデータ!$F393</f>
        <v>122.5</v>
      </c>
      <c r="I59" s="960">
        <f>グラフデータ!$F394</f>
        <v>124.3</v>
      </c>
      <c r="J59" s="960">
        <f>グラフデータ!$F395</f>
        <v>118.1</v>
      </c>
      <c r="K59" s="960">
        <f>グラフデータ!$F396</f>
        <v>119.7</v>
      </c>
      <c r="L59" s="960">
        <f>グラフデータ!$F397</f>
        <v>122</v>
      </c>
      <c r="M59" s="960">
        <f>グラフデータ!$F398</f>
        <v>124.5</v>
      </c>
      <c r="N59" s="960">
        <f>グラフデータ!$F399</f>
        <v>122.3</v>
      </c>
      <c r="Q59" s="1075"/>
    </row>
    <row r="60" spans="1:17" ht="15" customHeight="1">
      <c r="A60" s="1077" t="s">
        <v>820</v>
      </c>
      <c r="B60" s="1078"/>
      <c r="C60" s="959">
        <f>グラフデータ!$F400</f>
        <v>114.7</v>
      </c>
      <c r="D60" s="959">
        <f>グラフデータ!$F401</f>
        <v>112.9</v>
      </c>
      <c r="E60" s="959">
        <f>グラフデータ!$F402</f>
        <v>116.5</v>
      </c>
      <c r="F60" s="959"/>
      <c r="G60" s="959"/>
      <c r="H60" s="959"/>
      <c r="I60" s="959"/>
      <c r="J60" s="959"/>
      <c r="K60" s="959"/>
      <c r="L60" s="959"/>
      <c r="M60" s="959"/>
      <c r="N60" s="959"/>
      <c r="Q60" s="1075"/>
    </row>
    <row r="61" spans="1:17" ht="3.95" customHeight="1">
      <c r="A61" s="1073"/>
      <c r="B61" s="1073"/>
      <c r="C61" s="1074"/>
      <c r="D61" s="1074"/>
      <c r="E61" s="1074"/>
      <c r="F61" s="1074"/>
      <c r="G61" s="1074"/>
      <c r="H61" s="1074"/>
      <c r="I61" s="1074"/>
      <c r="J61" s="1074"/>
      <c r="K61" s="1074"/>
      <c r="L61" s="1074"/>
      <c r="M61" s="1074"/>
      <c r="N61" s="1074"/>
    </row>
    <row r="62" spans="1:17" ht="3.95" customHeight="1"/>
    <row r="63" spans="1:17">
      <c r="A63" s="474" t="s">
        <v>378</v>
      </c>
      <c r="B63" s="244" t="s">
        <v>550</v>
      </c>
      <c r="C63" s="244"/>
      <c r="D63" s="244"/>
      <c r="E63" s="244"/>
    </row>
    <row r="64" spans="1:17">
      <c r="A64" s="474"/>
      <c r="B64" s="244"/>
      <c r="C64" s="244"/>
      <c r="D64" s="244"/>
      <c r="E64" s="244"/>
    </row>
  </sheetData>
  <customSheetViews>
    <customSheetView guid="{7EBA91D6-F088-446F-A1CC-E1462A1CA2C3}" scale="120" showRuler="0">
      <selection sqref="A1:N1"/>
      <pageMargins left="0.75" right="0.75" top="1" bottom="1" header="0.51200000000000001" footer="0.51200000000000001"/>
      <pageSetup paperSize="9" orientation="portrait" r:id="rId1"/>
      <headerFooter alignWithMargins="0">
        <oddFooter>&amp;C-6-</oddFooter>
      </headerFooter>
    </customSheetView>
    <customSheetView guid="{883B7A2B-3CB3-449D-A461-655262B722BC}" scale="120" showRuler="0">
      <selection sqref="A1:N1"/>
      <pageMargins left="0.75" right="0.75" top="1" bottom="1" header="0.51200000000000001" footer="0.51200000000000001"/>
      <pageSetup paperSize="9" orientation="portrait" r:id="rId2"/>
      <headerFooter alignWithMargins="0">
        <oddFooter>&amp;C-6-</oddFooter>
      </headerFooter>
    </customSheetView>
  </customSheetViews>
  <mergeCells count="38">
    <mergeCell ref="A1:N1"/>
    <mergeCell ref="A2:N2"/>
    <mergeCell ref="C4:C5"/>
    <mergeCell ref="D4:D5"/>
    <mergeCell ref="E4:E5"/>
    <mergeCell ref="N4:N5"/>
    <mergeCell ref="I4:I5"/>
    <mergeCell ref="F4:F5"/>
    <mergeCell ref="G4:G5"/>
    <mergeCell ref="H4:H5"/>
    <mergeCell ref="N24:N25"/>
    <mergeCell ref="J24:J25"/>
    <mergeCell ref="M24:M25"/>
    <mergeCell ref="L4:L5"/>
    <mergeCell ref="K4:K5"/>
    <mergeCell ref="L24:L25"/>
    <mergeCell ref="M4:M5"/>
    <mergeCell ref="J4:J5"/>
    <mergeCell ref="K24:K25"/>
    <mergeCell ref="I24:I25"/>
    <mergeCell ref="G24:G25"/>
    <mergeCell ref="E44:E45"/>
    <mergeCell ref="F24:F25"/>
    <mergeCell ref="C44:C45"/>
    <mergeCell ref="D44:D45"/>
    <mergeCell ref="G44:G45"/>
    <mergeCell ref="H44:H45"/>
    <mergeCell ref="F44:F45"/>
    <mergeCell ref="C24:C25"/>
    <mergeCell ref="D24:D25"/>
    <mergeCell ref="E24:E25"/>
    <mergeCell ref="H24:H25"/>
    <mergeCell ref="N44:N45"/>
    <mergeCell ref="I44:I45"/>
    <mergeCell ref="J44:J45"/>
    <mergeCell ref="K44:K45"/>
    <mergeCell ref="L44:L45"/>
    <mergeCell ref="M44:M45"/>
  </mergeCells>
  <phoneticPr fontId="3"/>
  <pageMargins left="0.78740157480314965" right="0.39370078740157483" top="0.59055118110236227" bottom="0.59055118110236227" header="0.39370078740157483" footer="0.39370078740157483"/>
  <pageSetup paperSize="9" scale="93" fitToWidth="0" orientation="portrait" horizontalDpi="300" verticalDpi="300" r:id="rId3"/>
  <headerFooter alignWithMargins="0">
    <oddFooter>&amp;C&amp;10-6-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25</vt:i4>
      </vt:variant>
    </vt:vector>
  </HeadingPairs>
  <TitlesOfParts>
    <vt:vector size="49" baseType="lpstr">
      <vt:lpstr>初期登録</vt:lpstr>
      <vt:lpstr>表紙</vt:lpstr>
      <vt:lpstr>目次</vt:lpstr>
      <vt:lpstr>P1概要</vt:lpstr>
      <vt:lpstr>P2.CI先行</vt:lpstr>
      <vt:lpstr>P3.CI一致</vt:lpstr>
      <vt:lpstr>P4.CI遅行</vt:lpstr>
      <vt:lpstr>P5.CI時系列グラフ</vt:lpstr>
      <vt:lpstr>P6.CI時系列表</vt:lpstr>
      <vt:lpstr>P7.先行系列</vt:lpstr>
      <vt:lpstr>P8.一致系列</vt:lpstr>
      <vt:lpstr>P9.遅行系列</vt:lpstr>
      <vt:lpstr>P10.DI変化方向表</vt:lpstr>
      <vt:lpstr>P11.DIグラフ</vt:lpstr>
      <vt:lpstr>P12.DI時系列表</vt:lpstr>
      <vt:lpstr>P13.累計DIグラフ </vt:lpstr>
      <vt:lpstr>P14.利用手引き</vt:lpstr>
      <vt:lpstr>P15.利用の手引き(2)</vt:lpstr>
      <vt:lpstr>P16.CI基調判断</vt:lpstr>
      <vt:lpstr>P17.系列概要</vt:lpstr>
      <vt:lpstr>寄与度データ</vt:lpstr>
      <vt:lpstr>前月比データ</vt:lpstr>
      <vt:lpstr>DI元データ</vt:lpstr>
      <vt:lpstr>グラフデータ</vt:lpstr>
      <vt:lpstr>DI元データ!Print_Area</vt:lpstr>
      <vt:lpstr>P10.DI変化方向表!Print_Area</vt:lpstr>
      <vt:lpstr>P11.DIグラフ!Print_Area</vt:lpstr>
      <vt:lpstr>P12.DI時系列表!Print_Area</vt:lpstr>
      <vt:lpstr>'P13.累計DIグラフ '!Print_Area</vt:lpstr>
      <vt:lpstr>P14.利用手引き!Print_Area</vt:lpstr>
      <vt:lpstr>'P15.利用の手引き(2)'!Print_Area</vt:lpstr>
      <vt:lpstr>P16.CI基調判断!Print_Area</vt:lpstr>
      <vt:lpstr>P17.系列概要!Print_Area</vt:lpstr>
      <vt:lpstr>P1概要!Print_Area</vt:lpstr>
      <vt:lpstr>P2.CI先行!Print_Area</vt:lpstr>
      <vt:lpstr>P3.CI一致!Print_Area</vt:lpstr>
      <vt:lpstr>P4.CI遅行!Print_Area</vt:lpstr>
      <vt:lpstr>P5.CI時系列グラフ!Print_Area</vt:lpstr>
      <vt:lpstr>P6.CI時系列表!Print_Area</vt:lpstr>
      <vt:lpstr>P7.先行系列!Print_Area</vt:lpstr>
      <vt:lpstr>P8.一致系列!Print_Area</vt:lpstr>
      <vt:lpstr>P9.遅行系列!Print_Area</vt:lpstr>
      <vt:lpstr>グラフデータ!Print_Area</vt:lpstr>
      <vt:lpstr>表紙!Print_Area</vt:lpstr>
      <vt:lpstr>DI元データ!Print_Titles</vt:lpstr>
      <vt:lpstr>P10.DI変化方向表!Print_Titles</vt:lpstr>
      <vt:lpstr>P8.一致系列!Print_Titles</vt:lpstr>
      <vt:lpstr>P9.遅行系列!Print_Titles</vt:lpstr>
      <vt:lpstr>グラフデータ!Print_Titles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（内5301）</dc:creator>
  <cp:lastModifiedBy>佐藤 由紀</cp:lastModifiedBy>
  <cp:lastPrinted>2026-06-29T05:50:35Z</cp:lastPrinted>
  <dcterms:created xsi:type="dcterms:W3CDTF">2009-03-03T08:10:44Z</dcterms:created>
  <dcterms:modified xsi:type="dcterms:W3CDTF">2026-07-02T02:09:59Z</dcterms:modified>
</cp:coreProperties>
</file>