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4DF1932B-86D9-4905-8337-369DBA31ED6A}" xr6:coauthVersionLast="47" xr6:coauthVersionMax="47" xr10:uidLastSave="{00000000-0000-0000-0000-000000000000}"/>
  <bookViews>
    <workbookView xWindow="28680" yWindow="-120" windowWidth="29040" windowHeight="15720" tabRatio="629" xr2:uid="{00000000-000D-0000-FFFF-FFFF00000000}"/>
  </bookViews>
  <sheets>
    <sheet name="17 (R6完成)" sheetId="50" r:id="rId1"/>
  </sheets>
  <definedNames>
    <definedName name="_xlnm.Print_Area" localSheetId="0">'17 (R6完成)'!$B$2:$AF$63</definedName>
    <definedName name="_xlnm.Print_Titles" localSheetId="0">'17 (R6完成)'!$B:$C</definedName>
    <definedName name="外部項目CD" localSheetId="0">#REF!</definedName>
    <definedName name="外部項目CD">#REF!</definedName>
    <definedName name="整理番号" localSheetId="0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10" i="50" l="1"/>
  <c r="BA17" i="50"/>
  <c r="AZ17" i="50"/>
  <c r="AY17" i="50"/>
  <c r="AX17" i="50"/>
  <c r="AW17" i="50"/>
  <c r="BA16" i="50"/>
  <c r="AZ16" i="50"/>
  <c r="AY16" i="50"/>
  <c r="AX16" i="50"/>
  <c r="AW16" i="50"/>
  <c r="BA15" i="50"/>
  <c r="AZ15" i="50"/>
  <c r="AY15" i="50"/>
  <c r="AX15" i="50"/>
  <c r="AW15" i="50"/>
  <c r="BA14" i="50"/>
  <c r="AZ14" i="50"/>
  <c r="AY14" i="50"/>
  <c r="AX14" i="50"/>
  <c r="AW14" i="50"/>
  <c r="BA13" i="50"/>
  <c r="AZ13" i="50"/>
  <c r="AY13" i="50"/>
  <c r="AX13" i="50"/>
  <c r="AW13" i="50"/>
  <c r="BA12" i="50"/>
  <c r="AZ12" i="50"/>
  <c r="AY12" i="50"/>
  <c r="AX12" i="50"/>
  <c r="AW12" i="50"/>
  <c r="BA11" i="50"/>
  <c r="AZ11" i="50"/>
  <c r="AY11" i="50"/>
  <c r="AX11" i="50"/>
  <c r="AW11" i="50"/>
  <c r="BA10" i="50"/>
  <c r="AZ10" i="50"/>
  <c r="AY10" i="50"/>
  <c r="AX10" i="50"/>
  <c r="AS18" i="50"/>
  <c r="AS17" i="50"/>
  <c r="AS16" i="50"/>
  <c r="AS15" i="50"/>
  <c r="AS14" i="50"/>
  <c r="AS13" i="50"/>
  <c r="AS12" i="50"/>
  <c r="AS11" i="50"/>
  <c r="AS10" i="50"/>
  <c r="AR17" i="50"/>
  <c r="AR16" i="50"/>
  <c r="AR15" i="50"/>
  <c r="AR14" i="50"/>
  <c r="AR13" i="50"/>
  <c r="AR12" i="50"/>
  <c r="AR11" i="50"/>
  <c r="AR10" i="50"/>
  <c r="AQ18" i="50"/>
  <c r="AQ17" i="50"/>
  <c r="AQ16" i="50"/>
  <c r="AQ15" i="50"/>
  <c r="AQ14" i="50"/>
  <c r="AQ13" i="50"/>
  <c r="AQ12" i="50"/>
  <c r="AQ11" i="50"/>
  <c r="AQ10" i="50"/>
  <c r="AT18" i="50"/>
  <c r="AR18" i="50"/>
  <c r="AP18" i="50"/>
  <c r="AT17" i="50"/>
  <c r="AP17" i="50"/>
  <c r="AT16" i="50"/>
  <c r="AP16" i="50"/>
  <c r="AT15" i="50"/>
  <c r="AP15" i="50"/>
  <c r="AT14" i="50"/>
  <c r="AP14" i="50"/>
  <c r="AT13" i="50"/>
  <c r="AP13" i="50"/>
  <c r="AT12" i="50"/>
  <c r="AP12" i="50"/>
  <c r="AT11" i="50"/>
  <c r="AP11" i="50"/>
  <c r="AT10" i="50"/>
  <c r="AP10" i="50"/>
  <c r="AM17" i="50"/>
  <c r="AM16" i="50"/>
  <c r="AM15" i="50"/>
  <c r="AM14" i="50"/>
  <c r="AM13" i="50"/>
  <c r="AM12" i="50"/>
  <c r="AM11" i="50"/>
  <c r="AM10" i="50"/>
  <c r="AL17" i="50"/>
  <c r="AL16" i="50"/>
  <c r="AL15" i="50"/>
  <c r="AL14" i="50"/>
  <c r="AL13" i="50"/>
  <c r="AL12" i="50"/>
  <c r="AL11" i="50"/>
  <c r="AL10" i="50"/>
  <c r="AK17" i="50"/>
  <c r="AK16" i="50"/>
  <c r="AK15" i="50"/>
  <c r="AK14" i="50"/>
  <c r="AK13" i="50"/>
  <c r="AK12" i="50"/>
  <c r="AK11" i="50"/>
  <c r="AK10" i="50"/>
  <c r="AJ17" i="50"/>
  <c r="AI17" i="50"/>
  <c r="AJ16" i="50"/>
  <c r="AI16" i="50"/>
  <c r="AJ15" i="50"/>
  <c r="AI15" i="50"/>
  <c r="AJ14" i="50"/>
  <c r="AI14" i="50"/>
  <c r="AJ13" i="50"/>
  <c r="AI13" i="50"/>
  <c r="AJ12" i="50"/>
  <c r="AI12" i="50"/>
  <c r="AJ11" i="50"/>
  <c r="AI11" i="50"/>
  <c r="AJ10" i="50"/>
  <c r="AI10" i="50"/>
  <c r="AI60" i="50" l="1"/>
  <c r="AI43" i="50" l="1"/>
  <c r="AT19" i="50" l="1"/>
  <c r="AQ19" i="50"/>
  <c r="AI27" i="50" l="1"/>
  <c r="AI26" i="50"/>
  <c r="AH27" i="50"/>
  <c r="AH26" i="50"/>
  <c r="AG27" i="50"/>
  <c r="AM18" i="50" l="1"/>
  <c r="AL18" i="50"/>
  <c r="AK18" i="50"/>
  <c r="AJ18" i="50"/>
  <c r="AX19" i="50" l="1"/>
  <c r="AP19" i="50"/>
  <c r="BA19" i="50"/>
  <c r="AZ19" i="50"/>
  <c r="AY19" i="50"/>
  <c r="AW19" i="50"/>
  <c r="AS19" i="50"/>
  <c r="AR19" i="50"/>
  <c r="AG26" i="50"/>
  <c r="AI54" i="50"/>
  <c r="AI55" i="50"/>
  <c r="AI56" i="50"/>
  <c r="AI53" i="50"/>
  <c r="AI18" i="50" l="1"/>
  <c r="AI47" i="50" l="1"/>
  <c r="AI49" i="50"/>
  <c r="AI48" i="50"/>
  <c r="AI46" i="50"/>
  <c r="AI44" i="50"/>
  <c r="AI45" i="50"/>
</calcChain>
</file>

<file path=xl/sharedStrings.xml><?xml version="1.0" encoding="utf-8"?>
<sst xmlns="http://schemas.openxmlformats.org/spreadsheetml/2006/main" count="434" uniqueCount="275">
  <si>
    <t>17　上水道の施設現況</t>
    <rPh sb="3" eb="6">
      <t>ジョウスイドウ</t>
    </rPh>
    <rPh sb="7" eb="9">
      <t>シセツ</t>
    </rPh>
    <rPh sb="9" eb="11">
      <t>ゲンキョウ</t>
    </rPh>
    <phoneticPr fontId="6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</si>
  <si>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</si>
  <si>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盛岡市</t>
    <phoneticPr fontId="6"/>
  </si>
  <si>
    <t>一関市</t>
    <rPh sb="0" eb="3">
      <t>イチノセキシ</t>
    </rPh>
    <phoneticPr fontId="6"/>
  </si>
  <si>
    <t>宮古市</t>
  </si>
  <si>
    <t>大船渡市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</si>
  <si>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</si>
  <si>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</si>
  <si>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</si>
  <si>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</si>
  <si>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</si>
  <si>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雫石町</t>
  </si>
  <si>
    <t>遠野市</t>
  </si>
  <si>
    <t>矢巾町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</si>
  <si>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</si>
  <si>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</si>
  <si>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</si>
  <si>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</si>
  <si>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</si>
  <si>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</si>
  <si>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</si>
  <si>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</si>
  <si>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合計</t>
    <rPh sb="0" eb="2">
      <t>ゴウケイ</t>
    </rPh>
    <phoneticPr fontId="6"/>
  </si>
  <si>
    <t>　項　目</t>
    <rPh sb="1" eb="2">
      <t>コウ</t>
    </rPh>
    <rPh sb="3" eb="4">
      <t>メ</t>
    </rPh>
    <phoneticPr fontId="6"/>
  </si>
  <si>
    <t>上水道事業の状況</t>
    <rPh sb="0" eb="3">
      <t>ジョウスイドウ</t>
    </rPh>
    <rPh sb="3" eb="5">
      <t>ジギョウ</t>
    </rPh>
    <rPh sb="6" eb="8">
      <t>ジョウキョウ</t>
    </rPh>
    <phoneticPr fontId="6"/>
  </si>
  <si>
    <t>　創設・竣工年月</t>
    <rPh sb="1" eb="2">
      <t>キズ</t>
    </rPh>
    <rPh sb="2" eb="3">
      <t>セツ</t>
    </rPh>
    <rPh sb="4" eb="6">
      <t>シュンコウ</t>
    </rPh>
    <rPh sb="6" eb="8">
      <t>ネンゲツ</t>
    </rPh>
    <phoneticPr fontId="6"/>
  </si>
  <si>
    <t>　計画目標年次</t>
    <rPh sb="1" eb="3">
      <t>ケイカク</t>
    </rPh>
    <rPh sb="3" eb="5">
      <t>モクヒョウ</t>
    </rPh>
    <rPh sb="5" eb="7">
      <t>ネンジ</t>
    </rPh>
    <phoneticPr fontId="6"/>
  </si>
  <si>
    <t>　最終認可年月日</t>
    <rPh sb="1" eb="3">
      <t>サイシュウ</t>
    </rPh>
    <rPh sb="3" eb="5">
      <t>ニンカ</t>
    </rPh>
    <rPh sb="5" eb="8">
      <t>ネンガッピ</t>
    </rPh>
    <phoneticPr fontId="6"/>
  </si>
  <si>
    <t>（人）</t>
    <rPh sb="1" eb="2">
      <t>ニン</t>
    </rPh>
    <phoneticPr fontId="6"/>
  </si>
  <si>
    <t>　給水区域内世帯数</t>
    <rPh sb="1" eb="3">
      <t>キュウスイ</t>
    </rPh>
    <rPh sb="3" eb="6">
      <t>クイキナイ</t>
    </rPh>
    <rPh sb="6" eb="9">
      <t>セタイスウ</t>
    </rPh>
    <phoneticPr fontId="6"/>
  </si>
  <si>
    <t>　計画給水人口　</t>
    <rPh sb="1" eb="3">
      <t>ケイカク</t>
    </rPh>
    <rPh sb="3" eb="5">
      <t>キュウスイ</t>
    </rPh>
    <rPh sb="5" eb="7">
      <t>ジンコウ</t>
    </rPh>
    <phoneticPr fontId="6"/>
  </si>
  <si>
    <t>　現在給水人口</t>
    <rPh sb="1" eb="3">
      <t>ゲンザイ</t>
    </rPh>
    <rPh sb="3" eb="5">
      <t>キュウスイ</t>
    </rPh>
    <rPh sb="5" eb="7">
      <t>ジンコウ</t>
    </rPh>
    <phoneticPr fontId="6"/>
  </si>
  <si>
    <t>　現在給水世帯数</t>
    <rPh sb="1" eb="3">
      <t>ゲンザイ</t>
    </rPh>
    <rPh sb="3" eb="5">
      <t>キュウスイ</t>
    </rPh>
    <rPh sb="5" eb="8">
      <t>セタイスウ</t>
    </rPh>
    <phoneticPr fontId="6"/>
  </si>
  <si>
    <t>　給水普及率</t>
    <rPh sb="1" eb="3">
      <t>キュウスイ</t>
    </rPh>
    <rPh sb="3" eb="5">
      <t>フキュウ</t>
    </rPh>
    <rPh sb="5" eb="6">
      <t>リツ</t>
    </rPh>
    <phoneticPr fontId="6"/>
  </si>
  <si>
    <t>　計画給水区域面積</t>
    <rPh sb="1" eb="3">
      <t>ケイカク</t>
    </rPh>
    <rPh sb="3" eb="5">
      <t>キュウスイ</t>
    </rPh>
    <rPh sb="5" eb="7">
      <t>クイキ</t>
    </rPh>
    <rPh sb="7" eb="9">
      <t>メンセキ</t>
    </rPh>
    <phoneticPr fontId="6"/>
  </si>
  <si>
    <t>　現在給水面積</t>
    <rPh sb="1" eb="3">
      <t>ゲンザイ</t>
    </rPh>
    <rPh sb="3" eb="5">
      <t>キュウスイ</t>
    </rPh>
    <rPh sb="5" eb="7">
      <t>メンセキ</t>
    </rPh>
    <phoneticPr fontId="6"/>
  </si>
  <si>
    <t>　現在施設能力</t>
    <rPh sb="1" eb="3">
      <t>ゲンザイ</t>
    </rPh>
    <rPh sb="3" eb="5">
      <t>シセツ</t>
    </rPh>
    <rPh sb="5" eb="7">
      <t>ノウリョク</t>
    </rPh>
    <phoneticPr fontId="6"/>
  </si>
  <si>
    <t>　原水の種別</t>
    <rPh sb="1" eb="3">
      <t>ゲンスイ</t>
    </rPh>
    <rPh sb="4" eb="6">
      <t>シュベツ</t>
    </rPh>
    <phoneticPr fontId="6"/>
  </si>
  <si>
    <t>ダム・表
浅・深・湧</t>
    <rPh sb="3" eb="4">
      <t>ヒョウ</t>
    </rPh>
    <rPh sb="5" eb="6">
      <t>アサ</t>
    </rPh>
    <rPh sb="7" eb="8">
      <t>フカ</t>
    </rPh>
    <rPh sb="9" eb="10">
      <t>ユウ</t>
    </rPh>
    <phoneticPr fontId="6"/>
  </si>
  <si>
    <t>表・浅・深</t>
    <rPh sb="0" eb="1">
      <t>ヒョウ</t>
    </rPh>
    <rPh sb="2" eb="3">
      <t>アサ</t>
    </rPh>
    <rPh sb="4" eb="5">
      <t>フカ</t>
    </rPh>
    <phoneticPr fontId="6"/>
  </si>
  <si>
    <t>表流水
浅井戸</t>
    <rPh sb="0" eb="1">
      <t>ヒョウ</t>
    </rPh>
    <rPh sb="1" eb="3">
      <t>リュウスイ</t>
    </rPh>
    <rPh sb="4" eb="7">
      <t>アサイド</t>
    </rPh>
    <phoneticPr fontId="6"/>
  </si>
  <si>
    <t>表・伏・浅
湧・受</t>
    <rPh sb="0" eb="1">
      <t>ヒョウ</t>
    </rPh>
    <rPh sb="2" eb="3">
      <t>フク</t>
    </rPh>
    <rPh sb="4" eb="5">
      <t>アサ</t>
    </rPh>
    <rPh sb="6" eb="7">
      <t>ユウ</t>
    </rPh>
    <rPh sb="8" eb="9">
      <t>ジュ</t>
    </rPh>
    <phoneticPr fontId="6"/>
  </si>
  <si>
    <t>浅井戸</t>
    <rPh sb="0" eb="1">
      <t>アサ</t>
    </rPh>
    <rPh sb="1" eb="3">
      <t>イド</t>
    </rPh>
    <phoneticPr fontId="6"/>
  </si>
  <si>
    <t>表流水</t>
    <rPh sb="0" eb="1">
      <t>ヒョウ</t>
    </rPh>
    <rPh sb="1" eb="3">
      <t>リュウスイ</t>
    </rPh>
    <phoneticPr fontId="6"/>
  </si>
  <si>
    <t>表流水
湧水</t>
    <rPh sb="0" eb="1">
      <t>ヒョウ</t>
    </rPh>
    <rPh sb="1" eb="3">
      <t>リュウスイ</t>
    </rPh>
    <rPh sb="4" eb="6">
      <t>ワキミズ</t>
    </rPh>
    <phoneticPr fontId="6"/>
  </si>
  <si>
    <t>表・浅・湧</t>
    <rPh sb="0" eb="1">
      <t>ヒョウ</t>
    </rPh>
    <rPh sb="2" eb="3">
      <t>アサ</t>
    </rPh>
    <rPh sb="4" eb="5">
      <t>ユウ</t>
    </rPh>
    <phoneticPr fontId="6"/>
  </si>
  <si>
    <t>表・深・湧</t>
    <rPh sb="0" eb="1">
      <t>ヒョウ</t>
    </rPh>
    <rPh sb="2" eb="3">
      <t>フカ</t>
    </rPh>
    <rPh sb="4" eb="5">
      <t>ユウ</t>
    </rPh>
    <phoneticPr fontId="6"/>
  </si>
  <si>
    <t>深井戸
湧水</t>
    <rPh sb="0" eb="3">
      <t>フカイド</t>
    </rPh>
    <rPh sb="4" eb="6">
      <t>ワキミズ</t>
    </rPh>
    <phoneticPr fontId="6"/>
  </si>
  <si>
    <t>湧水</t>
    <rPh sb="0" eb="1">
      <t>ユウ</t>
    </rPh>
    <rPh sb="1" eb="2">
      <t>ミズ</t>
    </rPh>
    <phoneticPr fontId="6"/>
  </si>
  <si>
    <t>　浄水方法の種別</t>
    <rPh sb="1" eb="3">
      <t>ジョウスイ</t>
    </rPh>
    <rPh sb="3" eb="5">
      <t>ホウホウ</t>
    </rPh>
    <rPh sb="6" eb="8">
      <t>シュベツ</t>
    </rPh>
    <phoneticPr fontId="6"/>
  </si>
  <si>
    <t>消毒・緩速
急速</t>
    <rPh sb="0" eb="2">
      <t>ショウドク</t>
    </rPh>
    <rPh sb="3" eb="5">
      <t>カンソク</t>
    </rPh>
    <rPh sb="6" eb="8">
      <t>キュウソク</t>
    </rPh>
    <phoneticPr fontId="6"/>
  </si>
  <si>
    <t>消毒
急速ろ過</t>
    <rPh sb="0" eb="2">
      <t>ショウドク</t>
    </rPh>
    <rPh sb="3" eb="5">
      <t>キュウソク</t>
    </rPh>
    <rPh sb="6" eb="7">
      <t>カ</t>
    </rPh>
    <phoneticPr fontId="6"/>
  </si>
  <si>
    <t>消毒
緩速ろ過</t>
    <rPh sb="0" eb="2">
      <t>ショウドク</t>
    </rPh>
    <rPh sb="3" eb="5">
      <t>カンソク</t>
    </rPh>
    <rPh sb="6" eb="7">
      <t>カ</t>
    </rPh>
    <phoneticPr fontId="6"/>
  </si>
  <si>
    <t>消毒のみ</t>
    <rPh sb="0" eb="2">
      <t>ショウドク</t>
    </rPh>
    <phoneticPr fontId="6"/>
  </si>
  <si>
    <t>消毒・急速
膜</t>
    <rPh sb="0" eb="2">
      <t>ショウドク</t>
    </rPh>
    <rPh sb="3" eb="5">
      <t>キュウソク</t>
    </rPh>
    <rPh sb="6" eb="7">
      <t>マク</t>
    </rPh>
    <phoneticPr fontId="6"/>
  </si>
  <si>
    <t>急速ろ過</t>
    <rPh sb="0" eb="2">
      <t>キュウソク</t>
    </rPh>
    <rPh sb="3" eb="4">
      <t>カ</t>
    </rPh>
    <phoneticPr fontId="6"/>
  </si>
  <si>
    <t>消毒・緩速
急速</t>
    <rPh sb="3" eb="4">
      <t>カン</t>
    </rPh>
    <rPh sb="4" eb="5">
      <t>ソク</t>
    </rPh>
    <rPh sb="6" eb="8">
      <t>キュウソク</t>
    </rPh>
    <phoneticPr fontId="6"/>
  </si>
  <si>
    <t>消毒・緩速
急速・膜</t>
    <rPh sb="0" eb="2">
      <t>ショウドク</t>
    </rPh>
    <rPh sb="3" eb="4">
      <t>カン</t>
    </rPh>
    <rPh sb="4" eb="5">
      <t>ソク</t>
    </rPh>
    <rPh sb="6" eb="8">
      <t>キュウソク</t>
    </rPh>
    <rPh sb="9" eb="10">
      <t>マク</t>
    </rPh>
    <phoneticPr fontId="6"/>
  </si>
  <si>
    <t>家庭用料金</t>
    <rPh sb="0" eb="3">
      <t>カテイヨウ</t>
    </rPh>
    <rPh sb="3" eb="5">
      <t>リョウキン</t>
    </rPh>
    <phoneticPr fontId="6"/>
  </si>
  <si>
    <t>　基本水量</t>
    <rPh sb="1" eb="3">
      <t>キホン</t>
    </rPh>
    <rPh sb="3" eb="5">
      <t>スイリョウ</t>
    </rPh>
    <phoneticPr fontId="6"/>
  </si>
  <si>
    <t>　基本料金</t>
    <rPh sb="1" eb="3">
      <t>キホン</t>
    </rPh>
    <rPh sb="3" eb="5">
      <t>リョウキン</t>
    </rPh>
    <phoneticPr fontId="6"/>
  </si>
  <si>
    <t>　超過料金</t>
    <rPh sb="1" eb="3">
      <t>チョウカ</t>
    </rPh>
    <rPh sb="3" eb="5">
      <t>リョウキン</t>
    </rPh>
    <phoneticPr fontId="6"/>
  </si>
  <si>
    <t>　メータ使用料　</t>
    <rPh sb="4" eb="7">
      <t>シヨウリョウ</t>
    </rPh>
    <phoneticPr fontId="6"/>
  </si>
  <si>
    <t>　料金体系</t>
    <rPh sb="1" eb="3">
      <t>リョウキン</t>
    </rPh>
    <rPh sb="3" eb="5">
      <t>タイケイ</t>
    </rPh>
    <phoneticPr fontId="6"/>
  </si>
  <si>
    <t>用途別
口径別</t>
  </si>
  <si>
    <t>用途別</t>
  </si>
  <si>
    <t>専従職員数</t>
    <rPh sb="0" eb="2">
      <t>センジュウ</t>
    </rPh>
    <rPh sb="2" eb="5">
      <t>ショクインスウ</t>
    </rPh>
    <phoneticPr fontId="6"/>
  </si>
  <si>
    <t>経営分析</t>
    <rPh sb="0" eb="2">
      <t>ケイエイ</t>
    </rPh>
    <rPh sb="2" eb="4">
      <t>ブンセキ</t>
    </rPh>
    <phoneticPr fontId="6"/>
  </si>
  <si>
    <t>（％）</t>
    <phoneticPr fontId="6"/>
  </si>
  <si>
    <t>　施設利用率</t>
    <rPh sb="1" eb="3">
      <t>シセツ</t>
    </rPh>
    <rPh sb="3" eb="6">
      <t>リヨウリツ</t>
    </rPh>
    <phoneticPr fontId="6"/>
  </si>
  <si>
    <t>　職員一人当たり給水人口</t>
    <rPh sb="1" eb="3">
      <t>ショクイン</t>
    </rPh>
    <rPh sb="3" eb="5">
      <t>ヒトリ</t>
    </rPh>
    <rPh sb="5" eb="6">
      <t>ア</t>
    </rPh>
    <rPh sb="8" eb="10">
      <t>キュウスイ</t>
    </rPh>
    <rPh sb="10" eb="12">
      <t>ジンコウ</t>
    </rPh>
    <phoneticPr fontId="6"/>
  </si>
  <si>
    <t>　職員一人当たり有収水量</t>
    <rPh sb="1" eb="3">
      <t>ショクイン</t>
    </rPh>
    <rPh sb="3" eb="5">
      <t>ヒトリ</t>
    </rPh>
    <rPh sb="5" eb="6">
      <t>ア</t>
    </rPh>
    <rPh sb="8" eb="9">
      <t>ユウ</t>
    </rPh>
    <rPh sb="9" eb="10">
      <t>シュウ</t>
    </rPh>
    <rPh sb="10" eb="12">
      <t>スイリョウ</t>
    </rPh>
    <phoneticPr fontId="6"/>
  </si>
  <si>
    <t>　職員一人当たり営業収益</t>
    <rPh sb="1" eb="3">
      <t>ショクイン</t>
    </rPh>
    <rPh sb="3" eb="5">
      <t>ヒトリ</t>
    </rPh>
    <rPh sb="5" eb="6">
      <t>ア</t>
    </rPh>
    <rPh sb="8" eb="10">
      <t>エイギョウ</t>
    </rPh>
    <rPh sb="10" eb="12">
      <t>シュウエキ</t>
    </rPh>
    <phoneticPr fontId="6"/>
  </si>
  <si>
    <t>（千円/人）</t>
    <rPh sb="1" eb="2">
      <t>セン</t>
    </rPh>
    <rPh sb="2" eb="3">
      <t>エン</t>
    </rPh>
    <rPh sb="4" eb="5">
      <t>ニン</t>
    </rPh>
    <phoneticPr fontId="6"/>
  </si>
  <si>
    <t>　年間有収水量</t>
    <rPh sb="1" eb="3">
      <t>ネンカン</t>
    </rPh>
    <rPh sb="3" eb="4">
      <t>ユウ</t>
    </rPh>
    <rPh sb="4" eb="5">
      <t>シュウ</t>
    </rPh>
    <rPh sb="5" eb="7">
      <t>スイリョウ</t>
    </rPh>
    <phoneticPr fontId="6"/>
  </si>
  <si>
    <t>　有収率</t>
    <rPh sb="1" eb="2">
      <t>ユウ</t>
    </rPh>
    <rPh sb="2" eb="3">
      <t>シュウ</t>
    </rPh>
    <rPh sb="3" eb="4">
      <t>リツ</t>
    </rPh>
    <phoneticPr fontId="6"/>
  </si>
  <si>
    <t>　　生活用水量</t>
    <rPh sb="2" eb="4">
      <t>セイカツ</t>
    </rPh>
    <rPh sb="4" eb="6">
      <t>ヨウスイ</t>
    </rPh>
    <rPh sb="6" eb="7">
      <t>リョウ</t>
    </rPh>
    <phoneticPr fontId="6"/>
  </si>
  <si>
    <t>　　生活用水量の率</t>
    <rPh sb="2" eb="4">
      <t>セイカツ</t>
    </rPh>
    <rPh sb="4" eb="6">
      <t>ヨウスイ</t>
    </rPh>
    <rPh sb="6" eb="7">
      <t>リョウ</t>
    </rPh>
    <rPh sb="8" eb="9">
      <t>リツ</t>
    </rPh>
    <phoneticPr fontId="6"/>
  </si>
  <si>
    <t>　　業務・営業用</t>
    <rPh sb="2" eb="4">
      <t>ギョウム</t>
    </rPh>
    <rPh sb="5" eb="8">
      <t>エイギョウヨウ</t>
    </rPh>
    <phoneticPr fontId="6"/>
  </si>
  <si>
    <t>　　業務・営業用の率</t>
    <rPh sb="2" eb="4">
      <t>ギョウム</t>
    </rPh>
    <rPh sb="5" eb="8">
      <t>エイギョウヨウ</t>
    </rPh>
    <rPh sb="9" eb="10">
      <t>リツ</t>
    </rPh>
    <phoneticPr fontId="6"/>
  </si>
  <si>
    <t>（％）</t>
  </si>
  <si>
    <t>　　工場用</t>
    <rPh sb="2" eb="5">
      <t>コウジョウヨウ</t>
    </rPh>
    <phoneticPr fontId="6"/>
  </si>
  <si>
    <t>　　工場用の率</t>
    <rPh sb="2" eb="5">
      <t>コウジョウヨウ</t>
    </rPh>
    <rPh sb="6" eb="7">
      <t>リツ</t>
    </rPh>
    <phoneticPr fontId="6"/>
  </si>
  <si>
    <t>　　その他</t>
    <rPh sb="4" eb="5">
      <t>タ</t>
    </rPh>
    <phoneticPr fontId="6"/>
  </si>
  <si>
    <t>　　その他の率</t>
    <rPh sb="4" eb="5">
      <t>タ</t>
    </rPh>
    <rPh sb="6" eb="7">
      <t>リツ</t>
    </rPh>
    <phoneticPr fontId="6"/>
  </si>
  <si>
    <t>　無収水量</t>
    <rPh sb="1" eb="2">
      <t>ム</t>
    </rPh>
    <rPh sb="2" eb="3">
      <t>シュウ</t>
    </rPh>
    <rPh sb="3" eb="5">
      <t>スイリョウ</t>
    </rPh>
    <phoneticPr fontId="6"/>
  </si>
  <si>
    <t>　無収率</t>
    <rPh sb="1" eb="2">
      <t>ム</t>
    </rPh>
    <rPh sb="2" eb="3">
      <t>シュウ</t>
    </rPh>
    <rPh sb="3" eb="4">
      <t>リツ</t>
    </rPh>
    <phoneticPr fontId="6"/>
  </si>
  <si>
    <t>　有効水量</t>
    <rPh sb="1" eb="3">
      <t>ユウコウ</t>
    </rPh>
    <rPh sb="3" eb="5">
      <t>スイリョウ</t>
    </rPh>
    <phoneticPr fontId="6"/>
  </si>
  <si>
    <t>　有効率</t>
    <rPh sb="1" eb="4">
      <t>ユウコウリツ</t>
    </rPh>
    <phoneticPr fontId="6"/>
  </si>
  <si>
    <t>　無効水量</t>
    <rPh sb="1" eb="3">
      <t>ムコウ</t>
    </rPh>
    <rPh sb="3" eb="5">
      <t>スイリョウ</t>
    </rPh>
    <phoneticPr fontId="6"/>
  </si>
  <si>
    <t>　無効率</t>
    <rPh sb="1" eb="3">
      <t>ムコウ</t>
    </rPh>
    <rPh sb="3" eb="4">
      <t>リツ</t>
    </rPh>
    <phoneticPr fontId="6"/>
  </si>
  <si>
    <t>　年間給水量</t>
    <rPh sb="1" eb="3">
      <t>ネンカン</t>
    </rPh>
    <rPh sb="3" eb="5">
      <t>キュウスイ</t>
    </rPh>
    <rPh sb="5" eb="6">
      <t>リョウ</t>
    </rPh>
    <phoneticPr fontId="6"/>
  </si>
  <si>
    <t>　一日最大給水量</t>
    <rPh sb="1" eb="3">
      <t>イチニチ</t>
    </rPh>
    <rPh sb="3" eb="5">
      <t>サイダイ</t>
    </rPh>
    <rPh sb="5" eb="7">
      <t>キュウスイ</t>
    </rPh>
    <rPh sb="7" eb="8">
      <t>リョウ</t>
    </rPh>
    <phoneticPr fontId="6"/>
  </si>
  <si>
    <t>　一日平均給水量</t>
    <rPh sb="1" eb="3">
      <t>イチニチ</t>
    </rPh>
    <rPh sb="3" eb="5">
      <t>ヘイキン</t>
    </rPh>
    <rPh sb="5" eb="7">
      <t>キュウスイ</t>
    </rPh>
    <rPh sb="7" eb="8">
      <t>リョウ</t>
    </rPh>
    <phoneticPr fontId="6"/>
  </si>
  <si>
    <t>　一人一日最大給水量</t>
    <rPh sb="1" eb="3">
      <t>ヒトリ</t>
    </rPh>
    <rPh sb="3" eb="5">
      <t>イチニチ</t>
    </rPh>
    <rPh sb="5" eb="7">
      <t>サイダイ</t>
    </rPh>
    <rPh sb="7" eb="9">
      <t>キュウスイ</t>
    </rPh>
    <rPh sb="9" eb="10">
      <t>リョウ</t>
    </rPh>
    <phoneticPr fontId="6"/>
  </si>
  <si>
    <t>　一人一日平均給水量</t>
    <rPh sb="1" eb="3">
      <t>ヒトリ</t>
    </rPh>
    <rPh sb="3" eb="5">
      <t>イチニチ</t>
    </rPh>
    <rPh sb="5" eb="7">
      <t>ヘイキン</t>
    </rPh>
    <rPh sb="7" eb="9">
      <t>キュウスイ</t>
    </rPh>
    <rPh sb="9" eb="10">
      <t>リョウ</t>
    </rPh>
    <phoneticPr fontId="6"/>
  </si>
  <si>
    <t>S25.11</t>
  </si>
  <si>
    <t>S30.12</t>
  </si>
  <si>
    <t>S38.12</t>
  </si>
  <si>
    <t>S33.11</t>
  </si>
  <si>
    <t>S47.10</t>
  </si>
  <si>
    <t>H24</t>
  </si>
  <si>
    <t>H29</t>
  </si>
  <si>
    <t>H21</t>
  </si>
  <si>
    <t>-</t>
  </si>
  <si>
    <t>　給水区域内現在人口</t>
    <rPh sb="1" eb="3">
      <t>キュウスイ</t>
    </rPh>
    <rPh sb="3" eb="6">
      <t>クイキナイ</t>
    </rPh>
    <rPh sb="6" eb="8">
      <t>ゲンザイ</t>
    </rPh>
    <rPh sb="8" eb="10">
      <t>ジンコウ</t>
    </rPh>
    <phoneticPr fontId="6"/>
  </si>
  <si>
    <t>表・伏・浅
深・湧</t>
    <rPh sb="0" eb="1">
      <t>ヒョウ</t>
    </rPh>
    <rPh sb="2" eb="3">
      <t>フク</t>
    </rPh>
    <rPh sb="4" eb="5">
      <t>アサ</t>
    </rPh>
    <rPh sb="6" eb="7">
      <t>フカ</t>
    </rPh>
    <rPh sb="8" eb="9">
      <t>ユウ</t>
    </rPh>
    <phoneticPr fontId="6"/>
  </si>
  <si>
    <t>消毒・緩速
急速・膜</t>
    <rPh sb="0" eb="2">
      <t>ショウドク</t>
    </rPh>
    <rPh sb="3" eb="5">
      <t>カンソク</t>
    </rPh>
    <rPh sb="6" eb="8">
      <t>キュウソク</t>
    </rPh>
    <rPh sb="9" eb="10">
      <t>マク</t>
    </rPh>
    <phoneticPr fontId="6"/>
  </si>
  <si>
    <t>緩速・急速
膜</t>
    <rPh sb="0" eb="2">
      <t>カンソク</t>
    </rPh>
    <rPh sb="3" eb="5">
      <t>キュウソク</t>
    </rPh>
    <rPh sb="6" eb="7">
      <t>マク</t>
    </rPh>
    <phoneticPr fontId="6"/>
  </si>
  <si>
    <t>ダム・表・伏
浅・湧</t>
    <rPh sb="3" eb="4">
      <t>ヒョウ</t>
    </rPh>
    <rPh sb="5" eb="6">
      <t>フ</t>
    </rPh>
    <rPh sb="7" eb="8">
      <t>アサ</t>
    </rPh>
    <rPh sb="9" eb="10">
      <t>ユウ</t>
    </rPh>
    <phoneticPr fontId="6"/>
  </si>
  <si>
    <t>葛巻町</t>
    <rPh sb="0" eb="3">
      <t>クズマキマチ</t>
    </rPh>
    <phoneticPr fontId="6"/>
  </si>
  <si>
    <t>消毒・緩速
膜</t>
    <rPh sb="0" eb="2">
      <t>ショウドク</t>
    </rPh>
    <rPh sb="3" eb="5">
      <t>カンソク</t>
    </rPh>
    <rPh sb="6" eb="7">
      <t>マク</t>
    </rPh>
    <phoneticPr fontId="6"/>
  </si>
  <si>
    <t>一戸町
（一戸）</t>
    <rPh sb="5" eb="7">
      <t>イチノヘ</t>
    </rPh>
    <phoneticPr fontId="6"/>
  </si>
  <si>
    <t>一戸町
（奥中山）</t>
    <phoneticPr fontId="6"/>
  </si>
  <si>
    <r>
      <t>　10ｍ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6"/>
  </si>
  <si>
    <r>
      <t>　20ｍ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当たり料金</t>
    </r>
    <rPh sb="5" eb="6">
      <t>ア</t>
    </rPh>
    <rPh sb="8" eb="10">
      <t>リョウキン</t>
    </rPh>
    <phoneticPr fontId="6"/>
  </si>
  <si>
    <t>表・浅・受</t>
    <rPh sb="0" eb="1">
      <t>ヒョウ</t>
    </rPh>
    <rPh sb="2" eb="3">
      <t>アサ</t>
    </rPh>
    <rPh sb="4" eb="5">
      <t>ウ</t>
    </rPh>
    <phoneticPr fontId="6"/>
  </si>
  <si>
    <t>　給水原価(旧)</t>
    <rPh sb="1" eb="3">
      <t>キュウスイ</t>
    </rPh>
    <rPh sb="3" eb="5">
      <t>ゲンカ</t>
    </rPh>
    <rPh sb="6" eb="7">
      <t>キュウ</t>
    </rPh>
    <phoneticPr fontId="6"/>
  </si>
  <si>
    <t xml:space="preserve">          (新)</t>
    <rPh sb="11" eb="12">
      <t>シン</t>
    </rPh>
    <phoneticPr fontId="6"/>
  </si>
  <si>
    <t>　計画一日最大給水量</t>
    <rPh sb="1" eb="3">
      <t>ケイカク</t>
    </rPh>
    <rPh sb="3" eb="4">
      <t>イチ</t>
    </rPh>
    <rPh sb="4" eb="5">
      <t>ニチ</t>
    </rPh>
    <rPh sb="5" eb="7">
      <t>サイダイ</t>
    </rPh>
    <rPh sb="7" eb="9">
      <t>キュウスイ</t>
    </rPh>
    <rPh sb="9" eb="10">
      <t>リョウ</t>
    </rPh>
    <phoneticPr fontId="6"/>
  </si>
  <si>
    <t>西和賀町</t>
    <rPh sb="0" eb="4">
      <t>ニシワガマチ</t>
    </rPh>
    <phoneticPr fontId="6"/>
  </si>
  <si>
    <t>表・浅・湧</t>
    <rPh sb="0" eb="1">
      <t>ヒョウ</t>
    </rPh>
    <rPh sb="2" eb="3">
      <t>セン</t>
    </rPh>
    <phoneticPr fontId="6"/>
  </si>
  <si>
    <t>　供給単価　</t>
    <rPh sb="1" eb="3">
      <t>キョウキュウ</t>
    </rPh>
    <rPh sb="3" eb="5">
      <t>タンカ</t>
    </rPh>
    <phoneticPr fontId="6"/>
  </si>
  <si>
    <t>伏流水
浅井戸</t>
    <rPh sb="0" eb="1">
      <t>フ</t>
    </rPh>
    <rPh sb="1" eb="3">
      <t>リュウスイ</t>
    </rPh>
    <rPh sb="4" eb="5">
      <t>アサ</t>
    </rPh>
    <rPh sb="5" eb="7">
      <t>イド</t>
    </rPh>
    <phoneticPr fontId="6"/>
  </si>
  <si>
    <t>表流水
深井戸</t>
    <rPh sb="0" eb="1">
      <t>ヒョウ</t>
    </rPh>
    <rPh sb="1" eb="3">
      <t>リュウスイ</t>
    </rPh>
    <rPh sb="4" eb="5">
      <t>フカ</t>
    </rPh>
    <rPh sb="5" eb="7">
      <t>イド</t>
    </rPh>
    <phoneticPr fontId="6"/>
  </si>
  <si>
    <t>表・伏・浅
・湧</t>
    <rPh sb="0" eb="1">
      <t>ヒョウ</t>
    </rPh>
    <rPh sb="2" eb="3">
      <t>フク</t>
    </rPh>
    <rPh sb="4" eb="5">
      <t>アサ</t>
    </rPh>
    <rPh sb="7" eb="8">
      <t>ユウ</t>
    </rPh>
    <phoneticPr fontId="6"/>
  </si>
  <si>
    <t>表・伏
浅・深</t>
    <rPh sb="0" eb="1">
      <t>ヒョウ</t>
    </rPh>
    <rPh sb="2" eb="3">
      <t>フ</t>
    </rPh>
    <rPh sb="4" eb="5">
      <t>アサ</t>
    </rPh>
    <rPh sb="6" eb="7">
      <t>フカ</t>
    </rPh>
    <phoneticPr fontId="6"/>
  </si>
  <si>
    <t>消毒
緩速・膜</t>
    <rPh sb="0" eb="2">
      <t>ショウドク</t>
    </rPh>
    <rPh sb="3" eb="5">
      <t>カンソク</t>
    </rPh>
    <rPh sb="6" eb="7">
      <t>マク</t>
    </rPh>
    <phoneticPr fontId="6"/>
  </si>
  <si>
    <t>表・浅・湧</t>
    <rPh sb="0" eb="1">
      <t>ヒョウ</t>
    </rPh>
    <rPh sb="2" eb="3">
      <t>アサ</t>
    </rPh>
    <rPh sb="4" eb="5">
      <t>ワ</t>
    </rPh>
    <phoneticPr fontId="6"/>
  </si>
  <si>
    <t>浅・深・湧</t>
    <rPh sb="0" eb="1">
      <t>アサ</t>
    </rPh>
    <rPh sb="2" eb="3">
      <t>フカ</t>
    </rPh>
    <rPh sb="4" eb="5">
      <t>ワ</t>
    </rPh>
    <phoneticPr fontId="6"/>
  </si>
  <si>
    <t>岩泉町</t>
    <rPh sb="0" eb="2">
      <t>イワイズミ</t>
    </rPh>
    <rPh sb="2" eb="3">
      <t>チョウ</t>
    </rPh>
    <phoneticPr fontId="6"/>
  </si>
  <si>
    <t>28事業</t>
    <rPh sb="2" eb="4">
      <t>ジギョウ</t>
    </rPh>
    <phoneticPr fontId="6"/>
  </si>
  <si>
    <t>表・伏
浅・湧</t>
    <rPh sb="0" eb="1">
      <t>ヒョウ</t>
    </rPh>
    <rPh sb="2" eb="3">
      <t>フ</t>
    </rPh>
    <rPh sb="4" eb="5">
      <t>アサ</t>
    </rPh>
    <rPh sb="6" eb="7">
      <t>ワ</t>
    </rPh>
    <phoneticPr fontId="6"/>
  </si>
  <si>
    <t>浅・深・湧</t>
    <rPh sb="0" eb="1">
      <t>セン</t>
    </rPh>
    <rPh sb="2" eb="3">
      <t>フカ</t>
    </rPh>
    <rPh sb="4" eb="5">
      <t>ユウ</t>
    </rPh>
    <phoneticPr fontId="6"/>
  </si>
  <si>
    <t xml:space="preserve">管路総延長  </t>
    <rPh sb="0" eb="2">
      <t>カンロ</t>
    </rPh>
    <rPh sb="2" eb="5">
      <t>ソウエンチョウ</t>
    </rPh>
    <phoneticPr fontId="6"/>
  </si>
  <si>
    <t>二戸市</t>
    <phoneticPr fontId="6"/>
  </si>
  <si>
    <t>金ケ崎町</t>
    <phoneticPr fontId="6"/>
  </si>
  <si>
    <r>
      <t>（円/m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エン</t>
    </rPh>
    <phoneticPr fontId="6"/>
  </si>
  <si>
    <t>消毒・膜</t>
    <rPh sb="0" eb="2">
      <t>ショウドク</t>
    </rPh>
    <rPh sb="3" eb="4">
      <t>マク</t>
    </rPh>
    <phoneticPr fontId="6"/>
  </si>
  <si>
    <t>山田町</t>
    <phoneticPr fontId="6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</si>
  <si>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/人）</t>
    </r>
    <rPh sb="1" eb="2">
      <t>セン</t>
    </rPh>
    <rPh sb="5" eb="6">
      <t>ニン</t>
    </rPh>
    <phoneticPr fontId="6"/>
  </si>
  <si>
    <t>（戸）</t>
    <rPh sb="1" eb="2">
      <t>コ</t>
    </rPh>
    <phoneticPr fontId="6"/>
  </si>
  <si>
    <t>（円）</t>
    <rPh sb="1" eb="2">
      <t>エン</t>
    </rPh>
    <phoneticPr fontId="6"/>
  </si>
  <si>
    <t>（m）</t>
    <phoneticPr fontId="6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</si>
  <si>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rPh sb="1" eb="2">
      <t>セン</t>
    </rPh>
    <phoneticPr fontId="6"/>
  </si>
  <si>
    <r>
      <t>（千m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6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</si>
  <si>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）</t>
    </r>
    <phoneticPr fontId="6"/>
  </si>
  <si>
    <t>（ﾘｯﾄﾙ）</t>
    <phoneticPr fontId="6"/>
  </si>
  <si>
    <t xml:space="preserve">　負荷率 </t>
    <rPh sb="1" eb="3">
      <t>フカ</t>
    </rPh>
    <rPh sb="3" eb="4">
      <t>リツ</t>
    </rPh>
    <phoneticPr fontId="6"/>
  </si>
  <si>
    <t xml:space="preserve">　稼働率 </t>
    <rPh sb="1" eb="3">
      <t>カドウ</t>
    </rPh>
    <rPh sb="3" eb="4">
      <t>リツ</t>
    </rPh>
    <phoneticPr fontId="6"/>
  </si>
  <si>
    <t>R11</t>
  </si>
  <si>
    <t>R15</t>
  </si>
  <si>
    <t>R14</t>
  </si>
  <si>
    <t>R10</t>
  </si>
  <si>
    <t>R12</t>
  </si>
  <si>
    <t>口径別</t>
  </si>
  <si>
    <r>
      <t>（km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phoneticPr fontId="6"/>
  </si>
  <si>
    <r>
      <t>（m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明朝"/>
        <family val="1"/>
        <charset val="128"/>
      </rPr>
      <t>/日）</t>
    </r>
    <rPh sb="4" eb="5">
      <t>ニチ</t>
    </rPh>
    <phoneticPr fontId="6"/>
  </si>
  <si>
    <t>年間
給水量</t>
  </si>
  <si>
    <t>有効
水量</t>
  </si>
  <si>
    <t>有収
水量</t>
  </si>
  <si>
    <t>無収
水量</t>
  </si>
  <si>
    <t>無効
水量</t>
  </si>
  <si>
    <t>有効率
(%)</t>
  </si>
  <si>
    <t>有収率
(%)</t>
  </si>
  <si>
    <t>最安</t>
    <rPh sb="0" eb="2">
      <t>サイヤス</t>
    </rPh>
    <phoneticPr fontId="6"/>
  </si>
  <si>
    <t>最高</t>
    <rPh sb="0" eb="2">
      <t>サイコウ</t>
    </rPh>
    <phoneticPr fontId="6"/>
  </si>
  <si>
    <t>S9.12</t>
  </si>
  <si>
    <t>S27.6</t>
  </si>
  <si>
    <t>S29.4</t>
  </si>
  <si>
    <t>S32.5</t>
  </si>
  <si>
    <t>H20.4</t>
  </si>
  <si>
    <t>S36.4</t>
  </si>
  <si>
    <t>S39.4</t>
  </si>
  <si>
    <t>S41.3</t>
  </si>
  <si>
    <t>H20.7</t>
  </si>
  <si>
    <t>S41.4</t>
  </si>
  <si>
    <t>S43.7</t>
  </si>
  <si>
    <t>S41.1</t>
  </si>
  <si>
    <t>S49.4</t>
  </si>
  <si>
    <t>S50.4</t>
  </si>
  <si>
    <t>S36.7</t>
  </si>
  <si>
    <t>H1.4</t>
  </si>
  <si>
    <t>H7.4</t>
  </si>
  <si>
    <t>H26.4</t>
  </si>
  <si>
    <t>H29.4</t>
  </si>
  <si>
    <t>H29.3</t>
  </si>
  <si>
    <t>H30.4</t>
  </si>
  <si>
    <t>R2.4</t>
  </si>
  <si>
    <t>R6</t>
  </si>
  <si>
    <t>R9</t>
  </si>
  <si>
    <t>R25</t>
  </si>
  <si>
    <t>R7</t>
  </si>
  <si>
    <t>R16</t>
  </si>
  <si>
    <t>R8</t>
  </si>
  <si>
    <t>R5</t>
  </si>
  <si>
    <t>R1</t>
  </si>
  <si>
    <t>R2</t>
  </si>
  <si>
    <t>R2.3.24</t>
  </si>
  <si>
    <t>H27.4.1</t>
  </si>
  <si>
    <t>R2.3.23</t>
  </si>
  <si>
    <t>H26.3.24</t>
  </si>
  <si>
    <t>H30.6.28</t>
  </si>
  <si>
    <t>R5.4.18</t>
  </si>
  <si>
    <t>R2.3.27</t>
  </si>
  <si>
    <t>R6.3.29</t>
  </si>
  <si>
    <t>H28.3.28</t>
  </si>
  <si>
    <t>R7.3.28</t>
  </si>
  <si>
    <t>H15.3.25</t>
  </si>
  <si>
    <t>H20.7.15</t>
  </si>
  <si>
    <t>H29.3.28</t>
  </si>
  <si>
    <t>H21.3.19</t>
  </si>
  <si>
    <t>H27.12.2</t>
  </si>
  <si>
    <t>H13.3.27</t>
  </si>
  <si>
    <t>R5.3.22</t>
  </si>
  <si>
    <t>H30.3.26</t>
  </si>
  <si>
    <t>H29.3.31</t>
  </si>
  <si>
    <t>H29.3.27</t>
  </si>
  <si>
    <t>H23.8.4</t>
  </si>
  <si>
    <t>R5.8.22</t>
  </si>
  <si>
    <t>H29.2.28</t>
  </si>
  <si>
    <t>H29.3.23</t>
  </si>
  <si>
    <t>H30.3.23</t>
  </si>
  <si>
    <t>R3.3.3</t>
  </si>
  <si>
    <t>浅・深・湧</t>
    <rPh sb="0" eb="1">
      <t>アサ</t>
    </rPh>
    <rPh sb="2" eb="3">
      <t>フカ</t>
    </rPh>
    <rPh sb="4" eb="5">
      <t>ユウ</t>
    </rPh>
    <phoneticPr fontId="6"/>
  </si>
  <si>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4"/>
  </si>
  <si>
    <t>11 上水道年間給水量の推移</t>
    <rPh sb="3" eb="6">
      <t>ジョウスイドウ</t>
    </rPh>
    <rPh sb="6" eb="8">
      <t>ネンカン</t>
    </rPh>
    <rPh sb="8" eb="11">
      <t>キュウスイリョウ</t>
    </rPh>
    <rPh sb="12" eb="14">
      <t>スイイ</t>
    </rPh>
    <phoneticPr fontId="4"/>
  </si>
  <si>
    <r>
      <t>実績1日　最大給水量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34"/>
  </si>
  <si>
    <r>
      <t>実績1日　平均給水量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34"/>
  </si>
  <si>
    <t>実績1人1日　最大給水量(L/人･日)</t>
    <phoneticPr fontId="34"/>
  </si>
  <si>
    <t>実績1人1日　平均給水量(L/人･日)</t>
    <phoneticPr fontId="34"/>
  </si>
  <si>
    <t>８　水道事業の規模別状況</t>
    <rPh sb="2" eb="4">
      <t>スイドウ</t>
    </rPh>
    <rPh sb="4" eb="6">
      <t>ジギョウ</t>
    </rPh>
    <rPh sb="7" eb="10">
      <t>キボベツ</t>
    </rPh>
    <rPh sb="10" eb="12">
      <t>ジョウキョウ</t>
    </rPh>
    <phoneticPr fontId="6"/>
  </si>
  <si>
    <t>計画給水人口</t>
    <rPh sb="0" eb="6">
      <t>ケイカクキュウスイジンコウ</t>
    </rPh>
    <phoneticPr fontId="6"/>
  </si>
  <si>
    <t>施設数</t>
    <rPh sb="0" eb="3">
      <t>シセツスウ</t>
    </rPh>
    <phoneticPr fontId="6"/>
  </si>
  <si>
    <t>計画</t>
    <rPh sb="0" eb="2">
      <t>ケイカク</t>
    </rPh>
    <phoneticPr fontId="6"/>
  </si>
  <si>
    <t>現在</t>
    <rPh sb="0" eb="2">
      <t>ゲンザイ</t>
    </rPh>
    <phoneticPr fontId="6"/>
  </si>
  <si>
    <t>計</t>
    <rPh sb="0" eb="1">
      <t>ケイ</t>
    </rPh>
    <phoneticPr fontId="6"/>
  </si>
  <si>
    <t>0～1000</t>
  </si>
  <si>
    <t>0～2000</t>
  </si>
  <si>
    <t>1001～1250</t>
  </si>
  <si>
    <t>2001～2500</t>
  </si>
  <si>
    <t>1251～1500</t>
  </si>
  <si>
    <t>2501～3000</t>
  </si>
  <si>
    <t>1501～1750</t>
  </si>
  <si>
    <t>3001～3500</t>
  </si>
  <si>
    <t>1751～2000</t>
  </si>
  <si>
    <t>3501～4000</t>
  </si>
  <si>
    <t>2001～2250</t>
  </si>
  <si>
    <t>4001～4500</t>
  </si>
  <si>
    <t>2251～2500</t>
  </si>
  <si>
    <t>4501～5000</t>
  </si>
  <si>
    <t>2501～2750</t>
  </si>
  <si>
    <t>5001～</t>
  </si>
  <si>
    <t>2751～</t>
  </si>
  <si>
    <t>８　水道事業の規模別状況</t>
  </si>
  <si>
    <t>10m3区分</t>
  </si>
  <si>
    <t>施設数</t>
  </si>
  <si>
    <t>計画</t>
  </si>
  <si>
    <t>現在</t>
  </si>
  <si>
    <t>計画1日最大</t>
  </si>
  <si>
    <t>年間実績（千m3）</t>
  </si>
  <si>
    <t>20m3区分</t>
  </si>
  <si>
    <t>計</t>
  </si>
  <si>
    <t>5001～10000</t>
  </si>
  <si>
    <t>10001～20000</t>
  </si>
  <si>
    <t>20001～30000</t>
  </si>
  <si>
    <t>30001～40000</t>
  </si>
  <si>
    <t>40001～50000</t>
  </si>
  <si>
    <t>50001～60000</t>
  </si>
  <si>
    <t>60001～70000</t>
  </si>
  <si>
    <t>70001～</t>
  </si>
  <si>
    <t>平均</t>
    <rPh sb="0" eb="2">
      <t>ヘイキン</t>
    </rPh>
    <phoneticPr fontId="6"/>
  </si>
  <si>
    <t>15　上水道事業の供給単価・給水原価</t>
    <rPh sb="3" eb="6">
      <t>ジョウスイドウ</t>
    </rPh>
    <rPh sb="6" eb="8">
      <t>ジギョウ</t>
    </rPh>
    <rPh sb="9" eb="11">
      <t>キョウキュウ</t>
    </rPh>
    <rPh sb="11" eb="13">
      <t>タンカ</t>
    </rPh>
    <rPh sb="14" eb="16">
      <t>キュウスイ</t>
    </rPh>
    <rPh sb="16" eb="18">
      <t>ゲンカ</t>
    </rPh>
    <phoneticPr fontId="4"/>
  </si>
  <si>
    <t>年間有収水量</t>
    <rPh sb="0" eb="2">
      <t>ネンカン</t>
    </rPh>
    <rPh sb="2" eb="3">
      <t>ユウ</t>
    </rPh>
    <rPh sb="3" eb="4">
      <t>シュウ</t>
    </rPh>
    <rPh sb="4" eb="6">
      <t>スイリョウ</t>
    </rPh>
    <phoneticPr fontId="6"/>
  </si>
  <si>
    <t>赤字セルには数式が入っており、セル参照の範囲が正しいか確認すること</t>
    <rPh sb="0" eb="2">
      <t>アカジ</t>
    </rPh>
    <rPh sb="6" eb="8">
      <t>スウシキ</t>
    </rPh>
    <rPh sb="9" eb="10">
      <t>ハイ</t>
    </rPh>
    <rPh sb="17" eb="19">
      <t>サンショウ</t>
    </rPh>
    <rPh sb="20" eb="22">
      <t>ハンイ</t>
    </rPh>
    <rPh sb="23" eb="24">
      <t>タダ</t>
    </rPh>
    <rPh sb="27" eb="29">
      <t>カクニン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</si>
</sst>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0.0"/>
    <numFmt numFmtId="178" formatCode="0.0;[Red]0.0"/>
    <numFmt numFmtId="179" formatCode="gee\.mm\.dd"/>
    <numFmt numFmtId="180" formatCode="#,##0_ "/>
  </numFmts>
  <fonts count="3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000000"/>
      <name val="Times New Roman"/>
      <family val="1"/>
    </font>
    <font>
      <sz val="6"/>
      <name val="ＭＳ 明朝"/>
      <family val="1"/>
      <charset val="128"/>
    </font>
    <font>
      <sz val="20"/>
      <color rgb="FFFF000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6"/>
      <name val="明朝体"/>
      <family val="3"/>
      <charset val="128"/>
    </font>
    <font>
      <b/>
      <sz val="12"/>
      <name val="ＭＳ 明朝"/>
      <family val="1"/>
      <charset val="128"/>
    </font>
    <font>
      <sz val="10"/>
      <name val="Osaka"/>
      <family val="3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5">
    <xf numFmtId="0" fontId="0" fillId="0" borderId="0"/>
    <xf numFmtId="38" fontId="4" fillId="0" borderId="0" applyFont="0" applyFill="0" applyBorder="0" applyAlignment="0" applyProtection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8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1" fillId="0" borderId="0"/>
    <xf numFmtId="0" fontId="36" fillId="0" borderId="0"/>
  </cellStyleXfs>
  <cellXfs count="109">
    <xf numFmtId="0" fontId="0" fillId="0" borderId="0" xfId="0"/>
    <xf numFmtId="49" fontId="5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8" fontId="7" fillId="0" borderId="0" xfId="1" applyFont="1" applyFill="1" applyAlignment="1">
      <alignment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38" fontId="25" fillId="0" borderId="14" xfId="1" applyFont="1" applyFill="1" applyBorder="1" applyAlignment="1">
      <alignment horizontal="right" vertical="center"/>
    </xf>
    <xf numFmtId="38" fontId="25" fillId="34" borderId="14" xfId="1" applyFont="1" applyFill="1" applyBorder="1" applyAlignment="1">
      <alignment horizontal="right" vertical="center"/>
    </xf>
    <xf numFmtId="40" fontId="25" fillId="34" borderId="14" xfId="1" applyNumberFormat="1" applyFont="1" applyFill="1" applyBorder="1" applyAlignment="1">
      <alignment horizontal="right" vertical="center"/>
    </xf>
    <xf numFmtId="49" fontId="25" fillId="33" borderId="14" xfId="0" applyNumberFormat="1" applyFont="1" applyFill="1" applyBorder="1" applyAlignment="1">
      <alignment horizontal="center" vertical="center" wrapText="1"/>
    </xf>
    <xf numFmtId="49" fontId="25" fillId="33" borderId="14" xfId="0" applyNumberFormat="1" applyFont="1" applyFill="1" applyBorder="1" applyAlignment="1">
      <alignment horizontal="center" vertical="center"/>
    </xf>
    <xf numFmtId="49" fontId="27" fillId="33" borderId="14" xfId="0" applyNumberFormat="1" applyFont="1" applyFill="1" applyBorder="1" applyAlignment="1">
      <alignment horizontal="center" vertical="center" wrapText="1"/>
    </xf>
    <xf numFmtId="49" fontId="25" fillId="0" borderId="16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 wrapText="1"/>
    </xf>
    <xf numFmtId="0" fontId="25" fillId="34" borderId="14" xfId="0" applyFont="1" applyFill="1" applyBorder="1" applyAlignment="1">
      <alignment horizontal="right" vertical="center"/>
    </xf>
    <xf numFmtId="38" fontId="25" fillId="35" borderId="14" xfId="1" applyFont="1" applyFill="1" applyBorder="1" applyAlignment="1">
      <alignment horizontal="center" vertical="center" wrapText="1"/>
    </xf>
    <xf numFmtId="38" fontId="25" fillId="0" borderId="16" xfId="1" applyFont="1" applyBorder="1" applyAlignment="1">
      <alignment horizontal="center" vertical="center" wrapText="1"/>
    </xf>
    <xf numFmtId="38" fontId="25" fillId="0" borderId="14" xfId="1" applyFont="1" applyBorder="1" applyAlignment="1">
      <alignment horizontal="center" vertical="center" wrapText="1"/>
    </xf>
    <xf numFmtId="38" fontId="25" fillId="0" borderId="14" xfId="1" applyFont="1" applyBorder="1" applyAlignment="1">
      <alignment vertical="center"/>
    </xf>
    <xf numFmtId="38" fontId="25" fillId="0" borderId="16" xfId="1" applyFont="1" applyFill="1" applyBorder="1" applyAlignment="1">
      <alignment horizontal="right" vertical="center"/>
    </xf>
    <xf numFmtId="40" fontId="25" fillId="34" borderId="16" xfId="1" applyNumberFormat="1" applyFont="1" applyFill="1" applyBorder="1" applyAlignment="1">
      <alignment horizontal="right" vertical="center"/>
    </xf>
    <xf numFmtId="38" fontId="25" fillId="34" borderId="16" xfId="1" applyFont="1" applyFill="1" applyBorder="1" applyAlignment="1">
      <alignment horizontal="right" vertical="center"/>
    </xf>
    <xf numFmtId="49" fontId="25" fillId="33" borderId="16" xfId="0" applyNumberFormat="1" applyFont="1" applyFill="1" applyBorder="1" applyAlignment="1">
      <alignment horizontal="center" vertical="center" wrapText="1"/>
    </xf>
    <xf numFmtId="0" fontId="25" fillId="34" borderId="16" xfId="0" applyFont="1" applyFill="1" applyBorder="1" applyAlignment="1">
      <alignment horizontal="right" vertical="center"/>
    </xf>
    <xf numFmtId="38" fontId="25" fillId="35" borderId="16" xfId="1" applyFont="1" applyFill="1" applyBorder="1" applyAlignment="1">
      <alignment horizontal="center" vertical="center" wrapText="1"/>
    </xf>
    <xf numFmtId="176" fontId="25" fillId="0" borderId="16" xfId="1" applyNumberFormat="1" applyFont="1" applyFill="1" applyBorder="1" applyAlignment="1">
      <alignment horizontal="right" vertical="center"/>
    </xf>
    <xf numFmtId="176" fontId="25" fillId="0" borderId="14" xfId="1" applyNumberFormat="1" applyFont="1" applyFill="1" applyBorder="1" applyAlignment="1">
      <alignment horizontal="right" vertical="center"/>
    </xf>
    <xf numFmtId="38" fontId="25" fillId="0" borderId="11" xfId="1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 shrinkToFit="1"/>
    </xf>
    <xf numFmtId="38" fontId="25" fillId="0" borderId="14" xfId="1" applyFont="1" applyFill="1" applyBorder="1" applyAlignment="1">
      <alignment vertical="center"/>
    </xf>
    <xf numFmtId="176" fontId="25" fillId="0" borderId="14" xfId="1" applyNumberFormat="1" applyFont="1" applyFill="1" applyBorder="1" applyAlignment="1">
      <alignment vertical="center"/>
    </xf>
    <xf numFmtId="40" fontId="25" fillId="0" borderId="14" xfId="1" applyNumberFormat="1" applyFont="1" applyFill="1" applyBorder="1" applyAlignment="1">
      <alignment vertical="center"/>
    </xf>
    <xf numFmtId="38" fontId="25" fillId="0" borderId="16" xfId="1" applyFont="1" applyFill="1" applyBorder="1" applyAlignment="1">
      <alignment vertical="center"/>
    </xf>
    <xf numFmtId="177" fontId="25" fillId="0" borderId="16" xfId="0" applyNumberFormat="1" applyFont="1" applyBorder="1" applyAlignment="1">
      <alignment horizontal="right" vertical="center"/>
    </xf>
    <xf numFmtId="177" fontId="25" fillId="0" borderId="14" xfId="0" applyNumberFormat="1" applyFont="1" applyBorder="1" applyAlignment="1">
      <alignment horizontal="right" vertical="center"/>
    </xf>
    <xf numFmtId="178" fontId="25" fillId="0" borderId="14" xfId="0" applyNumberFormat="1" applyFont="1" applyBorder="1" applyAlignment="1">
      <alignment horizontal="right" vertical="center"/>
    </xf>
    <xf numFmtId="177" fontId="25" fillId="0" borderId="16" xfId="1" applyNumberFormat="1" applyFont="1" applyFill="1" applyBorder="1" applyAlignment="1">
      <alignment horizontal="right" vertical="center"/>
    </xf>
    <xf numFmtId="177" fontId="25" fillId="0" borderId="14" xfId="1" applyNumberFormat="1" applyFont="1" applyFill="1" applyBorder="1" applyAlignment="1">
      <alignment horizontal="right" vertical="center"/>
    </xf>
    <xf numFmtId="0" fontId="25" fillId="0" borderId="16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38" fontId="25" fillId="0" borderId="14" xfId="1" applyFont="1" applyFill="1" applyBorder="1" applyAlignment="1">
      <alignment vertical="center" shrinkToFit="1"/>
    </xf>
    <xf numFmtId="177" fontId="25" fillId="0" borderId="14" xfId="0" applyNumberFormat="1" applyFont="1" applyBorder="1" applyAlignment="1">
      <alignment vertical="center"/>
    </xf>
    <xf numFmtId="1" fontId="25" fillId="0" borderId="14" xfId="0" applyNumberFormat="1" applyFont="1" applyBorder="1" applyAlignment="1">
      <alignment vertical="center"/>
    </xf>
    <xf numFmtId="1" fontId="25" fillId="0" borderId="13" xfId="0" applyNumberFormat="1" applyFont="1" applyBorder="1" applyAlignment="1">
      <alignment vertical="center"/>
    </xf>
    <xf numFmtId="38" fontId="25" fillId="0" borderId="16" xfId="1" applyFont="1" applyFill="1" applyBorder="1" applyAlignment="1">
      <alignment horizontal="center"/>
    </xf>
    <xf numFmtId="38" fontId="25" fillId="0" borderId="14" xfId="1" applyFont="1" applyFill="1" applyBorder="1" applyAlignment="1">
      <alignment horizontal="center"/>
    </xf>
    <xf numFmtId="179" fontId="25" fillId="0" borderId="16" xfId="1" applyNumberFormat="1" applyFont="1" applyFill="1" applyBorder="1" applyAlignment="1">
      <alignment horizontal="center"/>
    </xf>
    <xf numFmtId="179" fontId="25" fillId="0" borderId="14" xfId="1" applyNumberFormat="1" applyFont="1" applyFill="1" applyBorder="1" applyAlignment="1">
      <alignment horizontal="center"/>
    </xf>
    <xf numFmtId="0" fontId="29" fillId="0" borderId="0" xfId="0" applyFont="1" applyAlignment="1">
      <alignment horizontal="left" vertical="center"/>
    </xf>
    <xf numFmtId="0" fontId="25" fillId="33" borderId="14" xfId="0" applyFont="1" applyFill="1" applyBorder="1" applyAlignment="1">
      <alignment vertical="center"/>
    </xf>
    <xf numFmtId="0" fontId="25" fillId="0" borderId="14" xfId="0" applyFont="1" applyBorder="1" applyAlignment="1">
      <alignment vertical="center"/>
    </xf>
    <xf numFmtId="38" fontId="25" fillId="35" borderId="14" xfId="1" applyFont="1" applyFill="1" applyBorder="1" applyAlignment="1">
      <alignment vertical="center"/>
    </xf>
    <xf numFmtId="49" fontId="25" fillId="0" borderId="18" xfId="0" applyNumberFormat="1" applyFont="1" applyBorder="1" applyAlignment="1">
      <alignment horizontal="center" vertical="center"/>
    </xf>
    <xf numFmtId="49" fontId="25" fillId="0" borderId="19" xfId="0" applyNumberFormat="1" applyFont="1" applyBorder="1" applyAlignment="1">
      <alignment horizontal="left" vertical="center"/>
    </xf>
    <xf numFmtId="49" fontId="25" fillId="0" borderId="18" xfId="0" applyNumberFormat="1" applyFont="1" applyBorder="1" applyAlignment="1">
      <alignment horizontal="left" vertical="center"/>
    </xf>
    <xf numFmtId="49" fontId="25" fillId="0" borderId="15" xfId="0" applyNumberFormat="1" applyFont="1" applyBorder="1" applyAlignment="1">
      <alignment horizontal="left" vertical="center"/>
    </xf>
    <xf numFmtId="38" fontId="25" fillId="0" borderId="15" xfId="1" applyFont="1" applyFill="1" applyBorder="1" applyAlignment="1">
      <alignment vertical="center"/>
    </xf>
    <xf numFmtId="0" fontId="25" fillId="0" borderId="15" xfId="0" applyFont="1" applyBorder="1" applyAlignment="1">
      <alignment vertical="center"/>
    </xf>
    <xf numFmtId="49" fontId="25" fillId="0" borderId="15" xfId="0" applyNumberFormat="1" applyFont="1" applyBorder="1" applyAlignment="1">
      <alignment vertical="center"/>
    </xf>
    <xf numFmtId="49" fontId="25" fillId="33" borderId="15" xfId="0" applyNumberFormat="1" applyFont="1" applyFill="1" applyBorder="1" applyAlignment="1">
      <alignment vertical="center"/>
    </xf>
    <xf numFmtId="38" fontId="25" fillId="0" borderId="15" xfId="1" applyFont="1" applyBorder="1" applyAlignment="1">
      <alignment vertical="center"/>
    </xf>
    <xf numFmtId="38" fontId="25" fillId="35" borderId="15" xfId="1" applyFont="1" applyFill="1" applyBorder="1" applyAlignment="1">
      <alignment vertical="center"/>
    </xf>
    <xf numFmtId="38" fontId="25" fillId="0" borderId="15" xfId="1" applyFont="1" applyFill="1" applyBorder="1" applyAlignment="1">
      <alignment horizontal="right" vertical="center"/>
    </xf>
    <xf numFmtId="49" fontId="25" fillId="0" borderId="15" xfId="0" applyNumberFormat="1" applyFont="1" applyBorder="1" applyAlignment="1">
      <alignment horizontal="right" vertical="center"/>
    </xf>
    <xf numFmtId="49" fontId="25" fillId="0" borderId="19" xfId="0" applyNumberFormat="1" applyFont="1" applyBorder="1" applyAlignment="1">
      <alignment vertical="center"/>
    </xf>
    <xf numFmtId="49" fontId="25" fillId="0" borderId="10" xfId="0" applyNumberFormat="1" applyFont="1" applyBorder="1" applyAlignment="1">
      <alignment horizontal="right" vertical="top"/>
    </xf>
    <xf numFmtId="49" fontId="25" fillId="0" borderId="12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38" fontId="25" fillId="0" borderId="16" xfId="1" applyFont="1" applyFill="1" applyBorder="1" applyAlignment="1">
      <alignment horizontal="center" vertical="center"/>
    </xf>
    <xf numFmtId="49" fontId="25" fillId="33" borderId="16" xfId="0" applyNumberFormat="1" applyFont="1" applyFill="1" applyBorder="1" applyAlignment="1">
      <alignment horizontal="center" vertical="center"/>
    </xf>
    <xf numFmtId="38" fontId="25" fillId="0" borderId="16" xfId="1" applyFont="1" applyBorder="1" applyAlignment="1">
      <alignment horizontal="center" vertical="center"/>
    </xf>
    <xf numFmtId="38" fontId="25" fillId="35" borderId="16" xfId="1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38" fontId="7" fillId="0" borderId="17" xfId="1" applyFont="1" applyFill="1" applyBorder="1" applyAlignment="1">
      <alignment vertical="center"/>
    </xf>
    <xf numFmtId="38" fontId="7" fillId="0" borderId="17" xfId="0" applyNumberFormat="1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7" fillId="0" borderId="17" xfId="1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2" fillId="0" borderId="17" xfId="53" applyFont="1" applyBorder="1" applyAlignment="1">
      <alignment horizontal="left" vertical="center" wrapText="1"/>
    </xf>
    <xf numFmtId="38" fontId="35" fillId="0" borderId="0" xfId="1" applyFont="1" applyFill="1" applyAlignment="1">
      <alignment vertical="center"/>
    </xf>
    <xf numFmtId="0" fontId="35" fillId="0" borderId="0" xfId="0" applyFont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38" fillId="0" borderId="0" xfId="0" applyFont="1" applyAlignment="1">
      <alignment vertical="center"/>
    </xf>
    <xf numFmtId="180" fontId="7" fillId="36" borderId="0" xfId="54" applyNumberFormat="1" applyFont="1" applyFill="1" applyAlignment="1">
      <alignment vertical="center" shrinkToFit="1"/>
    </xf>
    <xf numFmtId="180" fontId="7" fillId="36" borderId="0" xfId="54" applyNumberFormat="1" applyFont="1" applyFill="1"/>
    <xf numFmtId="180" fontId="7" fillId="36" borderId="0" xfId="54" applyNumberFormat="1" applyFont="1" applyFill="1" applyAlignment="1">
      <alignment vertical="center"/>
    </xf>
    <xf numFmtId="180" fontId="7" fillId="0" borderId="0" xfId="1" applyNumberFormat="1" applyFont="1" applyFill="1" applyAlignment="1">
      <alignment vertical="center"/>
    </xf>
    <xf numFmtId="180" fontId="7" fillId="36" borderId="0" xfId="1" applyNumberFormat="1" applyFont="1" applyFill="1" applyAlignment="1">
      <alignment vertical="center"/>
    </xf>
    <xf numFmtId="180" fontId="7" fillId="36" borderId="17" xfId="54" applyNumberFormat="1" applyFont="1" applyFill="1" applyBorder="1" applyAlignment="1">
      <alignment vertical="center" shrinkToFit="1"/>
    </xf>
    <xf numFmtId="180" fontId="37" fillId="36" borderId="17" xfId="54" applyNumberFormat="1" applyFont="1" applyFill="1" applyBorder="1" applyAlignment="1">
      <alignment vertical="center"/>
    </xf>
    <xf numFmtId="180" fontId="7" fillId="36" borderId="17" xfId="1" applyNumberFormat="1" applyFont="1" applyFill="1" applyBorder="1" applyAlignment="1">
      <alignment vertical="center"/>
    </xf>
    <xf numFmtId="180" fontId="37" fillId="36" borderId="17" xfId="1" applyNumberFormat="1" applyFont="1" applyFill="1" applyBorder="1" applyAlignment="1">
      <alignment vertical="center"/>
    </xf>
    <xf numFmtId="180" fontId="7" fillId="0" borderId="0" xfId="0" applyNumberFormat="1" applyFont="1" applyAlignment="1">
      <alignment vertical="center"/>
    </xf>
    <xf numFmtId="180" fontId="7" fillId="36" borderId="17" xfId="0" applyNumberFormat="1" applyFont="1" applyFill="1" applyBorder="1" applyAlignment="1">
      <alignment vertical="center"/>
    </xf>
    <xf numFmtId="180" fontId="37" fillId="36" borderId="17" xfId="0" applyNumberFormat="1" applyFont="1" applyFill="1" applyBorder="1" applyAlignment="1">
      <alignment vertical="center"/>
    </xf>
    <xf numFmtId="180" fontId="7" fillId="36" borderId="17" xfId="54" applyNumberFormat="1" applyFont="1" applyFill="1" applyBorder="1" applyAlignment="1">
      <alignment vertical="center"/>
    </xf>
    <xf numFmtId="180" fontId="37" fillId="0" borderId="0" xfId="0" applyNumberFormat="1" applyFont="1" applyAlignment="1">
      <alignment vertical="center"/>
    </xf>
    <xf numFmtId="180" fontId="7" fillId="36" borderId="0" xfId="0" applyNumberFormat="1" applyFont="1" applyFill="1" applyAlignment="1">
      <alignment vertical="center"/>
    </xf>
    <xf numFmtId="180" fontId="37" fillId="36" borderId="0" xfId="0" applyNumberFormat="1" applyFont="1" applyFill="1" applyAlignment="1">
      <alignment vertical="center"/>
    </xf>
  </cellXfs>
  <cellStyles count="55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メモ 2" xfId="29" xr:uid="{00000000-0005-0000-0000-00001B000000}"/>
    <cellStyle name="リンク セル 2" xfId="30" xr:uid="{00000000-0005-0000-0000-00001C000000}"/>
    <cellStyle name="悪い 2" xfId="31" xr:uid="{00000000-0005-0000-0000-00001D000000}"/>
    <cellStyle name="計算 2" xfId="32" xr:uid="{00000000-0005-0000-0000-00001E000000}"/>
    <cellStyle name="警告文 2" xfId="33" xr:uid="{00000000-0005-0000-0000-00001F000000}"/>
    <cellStyle name="桁区切り" xfId="1" builtinId="6"/>
    <cellStyle name="桁区切り 2" xfId="34" xr:uid="{00000000-0005-0000-0000-000021000000}"/>
    <cellStyle name="桁区切り 3" xfId="35" xr:uid="{00000000-0005-0000-0000-000022000000}"/>
    <cellStyle name="桁区切り 4" xfId="48" xr:uid="{00000000-0005-0000-0000-000023000000}"/>
    <cellStyle name="桁区切り 5" xfId="51" xr:uid="{00000000-0005-0000-0000-000024000000}"/>
    <cellStyle name="見出し 1 2" xfId="36" xr:uid="{00000000-0005-0000-0000-000025000000}"/>
    <cellStyle name="見出し 2 2" xfId="37" xr:uid="{00000000-0005-0000-0000-000026000000}"/>
    <cellStyle name="見出し 3 2" xfId="38" xr:uid="{00000000-0005-0000-0000-000027000000}"/>
    <cellStyle name="見出し 4 2" xfId="39" xr:uid="{00000000-0005-0000-0000-000028000000}"/>
    <cellStyle name="集計 2" xfId="40" xr:uid="{00000000-0005-0000-0000-000029000000}"/>
    <cellStyle name="出力 2" xfId="41" xr:uid="{00000000-0005-0000-0000-00002A000000}"/>
    <cellStyle name="説明文 2" xfId="42" xr:uid="{00000000-0005-0000-0000-00002B000000}"/>
    <cellStyle name="入力 2" xfId="43" xr:uid="{00000000-0005-0000-0000-00002C000000}"/>
    <cellStyle name="標準" xfId="0" builtinId="0"/>
    <cellStyle name="標準 2" xfId="44" xr:uid="{00000000-0005-0000-0000-00002E000000}"/>
    <cellStyle name="標準 3" xfId="45" xr:uid="{00000000-0005-0000-0000-00002F000000}"/>
    <cellStyle name="標準 4" xfId="47" xr:uid="{00000000-0005-0000-0000-000030000000}"/>
    <cellStyle name="標準 5" xfId="49" xr:uid="{00000000-0005-0000-0000-000031000000}"/>
    <cellStyle name="標準 6" xfId="50" xr:uid="{00000000-0005-0000-0000-000032000000}"/>
    <cellStyle name="標準 7" xfId="52" xr:uid="{00000000-0005-0000-0000-000033000000}"/>
    <cellStyle name="標準_18" xfId="54" xr:uid="{90F69DD3-A330-4E2D-BB93-045BBA64FE70}"/>
    <cellStyle name="標準_9,11,12,14" xfId="53" xr:uid="{CDBEFFFD-95E0-49E9-9907-7B68718CCA66}"/>
    <cellStyle name="良い 2" xfId="46" xr:uid="{00000000-0005-0000-0000-000034000000}"/>
  </cellStyles>
  <dxfs count="0"/>
  <tableStyles count="0" defaultTableStyle="TableStyleMedium2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0</xdr:rowOff>
    </xdr:from>
    <xdr:to>
      <xdr:col>3</xdr:col>
      <xdr:colOff>0</xdr:colOff>
      <xdr:row>2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695325" y="190500"/>
          <a:ext cx="286702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BA27051"/>
  <sheetViews>
    <sheetView tabSelected="1"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1" sqref="D1"/>
    </sheetView>
  </sheetViews>
  <sheetFormatPr defaultColWidth="9" defaultRowHeight="14.4"/>
  <cols>
    <col min="1" max="1" width="9.88671875" style="3" bestFit="1" customWidth="1"/>
    <col min="2" max="2" width="24.6640625" style="3" customWidth="1"/>
    <col min="3" max="3" width="13.109375" style="4" customWidth="1"/>
    <col min="4" max="32" width="11.109375" style="3" customWidth="1"/>
    <col min="33" max="33" width="9" style="3"/>
    <col min="34" max="34" width="31.6640625" style="3" customWidth="1"/>
    <col min="35" max="35" width="9.44140625" style="3" customWidth="1"/>
    <col min="36" max="39" width="12.77734375" style="3" customWidth="1"/>
    <col min="40" max="40" width="9" style="3"/>
    <col min="41" max="41" width="17.21875" style="3" customWidth="1"/>
    <col min="42" max="42" width="9.109375" style="3" bestFit="1" customWidth="1"/>
    <col min="43" max="43" width="12.88671875" style="3" customWidth="1"/>
    <col min="44" max="44" width="12.88671875" style="3" bestFit="1" customWidth="1"/>
    <col min="45" max="46" width="10.77734375" style="3" customWidth="1"/>
    <col min="47" max="47" width="9" style="3"/>
    <col min="48" max="48" width="17.21875" style="3" customWidth="1"/>
    <col min="49" max="49" width="9.109375" style="3" bestFit="1" customWidth="1"/>
    <col min="50" max="51" width="12.88671875" style="3" bestFit="1" customWidth="1"/>
    <col min="52" max="53" width="10.77734375" style="3" customWidth="1"/>
    <col min="54" max="16384" width="9" style="3"/>
  </cols>
  <sheetData>
    <row r="1" spans="1:53" ht="23.4">
      <c r="A1" s="87"/>
      <c r="B1" s="1" t="s">
        <v>0</v>
      </c>
      <c r="C1" s="2"/>
    </row>
    <row r="2" spans="1:53" s="4" customFormat="1" ht="24">
      <c r="B2" s="61"/>
      <c r="C2" s="74" t="s">
        <v>1</v>
      </c>
      <c r="D2" s="8" t="s">
        <v>2</v>
      </c>
      <c r="E2" s="32" t="s">
        <v>139</v>
      </c>
      <c r="F2" s="33" t="s">
        <v>4</v>
      </c>
      <c r="G2" s="33" t="s">
        <v>5</v>
      </c>
      <c r="H2" s="34" t="s">
        <v>6</v>
      </c>
      <c r="I2" s="34" t="s">
        <v>7</v>
      </c>
      <c r="J2" s="33" t="s">
        <v>8</v>
      </c>
      <c r="K2" s="33" t="s">
        <v>9</v>
      </c>
      <c r="L2" s="33" t="s">
        <v>10</v>
      </c>
      <c r="M2" s="33" t="s">
        <v>11</v>
      </c>
      <c r="N2" s="34" t="s">
        <v>112</v>
      </c>
      <c r="O2" s="33" t="s">
        <v>12</v>
      </c>
      <c r="P2" s="33" t="s">
        <v>135</v>
      </c>
      <c r="Q2" s="33" t="s">
        <v>13</v>
      </c>
      <c r="R2" s="33" t="s">
        <v>136</v>
      </c>
      <c r="S2" s="33" t="s">
        <v>14</v>
      </c>
      <c r="T2" s="33" t="s">
        <v>15</v>
      </c>
      <c r="U2" s="33" t="s">
        <v>16</v>
      </c>
      <c r="V2" s="33" t="s">
        <v>17</v>
      </c>
      <c r="W2" s="33" t="s">
        <v>18</v>
      </c>
      <c r="X2" s="33" t="s">
        <v>19</v>
      </c>
      <c r="Y2" s="33" t="s">
        <v>20</v>
      </c>
      <c r="Z2" s="34" t="s">
        <v>113</v>
      </c>
      <c r="AA2" s="35" t="s">
        <v>21</v>
      </c>
      <c r="AB2" s="33" t="s">
        <v>3</v>
      </c>
      <c r="AC2" s="35" t="s">
        <v>110</v>
      </c>
      <c r="AD2" s="35" t="s">
        <v>120</v>
      </c>
      <c r="AE2" s="35" t="s">
        <v>130</v>
      </c>
      <c r="AF2" s="33" t="s">
        <v>22</v>
      </c>
    </row>
    <row r="3" spans="1:53" s="4" customFormat="1">
      <c r="B3" s="62" t="s">
        <v>23</v>
      </c>
      <c r="C3" s="75"/>
      <c r="D3" s="6">
        <v>1</v>
      </c>
      <c r="E3" s="7">
        <v>4</v>
      </c>
      <c r="F3" s="7">
        <v>5</v>
      </c>
      <c r="G3" s="7">
        <v>6</v>
      </c>
      <c r="H3" s="7">
        <v>7</v>
      </c>
      <c r="I3" s="7">
        <v>9</v>
      </c>
      <c r="J3" s="7">
        <v>10</v>
      </c>
      <c r="K3" s="7">
        <v>12</v>
      </c>
      <c r="L3" s="7">
        <v>13</v>
      </c>
      <c r="M3" s="7">
        <v>15</v>
      </c>
      <c r="N3" s="7">
        <v>16</v>
      </c>
      <c r="O3" s="7">
        <v>18</v>
      </c>
      <c r="P3" s="7">
        <v>19</v>
      </c>
      <c r="Q3" s="7">
        <v>21</v>
      </c>
      <c r="R3" s="7">
        <v>22</v>
      </c>
      <c r="S3" s="7">
        <v>23</v>
      </c>
      <c r="T3" s="7">
        <v>27</v>
      </c>
      <c r="U3" s="7">
        <v>28</v>
      </c>
      <c r="V3" s="7">
        <v>30</v>
      </c>
      <c r="W3" s="7">
        <v>35</v>
      </c>
      <c r="X3" s="7">
        <v>39</v>
      </c>
      <c r="Y3" s="7">
        <v>42</v>
      </c>
      <c r="Z3" s="7">
        <v>43</v>
      </c>
      <c r="AA3" s="7">
        <v>45</v>
      </c>
      <c r="AB3" s="7">
        <v>46</v>
      </c>
      <c r="AC3" s="7">
        <v>47</v>
      </c>
      <c r="AD3" s="7">
        <v>48</v>
      </c>
      <c r="AE3" s="7">
        <v>49</v>
      </c>
      <c r="AF3" s="7" t="s">
        <v>131</v>
      </c>
    </row>
    <row r="4" spans="1:53" s="4" customFormat="1">
      <c r="A4" s="57"/>
      <c r="B4" s="63" t="s">
        <v>24</v>
      </c>
      <c r="C4" s="76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53" s="4" customFormat="1" ht="15.75" customHeight="1">
      <c r="B5" s="64" t="s">
        <v>25</v>
      </c>
      <c r="C5" s="16"/>
      <c r="D5" s="53" t="s">
        <v>167</v>
      </c>
      <c r="E5" s="54" t="s">
        <v>96</v>
      </c>
      <c r="F5" s="54" t="s">
        <v>168</v>
      </c>
      <c r="G5" s="54" t="s">
        <v>169</v>
      </c>
      <c r="H5" s="54" t="s">
        <v>170</v>
      </c>
      <c r="I5" s="54" t="s">
        <v>171</v>
      </c>
      <c r="J5" s="54" t="s">
        <v>97</v>
      </c>
      <c r="K5" s="54" t="s">
        <v>169</v>
      </c>
      <c r="L5" s="54" t="s">
        <v>172</v>
      </c>
      <c r="M5" s="54" t="s">
        <v>173</v>
      </c>
      <c r="N5" s="54" t="s">
        <v>98</v>
      </c>
      <c r="O5" s="54" t="s">
        <v>174</v>
      </c>
      <c r="P5" s="54" t="s">
        <v>175</v>
      </c>
      <c r="Q5" s="54" t="s">
        <v>176</v>
      </c>
      <c r="R5" s="54" t="s">
        <v>99</v>
      </c>
      <c r="S5" s="54" t="s">
        <v>177</v>
      </c>
      <c r="T5" s="54" t="s">
        <v>178</v>
      </c>
      <c r="U5" s="54" t="s">
        <v>179</v>
      </c>
      <c r="V5" s="54" t="s">
        <v>180</v>
      </c>
      <c r="W5" s="54" t="s">
        <v>181</v>
      </c>
      <c r="X5" s="54" t="s">
        <v>182</v>
      </c>
      <c r="Y5" s="54" t="s">
        <v>183</v>
      </c>
      <c r="Z5" s="54" t="s">
        <v>100</v>
      </c>
      <c r="AA5" s="54" t="s">
        <v>184</v>
      </c>
      <c r="AB5" s="54" t="s">
        <v>185</v>
      </c>
      <c r="AC5" s="54" t="s">
        <v>186</v>
      </c>
      <c r="AD5" s="54" t="s">
        <v>187</v>
      </c>
      <c r="AE5" s="54" t="s">
        <v>188</v>
      </c>
      <c r="AF5" s="9"/>
    </row>
    <row r="6" spans="1:53" s="4" customFormat="1" ht="15.75" customHeight="1">
      <c r="B6" s="64" t="s">
        <v>26</v>
      </c>
      <c r="C6" s="16"/>
      <c r="D6" s="53" t="s">
        <v>150</v>
      </c>
      <c r="E6" s="54" t="s">
        <v>189</v>
      </c>
      <c r="F6" s="54" t="s">
        <v>151</v>
      </c>
      <c r="G6" s="54" t="s">
        <v>151</v>
      </c>
      <c r="H6" s="54" t="s">
        <v>190</v>
      </c>
      <c r="I6" s="54" t="s">
        <v>191</v>
      </c>
      <c r="J6" s="54" t="s">
        <v>150</v>
      </c>
      <c r="K6" s="54" t="s">
        <v>151</v>
      </c>
      <c r="L6" s="54" t="s">
        <v>192</v>
      </c>
      <c r="M6" s="54" t="s">
        <v>193</v>
      </c>
      <c r="N6" s="54" t="s">
        <v>101</v>
      </c>
      <c r="O6" s="54" t="s">
        <v>192</v>
      </c>
      <c r="P6" s="54" t="s">
        <v>102</v>
      </c>
      <c r="Q6" s="54" t="s">
        <v>194</v>
      </c>
      <c r="R6" s="54" t="s">
        <v>195</v>
      </c>
      <c r="S6" s="54" t="s">
        <v>195</v>
      </c>
      <c r="T6" s="54" t="s">
        <v>103</v>
      </c>
      <c r="U6" s="54" t="s">
        <v>152</v>
      </c>
      <c r="V6" s="54" t="s">
        <v>196</v>
      </c>
      <c r="W6" s="54" t="s">
        <v>194</v>
      </c>
      <c r="X6" s="54" t="s">
        <v>194</v>
      </c>
      <c r="Y6" s="54" t="s">
        <v>154</v>
      </c>
      <c r="Z6" s="54" t="s">
        <v>197</v>
      </c>
      <c r="AA6" s="54" t="s">
        <v>152</v>
      </c>
      <c r="AB6" s="54" t="s">
        <v>194</v>
      </c>
      <c r="AC6" s="54" t="s">
        <v>192</v>
      </c>
      <c r="AD6" s="54" t="s">
        <v>190</v>
      </c>
      <c r="AE6" s="54" t="s">
        <v>153</v>
      </c>
      <c r="AF6" s="9"/>
    </row>
    <row r="7" spans="1:53" s="4" customFormat="1" ht="15.75" customHeight="1">
      <c r="B7" s="64" t="s">
        <v>27</v>
      </c>
      <c r="C7" s="16"/>
      <c r="D7" s="55" t="s">
        <v>198</v>
      </c>
      <c r="E7" s="56" t="s">
        <v>199</v>
      </c>
      <c r="F7" s="56" t="s">
        <v>200</v>
      </c>
      <c r="G7" s="56" t="s">
        <v>201</v>
      </c>
      <c r="H7" s="56" t="s">
        <v>202</v>
      </c>
      <c r="I7" s="56" t="s">
        <v>203</v>
      </c>
      <c r="J7" s="56" t="s">
        <v>204</v>
      </c>
      <c r="K7" s="56" t="s">
        <v>205</v>
      </c>
      <c r="L7" s="56" t="s">
        <v>206</v>
      </c>
      <c r="M7" s="56" t="s">
        <v>207</v>
      </c>
      <c r="N7" s="56" t="s">
        <v>208</v>
      </c>
      <c r="O7" s="56" t="s">
        <v>200</v>
      </c>
      <c r="P7" s="56" t="s">
        <v>209</v>
      </c>
      <c r="Q7" s="56" t="s">
        <v>210</v>
      </c>
      <c r="R7" s="56" t="s">
        <v>211</v>
      </c>
      <c r="S7" s="56" t="s">
        <v>212</v>
      </c>
      <c r="T7" s="56" t="s">
        <v>213</v>
      </c>
      <c r="U7" s="56" t="s">
        <v>214</v>
      </c>
      <c r="V7" s="56" t="s">
        <v>215</v>
      </c>
      <c r="W7" s="56" t="s">
        <v>216</v>
      </c>
      <c r="X7" s="56" t="s">
        <v>217</v>
      </c>
      <c r="Y7" s="56" t="s">
        <v>216</v>
      </c>
      <c r="Z7" s="56" t="s">
        <v>218</v>
      </c>
      <c r="AA7" s="56" t="s">
        <v>219</v>
      </c>
      <c r="AB7" s="56" t="s">
        <v>220</v>
      </c>
      <c r="AC7" s="56" t="s">
        <v>221</v>
      </c>
      <c r="AD7" s="56" t="s">
        <v>222</v>
      </c>
      <c r="AE7" s="56" t="s">
        <v>223</v>
      </c>
      <c r="AF7" s="9"/>
      <c r="AH7" s="92" t="s">
        <v>274</v>
      </c>
      <c r="AI7" s="92"/>
      <c r="AJ7" s="92"/>
      <c r="AK7" s="92"/>
      <c r="AL7" s="92"/>
      <c r="AM7" s="92"/>
      <c r="AO7" s="92" t="s">
        <v>274</v>
      </c>
      <c r="AV7" s="92" t="s">
        <v>274</v>
      </c>
    </row>
    <row r="8" spans="1:53" s="5" customFormat="1" ht="15.75" customHeight="1">
      <c r="B8" s="64" t="s">
        <v>105</v>
      </c>
      <c r="C8" s="77"/>
      <c r="D8" s="24">
        <v>273016</v>
      </c>
      <c r="E8" s="10">
        <v>13594</v>
      </c>
      <c r="F8" s="10">
        <v>45136</v>
      </c>
      <c r="G8" s="10">
        <v>31692</v>
      </c>
      <c r="H8" s="10">
        <v>28587</v>
      </c>
      <c r="I8" s="10">
        <v>107123</v>
      </c>
      <c r="J8" s="11">
        <v>30207</v>
      </c>
      <c r="K8" s="10">
        <v>16435</v>
      </c>
      <c r="L8" s="10">
        <v>10221</v>
      </c>
      <c r="M8" s="11">
        <v>14712</v>
      </c>
      <c r="N8" s="10">
        <v>6142</v>
      </c>
      <c r="O8" s="11">
        <v>23055</v>
      </c>
      <c r="P8" s="10">
        <v>20182</v>
      </c>
      <c r="Q8" s="11">
        <v>26342</v>
      </c>
      <c r="R8" s="10">
        <v>14840</v>
      </c>
      <c r="S8" s="10">
        <v>8690</v>
      </c>
      <c r="T8" s="11">
        <v>4599</v>
      </c>
      <c r="U8" s="11">
        <v>4823</v>
      </c>
      <c r="V8" s="11">
        <v>51051</v>
      </c>
      <c r="W8" s="10">
        <v>22858</v>
      </c>
      <c r="X8" s="10">
        <v>13530</v>
      </c>
      <c r="Y8" s="10">
        <v>7394</v>
      </c>
      <c r="Z8" s="11">
        <v>4232</v>
      </c>
      <c r="AA8" s="11">
        <v>211300</v>
      </c>
      <c r="AB8" s="11">
        <v>101560</v>
      </c>
      <c r="AC8" s="10">
        <v>4925</v>
      </c>
      <c r="AD8" s="10">
        <v>4593</v>
      </c>
      <c r="AE8" s="10">
        <v>6798</v>
      </c>
      <c r="AF8" s="23">
        <v>1107637</v>
      </c>
      <c r="AH8" s="93" t="s">
        <v>231</v>
      </c>
      <c r="AI8" s="94"/>
      <c r="AJ8" s="95"/>
      <c r="AK8" s="95"/>
      <c r="AL8" s="95"/>
      <c r="AM8" s="95"/>
      <c r="AN8" s="96"/>
      <c r="AO8" s="97" t="s">
        <v>254</v>
      </c>
      <c r="AP8" s="97"/>
      <c r="AQ8" s="97"/>
      <c r="AR8" s="97"/>
      <c r="AS8" s="97"/>
      <c r="AT8" s="97"/>
      <c r="AU8" s="96"/>
      <c r="AV8" s="97" t="s">
        <v>254</v>
      </c>
      <c r="AW8" s="97"/>
      <c r="AX8" s="97"/>
      <c r="AY8" s="97"/>
      <c r="AZ8" s="97"/>
      <c r="BA8" s="97"/>
    </row>
    <row r="9" spans="1:53" s="5" customFormat="1" ht="15.75" customHeight="1">
      <c r="B9" s="65" t="s">
        <v>29</v>
      </c>
      <c r="C9" s="78" t="s">
        <v>141</v>
      </c>
      <c r="D9" s="24">
        <v>136990</v>
      </c>
      <c r="E9" s="11">
        <v>6296</v>
      </c>
      <c r="F9" s="11">
        <v>22297</v>
      </c>
      <c r="G9" s="11">
        <v>14651</v>
      </c>
      <c r="H9" s="11">
        <v>15325</v>
      </c>
      <c r="I9" s="10">
        <v>46672</v>
      </c>
      <c r="J9" s="11">
        <v>14893</v>
      </c>
      <c r="K9" s="11">
        <v>7243</v>
      </c>
      <c r="L9" s="11">
        <v>5137</v>
      </c>
      <c r="M9" s="11">
        <v>6169</v>
      </c>
      <c r="N9" s="11">
        <v>3074</v>
      </c>
      <c r="O9" s="11">
        <v>9497</v>
      </c>
      <c r="P9" s="11">
        <v>9830</v>
      </c>
      <c r="Q9" s="11">
        <v>11334</v>
      </c>
      <c r="R9" s="11">
        <v>6437</v>
      </c>
      <c r="S9" s="11">
        <v>4204</v>
      </c>
      <c r="T9" s="11">
        <v>1854</v>
      </c>
      <c r="U9" s="11">
        <v>2077</v>
      </c>
      <c r="V9" s="11">
        <v>22801</v>
      </c>
      <c r="W9" s="11">
        <v>10711</v>
      </c>
      <c r="X9" s="11">
        <v>6736</v>
      </c>
      <c r="Y9" s="11">
        <v>3333</v>
      </c>
      <c r="Z9" s="11">
        <v>2059</v>
      </c>
      <c r="AA9" s="11">
        <v>93894</v>
      </c>
      <c r="AB9" s="11">
        <v>43383</v>
      </c>
      <c r="AC9" s="11">
        <v>2550</v>
      </c>
      <c r="AD9" s="11">
        <v>2155</v>
      </c>
      <c r="AE9" s="11">
        <v>3372</v>
      </c>
      <c r="AF9" s="36">
        <v>514974</v>
      </c>
      <c r="AH9" s="93" t="s">
        <v>232</v>
      </c>
      <c r="AI9" s="95" t="s">
        <v>233</v>
      </c>
      <c r="AJ9" s="93" t="s">
        <v>234</v>
      </c>
      <c r="AK9" s="93" t="s">
        <v>235</v>
      </c>
      <c r="AL9" s="97" t="s">
        <v>259</v>
      </c>
      <c r="AM9" s="97" t="s">
        <v>260</v>
      </c>
      <c r="AN9" s="96"/>
      <c r="AO9" s="97" t="s">
        <v>255</v>
      </c>
      <c r="AP9" s="97" t="s">
        <v>256</v>
      </c>
      <c r="AQ9" s="97" t="s">
        <v>257</v>
      </c>
      <c r="AR9" s="97" t="s">
        <v>258</v>
      </c>
      <c r="AS9" s="97" t="s">
        <v>259</v>
      </c>
      <c r="AT9" s="97" t="s">
        <v>260</v>
      </c>
      <c r="AU9" s="96"/>
      <c r="AV9" s="97" t="s">
        <v>261</v>
      </c>
      <c r="AW9" s="97" t="s">
        <v>256</v>
      </c>
      <c r="AX9" s="97" t="s">
        <v>257</v>
      </c>
      <c r="AY9" s="97" t="s">
        <v>258</v>
      </c>
      <c r="AZ9" s="97" t="s">
        <v>259</v>
      </c>
      <c r="BA9" s="97" t="s">
        <v>260</v>
      </c>
    </row>
    <row r="10" spans="1:53" s="5" customFormat="1" ht="15.75" customHeight="1">
      <c r="B10" s="66" t="s">
        <v>30</v>
      </c>
      <c r="C10" s="77" t="s">
        <v>28</v>
      </c>
      <c r="D10" s="24">
        <v>283000</v>
      </c>
      <c r="E10" s="11">
        <v>15270</v>
      </c>
      <c r="F10" s="11">
        <v>50340</v>
      </c>
      <c r="G10" s="11">
        <v>31000</v>
      </c>
      <c r="H10" s="11">
        <v>33220</v>
      </c>
      <c r="I10" s="10">
        <v>103400</v>
      </c>
      <c r="J10" s="11">
        <v>32300</v>
      </c>
      <c r="K10" s="11">
        <v>16457</v>
      </c>
      <c r="L10" s="11">
        <v>10657</v>
      </c>
      <c r="M10" s="11">
        <v>12830</v>
      </c>
      <c r="N10" s="11">
        <v>10000</v>
      </c>
      <c r="O10" s="11">
        <v>24412</v>
      </c>
      <c r="P10" s="11">
        <v>24790</v>
      </c>
      <c r="Q10" s="11">
        <v>30000</v>
      </c>
      <c r="R10" s="11">
        <v>16450</v>
      </c>
      <c r="S10" s="11">
        <v>9454</v>
      </c>
      <c r="T10" s="11">
        <v>6200</v>
      </c>
      <c r="U10" s="11">
        <v>5025</v>
      </c>
      <c r="V10" s="11">
        <v>50750</v>
      </c>
      <c r="W10" s="11">
        <v>22105</v>
      </c>
      <c r="X10" s="11">
        <v>14200</v>
      </c>
      <c r="Y10" s="11">
        <v>7050</v>
      </c>
      <c r="Z10" s="11">
        <v>5380</v>
      </c>
      <c r="AA10" s="11">
        <v>210000</v>
      </c>
      <c r="AB10" s="11">
        <v>101650</v>
      </c>
      <c r="AC10" s="11">
        <v>6240</v>
      </c>
      <c r="AD10" s="11">
        <v>5500</v>
      </c>
      <c r="AE10" s="11">
        <v>6450</v>
      </c>
      <c r="AF10" s="36">
        <v>1144130</v>
      </c>
      <c r="AH10" s="98" t="s">
        <v>263</v>
      </c>
      <c r="AI10" s="99">
        <f>COUNTIFS($D$10:$AE$10,"&gt;=5001",$D$10:$AE$10,"&lt;=10000")</f>
        <v>9</v>
      </c>
      <c r="AJ10" s="99">
        <f>SUMIFS($D$10:$AE$10,$D$10:$AE$10,"&gt;=5001",$D$10:$AE$10,"&lt;=10000")</f>
        <v>61299</v>
      </c>
      <c r="AK10" s="99">
        <f>SUMIFS($D$11:$AE$11,$D$10:$AE$10,"&gt;=5001",$D$10:$AE$10,"&lt;=10000")</f>
        <v>47903</v>
      </c>
      <c r="AL10" s="99">
        <f>SUMIFS($D$16:$AE$16,$D$10:$AE$10,"&gt;=5001",$D$10:$AE$10,"&lt;=10000")</f>
        <v>34710</v>
      </c>
      <c r="AM10" s="99">
        <f>ROUND(SUMIFS($D$59:$AE$59,$D$10:$AE$10,"&gt;=5001",$D$10:$AE$10,"&lt;=10000")/1000,1)</f>
        <v>7.8</v>
      </c>
      <c r="AN10" s="96"/>
      <c r="AO10" s="100" t="s">
        <v>237</v>
      </c>
      <c r="AP10" s="101">
        <f>COUNTIFS($D$26:$AE$26,"&gt;=0",$D$26:$AE$26,"&lt;=1000")</f>
        <v>0</v>
      </c>
      <c r="AQ10" s="101">
        <f>SUMIFS($D$10:$AE$10,$D$26:$AE$26,"&gt;=0",$D$26:$AE$26,"&lt;=1000")</f>
        <v>0</v>
      </c>
      <c r="AR10" s="101">
        <f>SUMIFS($D$11:$AE$11,$D$26:$AE$26,"&gt;=0",$D$26:$AE$26,"&lt;=1000")</f>
        <v>0</v>
      </c>
      <c r="AS10" s="101">
        <f>SUMIFS($D$16:$AE$16,$D$26:$AE$26,"&gt;=0",$D$26:$AE$26,"&lt;=1000")</f>
        <v>0</v>
      </c>
      <c r="AT10" s="101">
        <f>ROUND(SUMIFS($D$59:$AE$59,$D$26:$AE$26,"&gt;=0",$D$26:$AE$26,"&lt;=1000")/1000,1)</f>
        <v>0</v>
      </c>
      <c r="AU10" s="96"/>
      <c r="AV10" s="100" t="s">
        <v>238</v>
      </c>
      <c r="AW10" s="101">
        <f>COUNTIFS($D$27:$AE$27,"&gt;=0",$D$27:$AE$27,"&lt;=2000")</f>
        <v>0</v>
      </c>
      <c r="AX10" s="101">
        <f>SUMIFS($D$10:$AE$10,$D$27:$AE$27,"&gt;=0",$D$27:$AE$27,"&lt;=2000")</f>
        <v>0</v>
      </c>
      <c r="AY10" s="101">
        <f>SUMIFS($D$11:$AE$11,$D$27:$AE$27,"&gt;=0",$D$27:$AE$27,"&lt;=2000")</f>
        <v>0</v>
      </c>
      <c r="AZ10" s="101">
        <f>SUMIFS($D$16:$AE$16,$D$27:$AE$27,"&gt;=0",$D$27:$AE$27,"&lt;=2000")</f>
        <v>0</v>
      </c>
      <c r="BA10" s="101">
        <f>ROUND(SUMIFS($D$59:$AE$59,$D$27:$AE$27,"&gt;=0",$D$27:$AE$27,"&lt;=2000")/1000,1)</f>
        <v>0</v>
      </c>
    </row>
    <row r="11" spans="1:53" s="5" customFormat="1" ht="15.75" customHeight="1">
      <c r="B11" s="65" t="s">
        <v>31</v>
      </c>
      <c r="C11" s="78" t="s">
        <v>28</v>
      </c>
      <c r="D11" s="24">
        <v>271177</v>
      </c>
      <c r="E11" s="10">
        <v>13096</v>
      </c>
      <c r="F11" s="10">
        <v>44736</v>
      </c>
      <c r="G11" s="10">
        <v>30993</v>
      </c>
      <c r="H11" s="10">
        <v>28455</v>
      </c>
      <c r="I11" s="10">
        <v>101266</v>
      </c>
      <c r="J11" s="11">
        <v>29575</v>
      </c>
      <c r="K11" s="10">
        <v>16052</v>
      </c>
      <c r="L11" s="10">
        <v>7945</v>
      </c>
      <c r="M11" s="11">
        <v>12807</v>
      </c>
      <c r="N11" s="10">
        <v>5532</v>
      </c>
      <c r="O11" s="11">
        <v>21560</v>
      </c>
      <c r="P11" s="10">
        <v>19819</v>
      </c>
      <c r="Q11" s="11">
        <v>25423</v>
      </c>
      <c r="R11" s="10">
        <v>14774</v>
      </c>
      <c r="S11" s="10">
        <v>8642</v>
      </c>
      <c r="T11" s="11">
        <v>4572</v>
      </c>
      <c r="U11" s="11">
        <v>4741</v>
      </c>
      <c r="V11" s="11">
        <v>48645</v>
      </c>
      <c r="W11" s="10">
        <v>18919</v>
      </c>
      <c r="X11" s="10">
        <v>11445</v>
      </c>
      <c r="Y11" s="10">
        <v>6274</v>
      </c>
      <c r="Z11" s="11">
        <v>3219</v>
      </c>
      <c r="AA11" s="11">
        <v>204447</v>
      </c>
      <c r="AB11" s="11">
        <v>91692</v>
      </c>
      <c r="AC11" s="10">
        <v>4925</v>
      </c>
      <c r="AD11" s="10">
        <v>4538</v>
      </c>
      <c r="AE11" s="10">
        <v>5460</v>
      </c>
      <c r="AF11" s="36">
        <v>1060729</v>
      </c>
      <c r="AH11" s="98" t="s">
        <v>264</v>
      </c>
      <c r="AI11" s="99">
        <f>COUNTIFS($D$10:$AE$10,"&gt;=10001",$D$10:$AE$10,"&lt;=20000")</f>
        <v>6</v>
      </c>
      <c r="AJ11" s="99">
        <f>SUMIFS($D$10:$AE$10,$D$10:$AE$10,"&gt;=10001",$D$10:$AE$10,"&lt;=20000")</f>
        <v>85864</v>
      </c>
      <c r="AK11" s="99">
        <f>SUMIFS($D$11:$AE$11,$D$10:$AE$10,"&gt;=10001",$D$10:$AE$10,"&lt;=20000")</f>
        <v>76119</v>
      </c>
      <c r="AL11" s="99">
        <f>SUMIFS($D$16:$AE$16,$D$10:$AE$10,"&gt;=10001",$D$10:$AE$10,"&lt;=20000")</f>
        <v>50012</v>
      </c>
      <c r="AM11" s="99">
        <f>ROUND(SUMIFS($D$59:$AE$59,$D$10:$AE$10,"&gt;=10001",$D$10:$AE$10,"&lt;=20000")/1000,1)</f>
        <v>11.1</v>
      </c>
      <c r="AN11" s="96"/>
      <c r="AO11" s="100" t="s">
        <v>239</v>
      </c>
      <c r="AP11" s="101">
        <f>COUNTIFS($D$26:$AE$26,"&gt;=1001",$D$26:$AE$26,"&lt;=1250")</f>
        <v>1</v>
      </c>
      <c r="AQ11" s="101">
        <f>SUMIFS($D$10:$AE$10,$D$26:$AE$26,"&gt;=1001",$D$26:$AE$26,"&lt;=1250")</f>
        <v>50340</v>
      </c>
      <c r="AR11" s="101">
        <f>SUMIFS($D$11:$AE$11,$D$26:$AE$26,"&gt;=1001",$D$26:$AE$26,"&lt;=1250")</f>
        <v>44736</v>
      </c>
      <c r="AS11" s="101">
        <f>SUMIFS($D$16:$AE$16,$D$26:$AE$26,"&gt;=1001",$D$26:$AE$26,"&lt;=1250")</f>
        <v>25970</v>
      </c>
      <c r="AT11" s="101">
        <f>ROUND(SUMIFS($D$59:$AE$59,$D$26:$AE$26,"&gt;=1001",$D$26:$AE$26,"&lt;=1250")/1000,1)</f>
        <v>6.4</v>
      </c>
      <c r="AU11" s="96"/>
      <c r="AV11" s="100" t="s">
        <v>240</v>
      </c>
      <c r="AW11" s="101">
        <f>COUNTIFS($D$27:$AE$27,"&gt;=2001",$D$27:$AE$27,"&lt;=2500")</f>
        <v>0</v>
      </c>
      <c r="AX11" s="101">
        <f>SUMIFS($D$10:$AE$10,$D$27:$AE$27,"&gt;=2001",$D$27:$AE$27,"&lt;=2500")</f>
        <v>0</v>
      </c>
      <c r="AY11" s="101">
        <f>SUMIFS($D$11:$AE$11,$D$27:$AE$27,"&gt;=2001",$D$27:$AE$27,"&lt;=2500")</f>
        <v>0</v>
      </c>
      <c r="AZ11" s="101">
        <f>SUMIFS($D$16:$AE$16,$D$27:$AE$27,"&gt;=2001",$D$27:$AE$27,"&lt;=2500")</f>
        <v>0</v>
      </c>
      <c r="BA11" s="101">
        <f>ROUND(SUMIFS($D$59:$AE$59,$D$27:$AE$27,"&gt;=2001",$D$27:$AE$27,"&lt;=2500")/1000,1)</f>
        <v>0</v>
      </c>
    </row>
    <row r="12" spans="1:53" s="5" customFormat="1" ht="15.75" customHeight="1">
      <c r="B12" s="65" t="s">
        <v>32</v>
      </c>
      <c r="C12" s="78" t="s">
        <v>141</v>
      </c>
      <c r="D12" s="24">
        <v>136138</v>
      </c>
      <c r="E12" s="11">
        <v>6067</v>
      </c>
      <c r="F12" s="11">
        <v>22078</v>
      </c>
      <c r="G12" s="11">
        <v>14286</v>
      </c>
      <c r="H12" s="11">
        <v>13423</v>
      </c>
      <c r="I12" s="10">
        <v>43777</v>
      </c>
      <c r="J12" s="11">
        <v>14553</v>
      </c>
      <c r="K12" s="11">
        <v>7039</v>
      </c>
      <c r="L12" s="11">
        <v>3948</v>
      </c>
      <c r="M12" s="11">
        <v>5465</v>
      </c>
      <c r="N12" s="11">
        <v>2764</v>
      </c>
      <c r="O12" s="11">
        <v>9497</v>
      </c>
      <c r="P12" s="11">
        <v>9262</v>
      </c>
      <c r="Q12" s="11">
        <v>10937</v>
      </c>
      <c r="R12" s="11">
        <v>6184</v>
      </c>
      <c r="S12" s="11">
        <v>3672</v>
      </c>
      <c r="T12" s="11">
        <v>1843</v>
      </c>
      <c r="U12" s="11">
        <v>2040</v>
      </c>
      <c r="V12" s="11">
        <v>21726</v>
      </c>
      <c r="W12" s="11">
        <v>8606</v>
      </c>
      <c r="X12" s="11">
        <v>5405</v>
      </c>
      <c r="Y12" s="11">
        <v>2393</v>
      </c>
      <c r="Z12" s="11">
        <v>1563</v>
      </c>
      <c r="AA12" s="11">
        <v>91168</v>
      </c>
      <c r="AB12" s="11">
        <v>40599</v>
      </c>
      <c r="AC12" s="11">
        <v>2550</v>
      </c>
      <c r="AD12" s="11">
        <v>2125</v>
      </c>
      <c r="AE12" s="11">
        <v>2894</v>
      </c>
      <c r="AF12" s="36">
        <v>492002</v>
      </c>
      <c r="AH12" s="98" t="s">
        <v>265</v>
      </c>
      <c r="AI12" s="99">
        <f>COUNTIFS($D$10:$AE$10,"&gt;=20001",$D$10:$AE$10,"&lt;=30000")</f>
        <v>4</v>
      </c>
      <c r="AJ12" s="99">
        <f>SUMIFS($D$10:$AE$10,$D$10:$AE$10,"&gt;=20001",$D$10:$AE$10,"&lt;=30000")</f>
        <v>101307</v>
      </c>
      <c r="AK12" s="99">
        <f>SUMIFS($D$11:$AE$11,$D$10:$AE$10,"&gt;=20001",$D$10:$AE$10,"&lt;=30000")</f>
        <v>85721</v>
      </c>
      <c r="AL12" s="99">
        <f>SUMIFS($D$16:$AE$16,$D$10:$AE$10,"&gt;=20001",$D$10:$AE$10,"&lt;=30000")</f>
        <v>49187</v>
      </c>
      <c r="AM12" s="99">
        <f>ROUND(SUMIFS($D$59:$AE$59,$D$10:$AE$10,"&gt;=20001",$D$10:$AE$10,"&lt;=30000")/1000,1)</f>
        <v>11.6</v>
      </c>
      <c r="AN12" s="96"/>
      <c r="AO12" s="100" t="s">
        <v>241</v>
      </c>
      <c r="AP12" s="101">
        <f>COUNTIFS($D$26:$AE$26,"&gt;=1251",$D$26:$AE$26,"&lt;=1500")</f>
        <v>2</v>
      </c>
      <c r="AQ12" s="101">
        <f>SUMIFS($D$10:$AE$10,$D$26:$AE$26,"&gt;=1251",$D$26:$AE$26,"&lt;=1500")</f>
        <v>49670</v>
      </c>
      <c r="AR12" s="101">
        <f>SUMIFS($D$11:$AE$11,$D$26:$AE$26,"&gt;=1251",$D$26:$AE$26,"&lt;=1500")</f>
        <v>43229</v>
      </c>
      <c r="AS12" s="101">
        <f>SUMIFS($D$16:$AE$16,$D$26:$AE$26,"&gt;=1251",$D$26:$AE$26,"&lt;=1500")</f>
        <v>30730</v>
      </c>
      <c r="AT12" s="101">
        <f>ROUND(SUMIFS($D$59:$AE$59,$D$26:$AE$26,"&gt;=1251",$D$26:$AE$26,"&lt;=1500")/1000,1)</f>
        <v>7.2</v>
      </c>
      <c r="AU12" s="96"/>
      <c r="AV12" s="100" t="s">
        <v>242</v>
      </c>
      <c r="AW12" s="101">
        <f>COUNTIFS($D$27:$AE$27,"&gt;=2501",$D$27:$AE$27,"&lt;=3000")</f>
        <v>3</v>
      </c>
      <c r="AX12" s="101">
        <f>SUMIFS($D$10:$AE$10,$D$27:$AE$27,"&gt;=2501",$D$27:$AE$27,"&lt;=3000")</f>
        <v>349790</v>
      </c>
      <c r="AY12" s="101">
        <f>SUMIFS($D$11:$AE$11,$D$27:$AE$27,"&gt;=2501",$D$27:$AE$27,"&lt;=3000")</f>
        <v>330687</v>
      </c>
      <c r="AZ12" s="101">
        <f>SUMIFS($D$16:$AE$16,$D$27:$AE$27,"&gt;=2501",$D$27:$AE$27,"&lt;=3000")</f>
        <v>140110</v>
      </c>
      <c r="BA12" s="101">
        <f>ROUND(SUMIFS($D$59:$AE$59,$D$27:$AE$27,"&gt;=2501",$D$27:$AE$27,"&lt;=3000")/1000,1)</f>
        <v>38.700000000000003</v>
      </c>
    </row>
    <row r="13" spans="1:53" ht="15.75" customHeight="1">
      <c r="B13" s="67" t="s">
        <v>33</v>
      </c>
      <c r="C13" s="16" t="s">
        <v>68</v>
      </c>
      <c r="D13" s="30">
        <v>99.3264131039939</v>
      </c>
      <c r="E13" s="31">
        <v>96.336619096660286</v>
      </c>
      <c r="F13" s="31">
        <v>99.113789436370084</v>
      </c>
      <c r="G13" s="31">
        <v>97.79439606209769</v>
      </c>
      <c r="H13" s="31">
        <v>99.538251652849198</v>
      </c>
      <c r="I13" s="31">
        <v>94.532453348020496</v>
      </c>
      <c r="J13" s="31">
        <v>97.90776972224981</v>
      </c>
      <c r="K13" s="31">
        <v>97.669607544873742</v>
      </c>
      <c r="L13" s="31">
        <v>77.732120144799921</v>
      </c>
      <c r="M13" s="31">
        <v>87.05138662316476</v>
      </c>
      <c r="N13" s="31">
        <v>90.068381634646698</v>
      </c>
      <c r="O13" s="31">
        <v>93.515506397744517</v>
      </c>
      <c r="P13" s="31">
        <v>98.201367555247259</v>
      </c>
      <c r="Q13" s="31">
        <v>96.511274770328754</v>
      </c>
      <c r="R13" s="31">
        <v>99.555256064690028</v>
      </c>
      <c r="S13" s="31">
        <v>99.447640966628299</v>
      </c>
      <c r="T13" s="31">
        <v>99.412915851272004</v>
      </c>
      <c r="U13" s="31">
        <v>98.299813394153006</v>
      </c>
      <c r="V13" s="31">
        <v>95.287065875301167</v>
      </c>
      <c r="W13" s="31">
        <v>82.767521217954325</v>
      </c>
      <c r="X13" s="31">
        <v>84.589800443458984</v>
      </c>
      <c r="Y13" s="31">
        <v>84.85258317554775</v>
      </c>
      <c r="Z13" s="31">
        <v>76.063327032136101</v>
      </c>
      <c r="AA13" s="31">
        <v>96.756743965925224</v>
      </c>
      <c r="AB13" s="31">
        <v>90.283576211106734</v>
      </c>
      <c r="AC13" s="31">
        <v>100</v>
      </c>
      <c r="AD13" s="31">
        <v>98.802525582408009</v>
      </c>
      <c r="AE13" s="31">
        <v>80.317740511915275</v>
      </c>
      <c r="AF13" s="37">
        <v>95.765038546021842</v>
      </c>
      <c r="AH13" s="98" t="s">
        <v>266</v>
      </c>
      <c r="AI13" s="99">
        <f>COUNTIFS($D$10:$AE$10,"&gt;=30001",$D$10:$AE$10,"&lt;=40000")</f>
        <v>3</v>
      </c>
      <c r="AJ13" s="99">
        <f>SUMIFS($D$10:$AE$10,$D$10:$AE$10,"&gt;=30001",$D$10:$AE$10,"&lt;=40000")</f>
        <v>96520</v>
      </c>
      <c r="AK13" s="99">
        <f>SUMIFS($D$11:$AE$11,$D$10:$AE$10,"&gt;=30001",$D$10:$AE$10,"&lt;=40000")</f>
        <v>89023</v>
      </c>
      <c r="AL13" s="99">
        <f>SUMIFS($D$16:$AE$16,$D$10:$AE$10,"&gt;=30001",$D$10:$AE$10,"&lt;=40000")</f>
        <v>44990</v>
      </c>
      <c r="AM13" s="99">
        <f>ROUND(SUMIFS($D$59:$AE$59,$D$10:$AE$10,"&gt;=30001",$D$10:$AE$10,"&lt;=40000")/1000,1)</f>
        <v>12.2</v>
      </c>
      <c r="AN13" s="102"/>
      <c r="AO13" s="103" t="s">
        <v>243</v>
      </c>
      <c r="AP13" s="104">
        <f>COUNTIFS($D$26:$AE$26,"&gt;=1501",$D$26:$AE$26,"&lt;=1750")</f>
        <v>5</v>
      </c>
      <c r="AQ13" s="104">
        <f>SUMIFS($D$10:$AE$10,$D$26:$AE$26,"&gt;=1501",$D$26:$AE$26,"&lt;=1750")</f>
        <v>336532</v>
      </c>
      <c r="AR13" s="104">
        <f>SUMIFS($D$11:$AE$11,$D$26:$AE$26,"&gt;=1501",$D$26:$AE$26,"&lt;=1750")</f>
        <v>315675</v>
      </c>
      <c r="AS13" s="104">
        <f>SUMIFS($D$16:$AE$16,$D$26:$AE$26,"&gt;=1501",$D$26:$AE$26,"&lt;=1750")</f>
        <v>126293</v>
      </c>
      <c r="AT13" s="104">
        <f>ROUND(SUMIFS($D$59:$AE$59,$D$26:$AE$26,"&gt;=1501",$D$26:$AE$26,"&lt;=1750")/1000,1)</f>
        <v>36</v>
      </c>
      <c r="AU13" s="102"/>
      <c r="AV13" s="103" t="s">
        <v>244</v>
      </c>
      <c r="AW13" s="104">
        <f>COUNTIFS($D$27:$AE$27,"&gt;=3001",$D$27:$AE$27,"&lt;=3500")</f>
        <v>6</v>
      </c>
      <c r="AX13" s="104">
        <f>SUMIFS($D$10:$AE$10,$D$27:$AE$27,"&gt;=3001",$D$27:$AE$27,"&lt;=3500")</f>
        <v>137502</v>
      </c>
      <c r="AY13" s="104">
        <f>SUMIFS($D$11:$AE$11,$D$27:$AE$27,"&gt;=3001",$D$27:$AE$27,"&lt;=3500")</f>
        <v>121598</v>
      </c>
      <c r="AZ13" s="104">
        <f>SUMIFS($D$16:$AE$16,$D$27:$AE$27,"&gt;=3001",$D$27:$AE$27,"&lt;=3500")</f>
        <v>60193</v>
      </c>
      <c r="BA13" s="104">
        <f>ROUND(SUMIFS($D$59:$AE$59,$D$27:$AE$27,"&gt;=3001",$D$27:$AE$27,"&lt;=3500")/1000,1)</f>
        <v>16</v>
      </c>
    </row>
    <row r="14" spans="1:53" ht="15.75" customHeight="1">
      <c r="B14" s="67" t="s">
        <v>34</v>
      </c>
      <c r="C14" s="16" t="s">
        <v>156</v>
      </c>
      <c r="D14" s="25">
        <v>143.4</v>
      </c>
      <c r="E14" s="12">
        <v>29.04</v>
      </c>
      <c r="F14" s="12">
        <v>94.36</v>
      </c>
      <c r="G14" s="12">
        <v>131.35</v>
      </c>
      <c r="H14" s="12">
        <v>20.39</v>
      </c>
      <c r="I14" s="12">
        <v>618.11</v>
      </c>
      <c r="J14" s="12">
        <v>111.56</v>
      </c>
      <c r="K14" s="12">
        <v>56.6</v>
      </c>
      <c r="L14" s="12">
        <v>17.2</v>
      </c>
      <c r="M14" s="12">
        <v>91.65</v>
      </c>
      <c r="N14" s="12">
        <v>18.899999999999999</v>
      </c>
      <c r="O14" s="12">
        <v>107.65</v>
      </c>
      <c r="P14" s="12">
        <v>87.21</v>
      </c>
      <c r="Q14" s="12">
        <v>64.23</v>
      </c>
      <c r="R14" s="12">
        <v>70.44</v>
      </c>
      <c r="S14" s="12">
        <v>38.840000000000003</v>
      </c>
      <c r="T14" s="12">
        <v>11.21</v>
      </c>
      <c r="U14" s="12">
        <v>25.87</v>
      </c>
      <c r="V14" s="12">
        <v>67.14</v>
      </c>
      <c r="W14" s="12">
        <v>205.42</v>
      </c>
      <c r="X14" s="12">
        <v>94.72</v>
      </c>
      <c r="Y14" s="12">
        <v>36.24</v>
      </c>
      <c r="Z14" s="12">
        <v>60.5</v>
      </c>
      <c r="AA14" s="12">
        <v>657.9</v>
      </c>
      <c r="AB14" s="12">
        <v>710.21</v>
      </c>
      <c r="AC14" s="12">
        <v>34.369999999999997</v>
      </c>
      <c r="AD14" s="12">
        <v>591</v>
      </c>
      <c r="AE14" s="12">
        <v>30.85</v>
      </c>
      <c r="AF14" s="38">
        <v>4226.3600000000006</v>
      </c>
      <c r="AH14" s="105" t="s">
        <v>267</v>
      </c>
      <c r="AI14" s="99">
        <f>COUNTIFS($D$10:$AE$10,"&gt;=3001",$D$10:$AE$10,"&lt;=4000")</f>
        <v>0</v>
      </c>
      <c r="AJ14" s="99">
        <f>SUMIFS($D$10:$AE$10,$D$10:$AE$10,"&gt;=3001",$D$10:$AE$10,"&lt;=4000")</f>
        <v>0</v>
      </c>
      <c r="AK14" s="99">
        <f>SUMIFS($D$11:$AE$11,$D$10:$AE$10,"&gt;=3001",$D$10:$AE$10,"&lt;=4000")</f>
        <v>0</v>
      </c>
      <c r="AL14" s="99">
        <f>SUMIFS($D$16:$AE$16,$D$10:$AE$10,"&gt;=3001",$D$10:$AE$10,"&lt;=4000")</f>
        <v>0</v>
      </c>
      <c r="AM14" s="99">
        <f>ROUND(SUMIFS($D$59:$AE$59,$D$10:$AE$10,"&gt;=3001",$D$10:$AE$10,"&lt;=4000")/1000,1)</f>
        <v>0</v>
      </c>
      <c r="AN14" s="102"/>
      <c r="AO14" s="103" t="s">
        <v>245</v>
      </c>
      <c r="AP14" s="104">
        <f>COUNTIFS($D$26:$AE$26,"&gt;=1751",$D$26:$AE$26,"&lt;=2000")</f>
        <v>6</v>
      </c>
      <c r="AQ14" s="104">
        <f>SUMIFS($D$10:$AE$10,$D$26:$AE$26,"&gt;=1751",$D$26:$AE$26,"&lt;=2000")</f>
        <v>155525</v>
      </c>
      <c r="AR14" s="104">
        <f>SUMIFS($D$11:$AE$11,$D$26:$AE$26,"&gt;=1751",$D$26:$AE$26,"&lt;=2000")</f>
        <v>144837</v>
      </c>
      <c r="AS14" s="104">
        <f>SUMIFS($D$16:$AE$16,$D$26:$AE$26,"&gt;=1751",$D$26:$AE$26,"&lt;=2000")</f>
        <v>67844</v>
      </c>
      <c r="AT14" s="104">
        <f>ROUND(SUMIFS($D$59:$AE$59,$D$26:$AE$26,"&gt;=1751",$D$26:$AE$26,"&lt;=2000")/1000,1)</f>
        <v>18.3</v>
      </c>
      <c r="AU14" s="102"/>
      <c r="AV14" s="103" t="s">
        <v>246</v>
      </c>
      <c r="AW14" s="104">
        <f>COUNTIFS($D$27:$AE$27,"&gt;=3501",$D$27:$AE$27,"&lt;=4000")</f>
        <v>2</v>
      </c>
      <c r="AX14" s="104">
        <f>SUMIFS($D$10:$AE$10,$D$27:$AE$27,"&gt;=3501",$D$27:$AE$27,"&lt;=4000")</f>
        <v>36450</v>
      </c>
      <c r="AY14" s="104">
        <f>SUMIFS($D$11:$AE$11,$D$27:$AE$27,"&gt;=3501",$D$27:$AE$27,"&lt;=4000")</f>
        <v>30883</v>
      </c>
      <c r="AZ14" s="104">
        <f>SUMIFS($D$16:$AE$16,$D$27:$AE$27,"&gt;=3501",$D$27:$AE$27,"&lt;=4000")</f>
        <v>19044</v>
      </c>
      <c r="BA14" s="104">
        <f>ROUND(SUMIFS($D$59:$AE$59,$D$27:$AE$27,"&gt;=3501",$D$27:$AE$27,"&lt;=4000")/1000,1)</f>
        <v>4.7</v>
      </c>
    </row>
    <row r="15" spans="1:53" ht="15.75" customHeight="1">
      <c r="B15" s="67" t="s">
        <v>35</v>
      </c>
      <c r="C15" s="16" t="s">
        <v>156</v>
      </c>
      <c r="D15" s="25">
        <v>139.38</v>
      </c>
      <c r="E15" s="12">
        <v>27.41</v>
      </c>
      <c r="F15" s="12">
        <v>94.36</v>
      </c>
      <c r="G15" s="12">
        <v>130.85</v>
      </c>
      <c r="H15" s="12">
        <v>20.39</v>
      </c>
      <c r="I15" s="12">
        <v>618.11</v>
      </c>
      <c r="J15" s="12">
        <v>111.56</v>
      </c>
      <c r="K15" s="12">
        <v>56.5</v>
      </c>
      <c r="L15" s="12">
        <v>12.75</v>
      </c>
      <c r="M15" s="12">
        <v>39</v>
      </c>
      <c r="N15" s="12">
        <v>18.5</v>
      </c>
      <c r="O15" s="12">
        <v>107.65</v>
      </c>
      <c r="P15" s="12">
        <v>87.21</v>
      </c>
      <c r="Q15" s="12">
        <v>53.81</v>
      </c>
      <c r="R15" s="12">
        <v>56.7</v>
      </c>
      <c r="S15" s="12">
        <v>38.840000000000003</v>
      </c>
      <c r="T15" s="12">
        <v>10.25</v>
      </c>
      <c r="U15" s="12">
        <v>21.05</v>
      </c>
      <c r="V15" s="12">
        <v>67.14</v>
      </c>
      <c r="W15" s="12">
        <v>151.21</v>
      </c>
      <c r="X15" s="12">
        <v>94.72</v>
      </c>
      <c r="Y15" s="12">
        <v>33.520000000000003</v>
      </c>
      <c r="Z15" s="12">
        <v>58.5</v>
      </c>
      <c r="AA15" s="12">
        <v>657.9</v>
      </c>
      <c r="AB15" s="12">
        <v>710.21</v>
      </c>
      <c r="AC15" s="12">
        <v>34.369999999999997</v>
      </c>
      <c r="AD15" s="12">
        <v>106.38</v>
      </c>
      <c r="AE15" s="12">
        <v>30.85</v>
      </c>
      <c r="AF15" s="38">
        <v>3589.12</v>
      </c>
      <c r="AH15" s="105" t="s">
        <v>268</v>
      </c>
      <c r="AI15" s="99">
        <f>COUNTIFS($D$10:$AE$10,"&gt;=50001",$D$10:$AE$10,"&lt;=60000")</f>
        <v>2</v>
      </c>
      <c r="AJ15" s="99">
        <f>SUMIFS($D$10:$AE$10,$D$10:$AE$10,"&gt;=50001",$D$10:$AE$10,"&lt;=60000")</f>
        <v>101090</v>
      </c>
      <c r="AK15" s="99">
        <f>SUMIFS($D$11:$AE$11,$D$10:$AE$10,"&gt;=50001",$D$10:$AE$10,"&lt;=60000")</f>
        <v>93381</v>
      </c>
      <c r="AL15" s="99">
        <f>SUMIFS($D$16:$AE$16,$D$10:$AE$10,"&gt;=50001",$D$10:$AE$10,"&lt;=60000")</f>
        <v>43280</v>
      </c>
      <c r="AM15" s="99">
        <f>ROUND(SUMIFS($D$59:$AE$59,$D$10:$AE$10,"&gt;=50001",$D$10:$AE$10,"&lt;=60000")/1000,1)</f>
        <v>11.5</v>
      </c>
      <c r="AN15" s="102"/>
      <c r="AO15" s="103" t="s">
        <v>247</v>
      </c>
      <c r="AP15" s="104">
        <f>COUNTIFS($D$26:$AE$26,"&gt;=2001",$D$26:$AE$26,"&lt;=2250")</f>
        <v>8</v>
      </c>
      <c r="AQ15" s="104">
        <f>SUMIFS($D$10:$AE$10,$D$26:$AE$26,"&gt;=2001",$D$26:$AE$26,"&lt;=2250")</f>
        <v>368250</v>
      </c>
      <c r="AR15" s="104">
        <f>SUMIFS($D$11:$AE$11,$D$26:$AE$26,"&gt;=2001",$D$26:$AE$26,"&lt;=2250")</f>
        <v>348213</v>
      </c>
      <c r="AS15" s="104">
        <f>SUMIFS($D$16:$AE$16,$D$26:$AE$26,"&gt;=2001",$D$26:$AE$26,"&lt;=2250")</f>
        <v>150659</v>
      </c>
      <c r="AT15" s="104">
        <f>ROUND(SUMIFS($D$59:$AE$59,$D$26:$AE$26,"&gt;=2001",$D$26:$AE$26,"&lt;=2250")/1000,1)</f>
        <v>42</v>
      </c>
      <c r="AU15" s="102"/>
      <c r="AV15" s="103" t="s">
        <v>248</v>
      </c>
      <c r="AW15" s="104">
        <f>COUNTIFS($D$27:$AE$27,"&gt;=4001",$D$27:$AE$27,"&lt;=4500")</f>
        <v>10</v>
      </c>
      <c r="AX15" s="104">
        <f>SUMIFS($D$10:$AE$10,$D$27:$AE$27,"&gt;=4001",$D$27:$AE$27,"&lt;=4500")</f>
        <v>432632</v>
      </c>
      <c r="AY15" s="104">
        <f>SUMIFS($D$11:$AE$11,$D$27:$AE$27,"&gt;=4001",$D$27:$AE$27,"&lt;=4500")</f>
        <v>413557</v>
      </c>
      <c r="AZ15" s="104">
        <f>SUMIFS($D$16:$AE$16,$D$27:$AE$27,"&gt;=4001",$D$27:$AE$27,"&lt;=4500")</f>
        <v>180891</v>
      </c>
      <c r="BA15" s="104">
        <f>ROUND(SUMIFS($D$59:$AE$59,$D$27:$AE$27,"&gt;=4001",$D$27:$AE$27,"&lt;=4500")/1000,1)</f>
        <v>50.7</v>
      </c>
    </row>
    <row r="16" spans="1:53" s="5" customFormat="1" ht="15.75" customHeight="1">
      <c r="B16" s="65" t="s">
        <v>119</v>
      </c>
      <c r="C16" s="16" t="s">
        <v>146</v>
      </c>
      <c r="D16" s="26">
        <v>99300</v>
      </c>
      <c r="E16" s="11">
        <v>7390</v>
      </c>
      <c r="F16" s="11">
        <v>25970</v>
      </c>
      <c r="G16" s="11">
        <v>14500</v>
      </c>
      <c r="H16" s="11">
        <v>15890</v>
      </c>
      <c r="I16" s="11">
        <v>40900</v>
      </c>
      <c r="J16" s="11">
        <v>14600</v>
      </c>
      <c r="K16" s="11">
        <v>8462</v>
      </c>
      <c r="L16" s="11">
        <v>5400</v>
      </c>
      <c r="M16" s="11">
        <v>8000</v>
      </c>
      <c r="N16" s="11">
        <v>4679</v>
      </c>
      <c r="O16" s="11">
        <v>14284</v>
      </c>
      <c r="P16" s="11">
        <v>10440</v>
      </c>
      <c r="Q16" s="11">
        <v>13000</v>
      </c>
      <c r="R16" s="11">
        <v>14840</v>
      </c>
      <c r="S16" s="11">
        <v>4118</v>
      </c>
      <c r="T16" s="11">
        <v>3800</v>
      </c>
      <c r="U16" s="11">
        <v>2390</v>
      </c>
      <c r="V16" s="11">
        <v>17310</v>
      </c>
      <c r="W16" s="11">
        <v>11463</v>
      </c>
      <c r="X16" s="11">
        <v>5920</v>
      </c>
      <c r="Y16" s="11">
        <v>3579</v>
      </c>
      <c r="Z16" s="11">
        <v>2790</v>
      </c>
      <c r="AA16" s="11">
        <v>80000</v>
      </c>
      <c r="AB16" s="11">
        <v>45281</v>
      </c>
      <c r="AC16" s="11">
        <v>4570</v>
      </c>
      <c r="AD16" s="11">
        <v>2740</v>
      </c>
      <c r="AE16" s="11">
        <v>6044</v>
      </c>
      <c r="AF16" s="36">
        <v>487660</v>
      </c>
      <c r="AH16" s="105" t="s">
        <v>269</v>
      </c>
      <c r="AI16" s="99">
        <f>COUNTIFS($D$10:$AE$10,"&gt;=60001",$D$10:$AE$10,"&lt;=70000")</f>
        <v>0</v>
      </c>
      <c r="AJ16" s="99">
        <f>SUMIFS($D$10:$AE$10,$D$10:$AE$10,"&gt;=60001",$D$10:$AE$10,"&lt;=70000")</f>
        <v>0</v>
      </c>
      <c r="AK16" s="99">
        <f>SUMIFS($D$11:$AE$11,$D$10:$AE$10,"&gt;=60001",$D$10:$AE$10,"&lt;=70000")</f>
        <v>0</v>
      </c>
      <c r="AL16" s="99">
        <f>SUMIFS($D$16:$AE$16,$D$10:$AE$10,"&gt;=60001",$D$10:$AE$10,"&lt;=70000")</f>
        <v>0</v>
      </c>
      <c r="AM16" s="99">
        <f>ROUND(SUMIFS($D$59:$AE$59,$D$10:$AE$10,"&gt;=60001",$D$10:$AE$10,"&lt;=70000")/1000,1)</f>
        <v>0</v>
      </c>
      <c r="AN16" s="96"/>
      <c r="AO16" s="100" t="s">
        <v>249</v>
      </c>
      <c r="AP16" s="101">
        <f>COUNTIFS($D$26:$AE$26,"&gt;=2251",$D$26:$AE$26,"&lt;=2500")</f>
        <v>4</v>
      </c>
      <c r="AQ16" s="101">
        <f>SUMIFS($D$10:$AE$10,$D$26:$AE$26,"&gt;=2251",$D$26:$AE$26,"&lt;=2500")</f>
        <v>149569</v>
      </c>
      <c r="AR16" s="101">
        <f>SUMIFS($D$11:$AE$11,$D$26:$AE$26,"&gt;=2251",$D$26:$AE$26,"&lt;=2500")</f>
        <v>135578</v>
      </c>
      <c r="AS16" s="101">
        <f>SUMIFS($D$16:$AE$16,$D$26:$AE$26,"&gt;=2251",$D$26:$AE$26,"&lt;=2500")</f>
        <v>71606</v>
      </c>
      <c r="AT16" s="101">
        <f>ROUND(SUMIFS($D$59:$AE$59,$D$26:$AE$26,"&gt;=2251",$D$26:$AE$26,"&lt;=2500")/1000,1)</f>
        <v>17.899999999999999</v>
      </c>
      <c r="AU16" s="96"/>
      <c r="AV16" s="100" t="s">
        <v>250</v>
      </c>
      <c r="AW16" s="101">
        <f>COUNTIFS($D$27:$AE$27,"&gt;=4501",$D$27:$AE$27,"&lt;=5000")</f>
        <v>3</v>
      </c>
      <c r="AX16" s="101">
        <f>SUMIFS($D$10:$AE$10,$D$27:$AE$27,"&gt;=4501",$D$27:$AE$27,"&lt;=5000")</f>
        <v>44812</v>
      </c>
      <c r="AY16" s="101">
        <f>SUMIFS($D$11:$AE$11,$D$27:$AE$27,"&gt;=4501",$D$27:$AE$27,"&lt;=5000")</f>
        <v>37577</v>
      </c>
      <c r="AZ16" s="101">
        <f>SUMIFS($D$16:$AE$16,$D$27:$AE$27,"&gt;=4501",$D$27:$AE$27,"&lt;=5000")</f>
        <v>24004</v>
      </c>
      <c r="BA16" s="101">
        <f>ROUND(SUMIFS($D$59:$AE$59,$D$27:$AE$27,"&gt;=4501",$D$27:$AE$27,"&lt;=5000")/1000,1)</f>
        <v>5.2</v>
      </c>
    </row>
    <row r="17" spans="2:53" s="5" customFormat="1" ht="15.75" customHeight="1">
      <c r="B17" s="65" t="s">
        <v>36</v>
      </c>
      <c r="C17" s="78" t="s">
        <v>157</v>
      </c>
      <c r="D17" s="24">
        <v>104967</v>
      </c>
      <c r="E17" s="10">
        <v>7451</v>
      </c>
      <c r="F17" s="10">
        <v>25970</v>
      </c>
      <c r="G17" s="10">
        <v>14500</v>
      </c>
      <c r="H17" s="10">
        <v>16462</v>
      </c>
      <c r="I17" s="10">
        <v>69061</v>
      </c>
      <c r="J17" s="10">
        <v>14906</v>
      </c>
      <c r="K17" s="10">
        <v>8462</v>
      </c>
      <c r="L17" s="10">
        <v>8338</v>
      </c>
      <c r="M17" s="10">
        <v>13010</v>
      </c>
      <c r="N17" s="10">
        <v>4679</v>
      </c>
      <c r="O17" s="10">
        <v>14284</v>
      </c>
      <c r="P17" s="10">
        <v>11350</v>
      </c>
      <c r="Q17" s="10">
        <v>15510</v>
      </c>
      <c r="R17" s="10">
        <v>14736</v>
      </c>
      <c r="S17" s="10">
        <v>5500</v>
      </c>
      <c r="T17" s="10">
        <v>3800</v>
      </c>
      <c r="U17" s="10">
        <v>2537</v>
      </c>
      <c r="V17" s="10">
        <v>17310</v>
      </c>
      <c r="W17" s="10">
        <v>11463</v>
      </c>
      <c r="X17" s="10">
        <v>7797</v>
      </c>
      <c r="Y17" s="10">
        <v>3936</v>
      </c>
      <c r="Z17" s="10">
        <v>2790</v>
      </c>
      <c r="AA17" s="10">
        <v>96579</v>
      </c>
      <c r="AB17" s="10">
        <v>60858</v>
      </c>
      <c r="AC17" s="10">
        <v>4612</v>
      </c>
      <c r="AD17" s="10">
        <v>2937</v>
      </c>
      <c r="AE17" s="10">
        <v>6044</v>
      </c>
      <c r="AF17" s="36">
        <v>569849</v>
      </c>
      <c r="AH17" s="100" t="s">
        <v>270</v>
      </c>
      <c r="AI17" s="99">
        <f>COUNTIF($D$10:$AE$10,"&gt;=70001")</f>
        <v>4</v>
      </c>
      <c r="AJ17" s="99">
        <f>SUMIF($D$10:$AE$10,"&gt;=70001",$D$10:$AE$10)</f>
        <v>698050</v>
      </c>
      <c r="AK17" s="99">
        <f>SUMIF($D$10:$AE$10,"&gt;=70001",$D$11:$AE$11)</f>
        <v>668582</v>
      </c>
      <c r="AL17" s="99">
        <f>SUMIF($D$10:$AE$10,"&gt;=70001",$D$16:$AE$16)</f>
        <v>265481</v>
      </c>
      <c r="AM17" s="99">
        <f>ROUND(SUMIF($D$10:$AE$10,"&gt;=70001",$D$59:$AE$59)/1000,1)</f>
        <v>76.900000000000006</v>
      </c>
      <c r="AN17" s="96"/>
      <c r="AO17" s="100" t="s">
        <v>251</v>
      </c>
      <c r="AP17" s="101">
        <f>COUNTIFS($D$26:$AE$26,"&gt;=2501",$D$26:$AE$26,"&lt;=2750")</f>
        <v>2</v>
      </c>
      <c r="AQ17" s="101">
        <f>SUMIFS($D$10:$AE$10,$D$26:$AE$26,"&gt;=2501",$D$26:$AE$26,"&lt;=2750")</f>
        <v>34244</v>
      </c>
      <c r="AR17" s="101">
        <f>SUMIFS($D$11:$AE$11,$D$26:$AE$26,"&gt;=2501",$D$26:$AE$26,"&lt;=2750")</f>
        <v>28461</v>
      </c>
      <c r="AS17" s="101">
        <f>SUMIFS($D$16:$AE$16,$D$26:$AE$26,"&gt;=2501",$D$26:$AE$26,"&lt;=2750")</f>
        <v>14558</v>
      </c>
      <c r="AT17" s="101">
        <f>ROUND(SUMIFS($D$59:$AE$59,$D$26:$AE$26,"&gt;=2501",$D$26:$AE$26,"&lt;=2750")/1000,1)</f>
        <v>3.3</v>
      </c>
      <c r="AU17" s="96"/>
      <c r="AV17" s="100" t="s">
        <v>252</v>
      </c>
      <c r="AW17" s="101">
        <f>COUNTIF($D$27:$AE$27,"&gt;=5001")</f>
        <v>4</v>
      </c>
      <c r="AX17" s="101">
        <f>SUMIF($D$27:$AE$27,"&gt;=5001",$D$10:$AE$10)</f>
        <v>142944</v>
      </c>
      <c r="AY17" s="101">
        <f>SUMIF($D$27:$AE$27,"&gt;=5001",$D$11:$AE$11)</f>
        <v>126427</v>
      </c>
      <c r="AZ17" s="101">
        <f>SUMIF($D$27:$AE$27,"&gt;=5001",$D$16:$AE$16)</f>
        <v>63418</v>
      </c>
      <c r="BA17" s="101">
        <f>ROUND(SUMIF($D$27:$AE$27,"&gt;=5001",$D$59:$AE$59)/1000,1)</f>
        <v>15.7</v>
      </c>
    </row>
    <row r="18" spans="2:53" ht="29.1" customHeight="1">
      <c r="B18" s="68" t="s">
        <v>37</v>
      </c>
      <c r="C18" s="79"/>
      <c r="D18" s="27" t="s">
        <v>38</v>
      </c>
      <c r="E18" s="13" t="s">
        <v>39</v>
      </c>
      <c r="F18" s="13" t="s">
        <v>126</v>
      </c>
      <c r="G18" s="13" t="s">
        <v>40</v>
      </c>
      <c r="H18" s="13" t="s">
        <v>40</v>
      </c>
      <c r="I18" s="13" t="s">
        <v>41</v>
      </c>
      <c r="J18" s="13" t="s">
        <v>133</v>
      </c>
      <c r="K18" s="14" t="s">
        <v>42</v>
      </c>
      <c r="L18" s="13" t="s">
        <v>40</v>
      </c>
      <c r="M18" s="13" t="s">
        <v>224</v>
      </c>
      <c r="N18" s="14" t="s">
        <v>43</v>
      </c>
      <c r="O18" s="14" t="s">
        <v>128</v>
      </c>
      <c r="P18" s="13" t="s">
        <v>44</v>
      </c>
      <c r="Q18" s="13" t="s">
        <v>129</v>
      </c>
      <c r="R18" s="13" t="s">
        <v>39</v>
      </c>
      <c r="S18" s="13" t="s">
        <v>124</v>
      </c>
      <c r="T18" s="13" t="s">
        <v>123</v>
      </c>
      <c r="U18" s="13" t="s">
        <v>45</v>
      </c>
      <c r="V18" s="14" t="s">
        <v>46</v>
      </c>
      <c r="W18" s="13" t="s">
        <v>47</v>
      </c>
      <c r="X18" s="13" t="s">
        <v>116</v>
      </c>
      <c r="Y18" s="13" t="s">
        <v>39</v>
      </c>
      <c r="Z18" s="14" t="s">
        <v>48</v>
      </c>
      <c r="AA18" s="15" t="s">
        <v>109</v>
      </c>
      <c r="AB18" s="13" t="s">
        <v>106</v>
      </c>
      <c r="AC18" s="13" t="s">
        <v>121</v>
      </c>
      <c r="AD18" s="13" t="s">
        <v>125</v>
      </c>
      <c r="AE18" s="13" t="s">
        <v>132</v>
      </c>
      <c r="AF18" s="58"/>
      <c r="AH18" s="102" t="s">
        <v>236</v>
      </c>
      <c r="AI18" s="106">
        <f>SUM(AI10:AI17)</f>
        <v>28</v>
      </c>
      <c r="AJ18" s="106">
        <f>SUM(AJ10:AJ17)</f>
        <v>1144130</v>
      </c>
      <c r="AK18" s="106">
        <f t="shared" ref="AK18:AM18" si="0">SUM(AK10:AK17)</f>
        <v>1060729</v>
      </c>
      <c r="AL18" s="106">
        <f t="shared" si="0"/>
        <v>487660</v>
      </c>
      <c r="AM18" s="106">
        <f t="shared" si="0"/>
        <v>131.10000000000002</v>
      </c>
      <c r="AN18" s="102"/>
      <c r="AO18" s="103" t="s">
        <v>253</v>
      </c>
      <c r="AP18" s="104">
        <f>COUNTIF($D$26:$AE$26,"&gt;=2751")</f>
        <v>0</v>
      </c>
      <c r="AQ18" s="104">
        <f>SUMIF($D$26:$AE$26,"&gt;=2751",$D$10:$AE$10)</f>
        <v>0</v>
      </c>
      <c r="AR18" s="104">
        <f>SUMIF($D$26:$AE$26,"&gt;=2751",$D$26:$AE$26)</f>
        <v>0</v>
      </c>
      <c r="AS18" s="104">
        <f>SUMIF($D$26:$AE$26,"&gt;=2751",$D$16:$AE$16)</f>
        <v>0</v>
      </c>
      <c r="AT18" s="104">
        <f>ROUND(SUMIF($D$26:$AE$26,"&gt;=2751",$D$59:$AE$59)/1000,1)</f>
        <v>0</v>
      </c>
      <c r="AU18" s="102"/>
      <c r="AV18" s="107"/>
      <c r="AW18" s="108"/>
      <c r="AX18" s="108"/>
      <c r="AY18" s="108"/>
      <c r="AZ18" s="108"/>
      <c r="BA18" s="108"/>
    </row>
    <row r="19" spans="2:53" ht="29.1" customHeight="1">
      <c r="B19" s="68" t="s">
        <v>49</v>
      </c>
      <c r="C19" s="79"/>
      <c r="D19" s="27" t="s">
        <v>50</v>
      </c>
      <c r="E19" s="13" t="s">
        <v>52</v>
      </c>
      <c r="F19" s="13" t="s">
        <v>107</v>
      </c>
      <c r="G19" s="13" t="s">
        <v>111</v>
      </c>
      <c r="H19" s="13" t="s">
        <v>52</v>
      </c>
      <c r="I19" s="13" t="s">
        <v>54</v>
      </c>
      <c r="J19" s="13" t="s">
        <v>127</v>
      </c>
      <c r="K19" s="14" t="s">
        <v>138</v>
      </c>
      <c r="L19" s="13" t="s">
        <v>107</v>
      </c>
      <c r="M19" s="13" t="s">
        <v>53</v>
      </c>
      <c r="N19" s="14" t="s">
        <v>55</v>
      </c>
      <c r="O19" s="13" t="s">
        <v>107</v>
      </c>
      <c r="P19" s="13" t="s">
        <v>51</v>
      </c>
      <c r="Q19" s="14" t="s">
        <v>55</v>
      </c>
      <c r="R19" s="13" t="s">
        <v>51</v>
      </c>
      <c r="S19" s="14" t="s">
        <v>55</v>
      </c>
      <c r="T19" s="14" t="s">
        <v>55</v>
      </c>
      <c r="U19" s="13" t="s">
        <v>52</v>
      </c>
      <c r="V19" s="13" t="s">
        <v>51</v>
      </c>
      <c r="W19" s="14" t="s">
        <v>53</v>
      </c>
      <c r="X19" s="13" t="s">
        <v>56</v>
      </c>
      <c r="Y19" s="13" t="s">
        <v>108</v>
      </c>
      <c r="Z19" s="14" t="s">
        <v>53</v>
      </c>
      <c r="AA19" s="13" t="s">
        <v>57</v>
      </c>
      <c r="AB19" s="13" t="s">
        <v>107</v>
      </c>
      <c r="AC19" s="13" t="s">
        <v>111</v>
      </c>
      <c r="AD19" s="13" t="s">
        <v>50</v>
      </c>
      <c r="AE19" s="13" t="s">
        <v>50</v>
      </c>
      <c r="AF19" s="58"/>
      <c r="AH19" s="102"/>
      <c r="AI19" s="102"/>
      <c r="AJ19" s="102"/>
      <c r="AK19" s="102"/>
      <c r="AL19" s="102"/>
      <c r="AM19" s="102"/>
      <c r="AN19" s="102"/>
      <c r="AO19" s="102" t="s">
        <v>262</v>
      </c>
      <c r="AP19" s="106">
        <f>SUM(AP10:AP18)</f>
        <v>28</v>
      </c>
      <c r="AQ19" s="106">
        <f>SUM(AQ10:AQ18)</f>
        <v>1144130</v>
      </c>
      <c r="AR19" s="106">
        <f>SUM(AR10:AR18)</f>
        <v>1060729</v>
      </c>
      <c r="AS19" s="106">
        <f t="shared" ref="AS19" si="1">SUM(AS10:AS18)</f>
        <v>487660</v>
      </c>
      <c r="AT19" s="106">
        <f>SUM(AT10:AT18)</f>
        <v>131.10000000000002</v>
      </c>
      <c r="AU19" s="102"/>
      <c r="AV19" s="102" t="s">
        <v>262</v>
      </c>
      <c r="AW19" s="106">
        <f>SUM(AW10:AW18)</f>
        <v>28</v>
      </c>
      <c r="AX19" s="106">
        <f t="shared" ref="AX19:BA19" si="2">SUM(AX10:AX18)</f>
        <v>1144130</v>
      </c>
      <c r="AY19" s="106">
        <f t="shared" si="2"/>
        <v>1060729</v>
      </c>
      <c r="AZ19" s="106">
        <f t="shared" si="2"/>
        <v>487660</v>
      </c>
      <c r="BA19" s="106">
        <f t="shared" si="2"/>
        <v>131</v>
      </c>
    </row>
    <row r="20" spans="2:53" ht="3.75" customHeight="1">
      <c r="B20" s="67"/>
      <c r="C20" s="16"/>
      <c r="D20" s="16"/>
      <c r="E20" s="17"/>
      <c r="F20" s="18"/>
      <c r="G20" s="18"/>
      <c r="H20" s="17"/>
      <c r="I20" s="17"/>
      <c r="J20" s="18"/>
      <c r="K20" s="17"/>
      <c r="L20" s="18"/>
      <c r="M20" s="17"/>
      <c r="N20" s="17"/>
      <c r="O20" s="17"/>
      <c r="P20" s="17"/>
      <c r="Q20" s="17"/>
      <c r="R20" s="17"/>
      <c r="S20" s="17"/>
      <c r="T20" s="18"/>
      <c r="U20" s="18"/>
      <c r="V20" s="17"/>
      <c r="W20" s="17"/>
      <c r="X20" s="18"/>
      <c r="Y20" s="17"/>
      <c r="Z20" s="18"/>
      <c r="AA20" s="18"/>
      <c r="AB20" s="18"/>
      <c r="AC20" s="18"/>
      <c r="AD20" s="18"/>
      <c r="AE20" s="18"/>
      <c r="AF20" s="59"/>
    </row>
    <row r="21" spans="2:53" ht="16.5" customHeight="1">
      <c r="B21" s="67" t="s">
        <v>58</v>
      </c>
      <c r="C21" s="16"/>
      <c r="D21" s="16"/>
      <c r="E21" s="17"/>
      <c r="F21" s="18"/>
      <c r="G21" s="18"/>
      <c r="H21" s="17"/>
      <c r="I21" s="17"/>
      <c r="J21" s="18"/>
      <c r="K21" s="17"/>
      <c r="L21" s="18"/>
      <c r="M21" s="17"/>
      <c r="N21" s="17"/>
      <c r="O21" s="17"/>
      <c r="P21" s="17"/>
      <c r="Q21" s="17"/>
      <c r="R21" s="17"/>
      <c r="S21" s="17"/>
      <c r="T21" s="18"/>
      <c r="U21" s="18"/>
      <c r="V21" s="17"/>
      <c r="W21" s="17"/>
      <c r="X21" s="18"/>
      <c r="Y21" s="17"/>
      <c r="Z21" s="18"/>
      <c r="AA21" s="18"/>
      <c r="AB21" s="18"/>
      <c r="AC21" s="18"/>
      <c r="AD21" s="18"/>
      <c r="AE21" s="18"/>
      <c r="AF21" s="59"/>
    </row>
    <row r="22" spans="2:53" ht="16.5" customHeight="1">
      <c r="B22" s="67" t="s">
        <v>59</v>
      </c>
      <c r="C22" s="16" t="s">
        <v>146</v>
      </c>
      <c r="D22" s="28">
        <v>0</v>
      </c>
      <c r="E22" s="19">
        <v>10</v>
      </c>
      <c r="F22" s="19">
        <v>10</v>
      </c>
      <c r="G22" s="19">
        <v>10</v>
      </c>
      <c r="H22" s="19">
        <v>10</v>
      </c>
      <c r="I22" s="19">
        <v>0</v>
      </c>
      <c r="J22" s="19">
        <v>10</v>
      </c>
      <c r="K22" s="19">
        <v>5</v>
      </c>
      <c r="L22" s="19">
        <v>10</v>
      </c>
      <c r="M22" s="19">
        <v>6</v>
      </c>
      <c r="N22" s="19">
        <v>10</v>
      </c>
      <c r="O22" s="19">
        <v>10</v>
      </c>
      <c r="P22" s="19">
        <v>5</v>
      </c>
      <c r="Q22" s="19">
        <v>0</v>
      </c>
      <c r="R22" s="19">
        <v>10</v>
      </c>
      <c r="S22" s="19">
        <v>8</v>
      </c>
      <c r="T22" s="19">
        <v>10</v>
      </c>
      <c r="U22" s="19">
        <v>10</v>
      </c>
      <c r="V22" s="19">
        <v>5</v>
      </c>
      <c r="W22" s="19">
        <v>10</v>
      </c>
      <c r="X22" s="19">
        <v>10</v>
      </c>
      <c r="Y22" s="19">
        <v>10</v>
      </c>
      <c r="Z22" s="19">
        <v>10</v>
      </c>
      <c r="AA22" s="19">
        <v>0</v>
      </c>
      <c r="AB22" s="19">
        <v>0</v>
      </c>
      <c r="AC22" s="19">
        <v>8</v>
      </c>
      <c r="AD22" s="19">
        <v>10</v>
      </c>
      <c r="AE22" s="19">
        <v>10</v>
      </c>
      <c r="AF22" s="59"/>
    </row>
    <row r="23" spans="2:53" s="5" customFormat="1" ht="16.5" customHeight="1">
      <c r="B23" s="69" t="s">
        <v>60</v>
      </c>
      <c r="C23" s="80" t="s">
        <v>142</v>
      </c>
      <c r="D23" s="26">
        <v>990</v>
      </c>
      <c r="E23" s="11">
        <v>1573</v>
      </c>
      <c r="F23" s="11">
        <v>1067</v>
      </c>
      <c r="G23" s="11">
        <v>1808</v>
      </c>
      <c r="H23" s="11">
        <v>1320</v>
      </c>
      <c r="I23" s="11">
        <v>1100</v>
      </c>
      <c r="J23" s="11">
        <v>1815</v>
      </c>
      <c r="K23" s="11">
        <v>1430</v>
      </c>
      <c r="L23" s="11">
        <v>1540</v>
      </c>
      <c r="M23" s="11">
        <v>1270</v>
      </c>
      <c r="N23" s="11">
        <v>1914</v>
      </c>
      <c r="O23" s="11">
        <v>2400</v>
      </c>
      <c r="P23" s="11">
        <v>1276</v>
      </c>
      <c r="Q23" s="11">
        <v>748</v>
      </c>
      <c r="R23" s="11">
        <v>1210</v>
      </c>
      <c r="S23" s="11">
        <v>2048</v>
      </c>
      <c r="T23" s="11">
        <v>2123</v>
      </c>
      <c r="U23" s="11">
        <v>1794</v>
      </c>
      <c r="V23" s="11">
        <v>1088</v>
      </c>
      <c r="W23" s="11">
        <v>1617</v>
      </c>
      <c r="X23" s="11">
        <v>2090</v>
      </c>
      <c r="Y23" s="11">
        <v>2266</v>
      </c>
      <c r="Z23" s="11">
        <v>1914</v>
      </c>
      <c r="AA23" s="11">
        <v>770</v>
      </c>
      <c r="AB23" s="11">
        <v>1134</v>
      </c>
      <c r="AC23" s="11">
        <v>1870</v>
      </c>
      <c r="AD23" s="11">
        <v>1540</v>
      </c>
      <c r="AE23" s="11">
        <v>1950</v>
      </c>
      <c r="AF23" s="23"/>
    </row>
    <row r="24" spans="2:53" s="5" customFormat="1" ht="16.5" customHeight="1">
      <c r="B24" s="69" t="s">
        <v>61</v>
      </c>
      <c r="C24" s="80" t="s">
        <v>137</v>
      </c>
      <c r="D24" s="26">
        <v>66</v>
      </c>
      <c r="E24" s="11">
        <v>181</v>
      </c>
      <c r="F24" s="11">
        <v>165</v>
      </c>
      <c r="G24" s="11">
        <v>220</v>
      </c>
      <c r="H24" s="11">
        <v>176</v>
      </c>
      <c r="I24" s="11">
        <v>110</v>
      </c>
      <c r="J24" s="11">
        <v>236</v>
      </c>
      <c r="K24" s="11">
        <v>165</v>
      </c>
      <c r="L24" s="11">
        <v>176</v>
      </c>
      <c r="M24" s="11">
        <v>198</v>
      </c>
      <c r="N24" s="11">
        <v>220</v>
      </c>
      <c r="O24" s="11">
        <v>220</v>
      </c>
      <c r="P24" s="11">
        <v>236</v>
      </c>
      <c r="Q24" s="11">
        <v>115</v>
      </c>
      <c r="R24" s="11">
        <v>126</v>
      </c>
      <c r="S24" s="11">
        <v>275</v>
      </c>
      <c r="T24" s="11">
        <v>265</v>
      </c>
      <c r="U24" s="11">
        <v>205</v>
      </c>
      <c r="V24" s="11">
        <v>154</v>
      </c>
      <c r="W24" s="11">
        <v>176</v>
      </c>
      <c r="X24" s="11">
        <v>242</v>
      </c>
      <c r="Y24" s="11">
        <v>264</v>
      </c>
      <c r="Z24" s="11">
        <v>220</v>
      </c>
      <c r="AA24" s="11">
        <v>132</v>
      </c>
      <c r="AB24" s="11">
        <v>124</v>
      </c>
      <c r="AC24" s="11">
        <v>100</v>
      </c>
      <c r="AD24" s="11">
        <v>154</v>
      </c>
      <c r="AE24" s="11">
        <v>198</v>
      </c>
      <c r="AF24" s="23"/>
    </row>
    <row r="25" spans="2:53" s="5" customFormat="1" ht="16.5" customHeight="1">
      <c r="B25" s="69" t="s">
        <v>62</v>
      </c>
      <c r="C25" s="80" t="s">
        <v>142</v>
      </c>
      <c r="D25" s="26">
        <v>0</v>
      </c>
      <c r="E25" s="11">
        <v>0</v>
      </c>
      <c r="F25" s="11">
        <v>0</v>
      </c>
      <c r="G25" s="11">
        <v>172</v>
      </c>
      <c r="H25" s="11">
        <v>0</v>
      </c>
      <c r="I25" s="11">
        <v>0</v>
      </c>
      <c r="J25" s="11">
        <v>0</v>
      </c>
      <c r="K25" s="11">
        <v>165</v>
      </c>
      <c r="L25" s="11">
        <v>176</v>
      </c>
      <c r="M25" s="11">
        <v>0</v>
      </c>
      <c r="N25" s="11">
        <v>165</v>
      </c>
      <c r="O25" s="11">
        <v>0</v>
      </c>
      <c r="P25" s="11">
        <v>209</v>
      </c>
      <c r="Q25" s="11">
        <v>0</v>
      </c>
      <c r="R25" s="11">
        <v>88</v>
      </c>
      <c r="S25" s="11">
        <v>0</v>
      </c>
      <c r="T25" s="11">
        <v>110</v>
      </c>
      <c r="U25" s="11">
        <v>176</v>
      </c>
      <c r="V25" s="11">
        <v>0</v>
      </c>
      <c r="W25" s="11">
        <v>0</v>
      </c>
      <c r="X25" s="11">
        <v>0</v>
      </c>
      <c r="Y25" s="11">
        <v>198</v>
      </c>
      <c r="Z25" s="11">
        <v>165</v>
      </c>
      <c r="AA25" s="11">
        <v>0</v>
      </c>
      <c r="AB25" s="11">
        <v>0</v>
      </c>
      <c r="AC25" s="11">
        <v>0</v>
      </c>
      <c r="AD25" s="11">
        <v>165</v>
      </c>
      <c r="AE25" s="11">
        <v>0</v>
      </c>
      <c r="AF25" s="23"/>
      <c r="AG25" s="5" t="s">
        <v>165</v>
      </c>
      <c r="AH25" s="5" t="s">
        <v>166</v>
      </c>
      <c r="AI25" s="5" t="s">
        <v>271</v>
      </c>
    </row>
    <row r="26" spans="2:53" s="5" customFormat="1" ht="16.5" customHeight="1">
      <c r="B26" s="69" t="s">
        <v>114</v>
      </c>
      <c r="C26" s="80" t="s">
        <v>142</v>
      </c>
      <c r="D26" s="26">
        <v>1650</v>
      </c>
      <c r="E26" s="11">
        <v>1573</v>
      </c>
      <c r="F26" s="11">
        <v>1067</v>
      </c>
      <c r="G26" s="11">
        <v>1980</v>
      </c>
      <c r="H26" s="11">
        <v>1320</v>
      </c>
      <c r="I26" s="11">
        <v>2200</v>
      </c>
      <c r="J26" s="11">
        <v>1810</v>
      </c>
      <c r="K26" s="11">
        <v>2420</v>
      </c>
      <c r="L26" s="11">
        <v>1716</v>
      </c>
      <c r="M26" s="11">
        <v>2062</v>
      </c>
      <c r="N26" s="11">
        <v>2079</v>
      </c>
      <c r="O26" s="11">
        <v>2400</v>
      </c>
      <c r="P26" s="11">
        <v>2667</v>
      </c>
      <c r="Q26" s="11">
        <v>1903</v>
      </c>
      <c r="R26" s="11">
        <v>1298</v>
      </c>
      <c r="S26" s="11">
        <v>2598</v>
      </c>
      <c r="T26" s="11">
        <v>2233</v>
      </c>
      <c r="U26" s="11">
        <v>1970</v>
      </c>
      <c r="V26" s="11">
        <v>1858</v>
      </c>
      <c r="W26" s="11">
        <v>1617</v>
      </c>
      <c r="X26" s="11">
        <v>2090</v>
      </c>
      <c r="Y26" s="11">
        <v>2464</v>
      </c>
      <c r="Z26" s="11">
        <v>2079</v>
      </c>
      <c r="AA26" s="11">
        <v>2090</v>
      </c>
      <c r="AB26" s="11">
        <v>2377</v>
      </c>
      <c r="AC26" s="11">
        <v>2090</v>
      </c>
      <c r="AD26" s="11">
        <v>1705</v>
      </c>
      <c r="AE26" s="11">
        <v>1950</v>
      </c>
      <c r="AF26" s="23"/>
      <c r="AG26" s="5">
        <f>MIN(D26:AE26)</f>
        <v>1067</v>
      </c>
      <c r="AH26" s="5">
        <f>MAX(D26:AE26)</f>
        <v>2667</v>
      </c>
      <c r="AI26" s="91">
        <f>AVERAGE(D26:AE26)</f>
        <v>1973.7857142857142</v>
      </c>
    </row>
    <row r="27" spans="2:53" s="5" customFormat="1" ht="16.5" customHeight="1">
      <c r="B27" s="69" t="s">
        <v>115</v>
      </c>
      <c r="C27" s="80" t="s">
        <v>142</v>
      </c>
      <c r="D27" s="26">
        <v>2890</v>
      </c>
      <c r="E27" s="11">
        <v>3388</v>
      </c>
      <c r="F27" s="11">
        <v>2717</v>
      </c>
      <c r="G27" s="11">
        <v>4180</v>
      </c>
      <c r="H27" s="11">
        <v>3080</v>
      </c>
      <c r="I27" s="11">
        <v>4400</v>
      </c>
      <c r="J27" s="11">
        <v>4170</v>
      </c>
      <c r="K27" s="11">
        <v>4070</v>
      </c>
      <c r="L27" s="11">
        <v>3476</v>
      </c>
      <c r="M27" s="11">
        <v>4042</v>
      </c>
      <c r="N27" s="11">
        <v>4279</v>
      </c>
      <c r="O27" s="11">
        <v>4600</v>
      </c>
      <c r="P27" s="11">
        <v>5032</v>
      </c>
      <c r="Q27" s="11">
        <v>3718</v>
      </c>
      <c r="R27" s="11">
        <v>2563</v>
      </c>
      <c r="S27" s="11">
        <v>5348</v>
      </c>
      <c r="T27" s="11">
        <v>4884</v>
      </c>
      <c r="U27" s="11">
        <v>4020</v>
      </c>
      <c r="V27" s="11">
        <v>3398</v>
      </c>
      <c r="W27" s="11">
        <v>3377</v>
      </c>
      <c r="X27" s="11">
        <v>4510</v>
      </c>
      <c r="Y27" s="11">
        <v>5104</v>
      </c>
      <c r="Z27" s="11">
        <v>4279</v>
      </c>
      <c r="AA27" s="11">
        <v>4015</v>
      </c>
      <c r="AB27" s="11">
        <v>5017</v>
      </c>
      <c r="AC27" s="11">
        <v>4070</v>
      </c>
      <c r="AD27" s="11">
        <v>3245</v>
      </c>
      <c r="AE27" s="11">
        <v>3930</v>
      </c>
      <c r="AF27" s="23"/>
      <c r="AG27" s="5">
        <f>MIN(D27:AE27)</f>
        <v>2563</v>
      </c>
      <c r="AH27" s="5">
        <f>MAX(D27:AE27)</f>
        <v>5348</v>
      </c>
      <c r="AI27" s="91">
        <f>AVERAGE(D27:AE27)</f>
        <v>3992.9285714285716</v>
      </c>
    </row>
    <row r="28" spans="2:53" s="5" customFormat="1" ht="29.1" customHeight="1">
      <c r="B28" s="70" t="s">
        <v>63</v>
      </c>
      <c r="C28" s="81"/>
      <c r="D28" s="29" t="s">
        <v>64</v>
      </c>
      <c r="E28" s="20" t="s">
        <v>65</v>
      </c>
      <c r="F28" s="20" t="s">
        <v>155</v>
      </c>
      <c r="G28" s="20" t="s">
        <v>64</v>
      </c>
      <c r="H28" s="20" t="s">
        <v>64</v>
      </c>
      <c r="I28" s="20" t="s">
        <v>155</v>
      </c>
      <c r="J28" s="20" t="s">
        <v>155</v>
      </c>
      <c r="K28" s="20" t="s">
        <v>64</v>
      </c>
      <c r="L28" s="20" t="s">
        <v>65</v>
      </c>
      <c r="M28" s="20" t="s">
        <v>64</v>
      </c>
      <c r="N28" s="20" t="s">
        <v>65</v>
      </c>
      <c r="O28" s="20" t="s">
        <v>64</v>
      </c>
      <c r="P28" s="20" t="s">
        <v>65</v>
      </c>
      <c r="Q28" s="20" t="s">
        <v>65</v>
      </c>
      <c r="R28" s="20" t="s">
        <v>64</v>
      </c>
      <c r="S28" s="20" t="s">
        <v>65</v>
      </c>
      <c r="T28" s="20" t="s">
        <v>65</v>
      </c>
      <c r="U28" s="20" t="s">
        <v>65</v>
      </c>
      <c r="V28" s="20" t="s">
        <v>155</v>
      </c>
      <c r="W28" s="20" t="s">
        <v>64</v>
      </c>
      <c r="X28" s="20" t="s">
        <v>155</v>
      </c>
      <c r="Y28" s="20" t="s">
        <v>65</v>
      </c>
      <c r="Z28" s="20" t="s">
        <v>65</v>
      </c>
      <c r="AA28" s="20" t="s">
        <v>155</v>
      </c>
      <c r="AB28" s="20" t="s">
        <v>155</v>
      </c>
      <c r="AC28" s="20" t="s">
        <v>65</v>
      </c>
      <c r="AD28" s="20" t="s">
        <v>65</v>
      </c>
      <c r="AE28" s="20" t="s">
        <v>65</v>
      </c>
      <c r="AF28" s="60"/>
    </row>
    <row r="29" spans="2:53" s="5" customFormat="1" ht="3" customHeight="1">
      <c r="B29" s="69"/>
      <c r="C29" s="80"/>
      <c r="D29" s="2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3"/>
    </row>
    <row r="30" spans="2:53" s="5" customFormat="1" ht="16.5" customHeight="1">
      <c r="B30" s="65" t="s">
        <v>66</v>
      </c>
      <c r="C30" s="78" t="s">
        <v>28</v>
      </c>
      <c r="D30" s="24">
        <v>145</v>
      </c>
      <c r="E30" s="10">
        <v>7</v>
      </c>
      <c r="F30" s="10">
        <v>30</v>
      </c>
      <c r="G30" s="10">
        <v>21</v>
      </c>
      <c r="H30" s="10">
        <v>12</v>
      </c>
      <c r="I30" s="10">
        <v>28</v>
      </c>
      <c r="J30" s="10">
        <v>16</v>
      </c>
      <c r="K30" s="10">
        <v>7</v>
      </c>
      <c r="L30" s="10">
        <v>6</v>
      </c>
      <c r="M30" s="10">
        <v>7</v>
      </c>
      <c r="N30" s="10">
        <v>7</v>
      </c>
      <c r="O30" s="10">
        <v>6</v>
      </c>
      <c r="P30" s="10">
        <v>4</v>
      </c>
      <c r="Q30" s="10">
        <v>12</v>
      </c>
      <c r="R30" s="10">
        <v>5</v>
      </c>
      <c r="S30" s="10">
        <v>4</v>
      </c>
      <c r="T30" s="10">
        <v>2</v>
      </c>
      <c r="U30" s="10">
        <v>3</v>
      </c>
      <c r="V30" s="10">
        <v>21</v>
      </c>
      <c r="W30" s="10">
        <v>9</v>
      </c>
      <c r="X30" s="10">
        <v>7</v>
      </c>
      <c r="Y30" s="10">
        <v>3</v>
      </c>
      <c r="Z30" s="10">
        <v>0</v>
      </c>
      <c r="AA30" s="10">
        <v>93</v>
      </c>
      <c r="AB30" s="10">
        <v>29</v>
      </c>
      <c r="AC30" s="10">
        <v>7</v>
      </c>
      <c r="AD30" s="10">
        <v>5</v>
      </c>
      <c r="AE30" s="10">
        <v>18</v>
      </c>
      <c r="AF30" s="36">
        <v>514</v>
      </c>
    </row>
    <row r="31" spans="2:53" s="5" customFormat="1" ht="16.5" customHeight="1">
      <c r="B31" s="65" t="s">
        <v>134</v>
      </c>
      <c r="C31" s="78" t="s">
        <v>143</v>
      </c>
      <c r="D31" s="39">
        <v>1637867</v>
      </c>
      <c r="E31" s="36">
        <v>206435</v>
      </c>
      <c r="F31" s="36">
        <v>700871</v>
      </c>
      <c r="G31" s="36">
        <v>416968</v>
      </c>
      <c r="H31" s="36">
        <v>337012</v>
      </c>
      <c r="I31" s="36">
        <v>1779572</v>
      </c>
      <c r="J31" s="10">
        <v>431046</v>
      </c>
      <c r="K31" s="36">
        <v>305478</v>
      </c>
      <c r="L31" s="36">
        <v>144586</v>
      </c>
      <c r="M31" s="36">
        <v>275232</v>
      </c>
      <c r="N31" s="36">
        <v>93144</v>
      </c>
      <c r="O31" s="36">
        <v>560049</v>
      </c>
      <c r="P31" s="36">
        <v>201676</v>
      </c>
      <c r="Q31" s="36">
        <v>252141</v>
      </c>
      <c r="R31" s="36">
        <v>272745</v>
      </c>
      <c r="S31" s="36">
        <v>114493</v>
      </c>
      <c r="T31" s="36">
        <v>70920</v>
      </c>
      <c r="U31" s="36">
        <v>92873</v>
      </c>
      <c r="V31" s="36">
        <v>392061</v>
      </c>
      <c r="W31" s="36">
        <v>436804</v>
      </c>
      <c r="X31" s="36">
        <v>337335</v>
      </c>
      <c r="Y31" s="36">
        <v>194525</v>
      </c>
      <c r="Z31" s="36">
        <v>146955</v>
      </c>
      <c r="AA31" s="36">
        <v>2862464</v>
      </c>
      <c r="AB31" s="36">
        <v>2136272</v>
      </c>
      <c r="AC31" s="36">
        <v>153487</v>
      </c>
      <c r="AD31" s="36">
        <v>170979</v>
      </c>
      <c r="AE31" s="36">
        <v>166187</v>
      </c>
      <c r="AF31" s="49">
        <v>14890177</v>
      </c>
    </row>
    <row r="32" spans="2:53" s="5" customFormat="1" ht="3" customHeight="1">
      <c r="B32" s="65"/>
      <c r="C32" s="78"/>
      <c r="D32" s="39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</row>
    <row r="33" spans="2:35" s="5" customFormat="1" ht="16.5" customHeight="1">
      <c r="B33" s="65" t="s">
        <v>67</v>
      </c>
      <c r="C33" s="78"/>
      <c r="D33" s="39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</row>
    <row r="34" spans="2:35" ht="16.5" customHeight="1">
      <c r="B34" s="67" t="s">
        <v>122</v>
      </c>
      <c r="C34" s="16" t="s">
        <v>137</v>
      </c>
      <c r="D34" s="40">
        <v>220.4</v>
      </c>
      <c r="E34" s="41">
        <v>199.5</v>
      </c>
      <c r="F34" s="41">
        <v>156.4</v>
      </c>
      <c r="G34" s="41">
        <v>243.8</v>
      </c>
      <c r="H34" s="41">
        <v>188.9</v>
      </c>
      <c r="I34" s="41">
        <v>234</v>
      </c>
      <c r="J34" s="41">
        <v>222.8</v>
      </c>
      <c r="K34" s="41">
        <v>219.6</v>
      </c>
      <c r="L34" s="41">
        <v>204</v>
      </c>
      <c r="M34" s="41">
        <v>209.8</v>
      </c>
      <c r="N34" s="41">
        <v>393.7</v>
      </c>
      <c r="O34" s="41">
        <v>253.5</v>
      </c>
      <c r="P34" s="41">
        <v>268.2</v>
      </c>
      <c r="Q34" s="41">
        <v>244.2</v>
      </c>
      <c r="R34" s="41">
        <v>134</v>
      </c>
      <c r="S34" s="41">
        <v>271.10000000000002</v>
      </c>
      <c r="T34" s="41">
        <v>271.60000000000002</v>
      </c>
      <c r="U34" s="41">
        <v>224.6</v>
      </c>
      <c r="V34" s="41">
        <v>180.2</v>
      </c>
      <c r="W34" s="41">
        <v>183.9</v>
      </c>
      <c r="X34" s="41">
        <v>236.2</v>
      </c>
      <c r="Y34" s="41">
        <v>277.8</v>
      </c>
      <c r="Z34" s="41">
        <v>0</v>
      </c>
      <c r="AA34" s="41">
        <v>231.7</v>
      </c>
      <c r="AB34" s="41">
        <v>268</v>
      </c>
      <c r="AC34" s="41">
        <v>201.1</v>
      </c>
      <c r="AD34" s="41">
        <v>192.2</v>
      </c>
      <c r="AE34" s="41">
        <v>215.6</v>
      </c>
      <c r="AF34" s="37">
        <v>222.8</v>
      </c>
    </row>
    <row r="35" spans="2:35" ht="16.5" customHeight="1">
      <c r="B35" s="67" t="s">
        <v>117</v>
      </c>
      <c r="C35" s="16" t="s">
        <v>137</v>
      </c>
      <c r="D35" s="40">
        <v>217.4</v>
      </c>
      <c r="E35" s="41">
        <v>246.5</v>
      </c>
      <c r="F35" s="41">
        <v>274</v>
      </c>
      <c r="G35" s="41">
        <v>324</v>
      </c>
      <c r="H35" s="41">
        <v>208</v>
      </c>
      <c r="I35" s="41">
        <v>296.5</v>
      </c>
      <c r="J35" s="41">
        <v>316.89999999999998</v>
      </c>
      <c r="K35" s="41">
        <v>334.3</v>
      </c>
      <c r="L35" s="41">
        <v>338.1</v>
      </c>
      <c r="M35" s="41">
        <v>243.1</v>
      </c>
      <c r="N35" s="41">
        <v>418.8</v>
      </c>
      <c r="O35" s="41">
        <v>341.9</v>
      </c>
      <c r="P35" s="41">
        <v>331.3</v>
      </c>
      <c r="Q35" s="41">
        <v>211.1</v>
      </c>
      <c r="R35" s="41">
        <v>151</v>
      </c>
      <c r="S35" s="41">
        <v>312.7</v>
      </c>
      <c r="T35" s="41">
        <v>318.8</v>
      </c>
      <c r="U35" s="41">
        <v>210.7</v>
      </c>
      <c r="V35" s="41">
        <v>173.5</v>
      </c>
      <c r="W35" s="41">
        <v>222.5</v>
      </c>
      <c r="X35" s="41">
        <v>572.9</v>
      </c>
      <c r="Y35" s="41">
        <v>524.9</v>
      </c>
      <c r="Z35" s="41">
        <v>0</v>
      </c>
      <c r="AA35" s="41">
        <v>279.5</v>
      </c>
      <c r="AB35" s="41">
        <v>362</v>
      </c>
      <c r="AC35" s="41">
        <v>373.5</v>
      </c>
      <c r="AD35" s="41">
        <v>700.9</v>
      </c>
      <c r="AE35" s="41">
        <v>621.1</v>
      </c>
      <c r="AF35" s="37">
        <v>273</v>
      </c>
    </row>
    <row r="36" spans="2:35" ht="16.5" customHeight="1">
      <c r="B36" s="67" t="s">
        <v>118</v>
      </c>
      <c r="C36" s="16" t="s">
        <v>137</v>
      </c>
      <c r="D36" s="40">
        <v>189.6</v>
      </c>
      <c r="E36" s="41">
        <v>185.8</v>
      </c>
      <c r="F36" s="41">
        <v>186.3</v>
      </c>
      <c r="G36" s="41">
        <v>286</v>
      </c>
      <c r="H36" s="41">
        <v>185.6</v>
      </c>
      <c r="I36" s="41">
        <v>270.7</v>
      </c>
      <c r="J36" s="41">
        <v>275</v>
      </c>
      <c r="K36" s="41">
        <v>227.3</v>
      </c>
      <c r="L36" s="41">
        <v>236.9</v>
      </c>
      <c r="M36" s="41">
        <v>202.4</v>
      </c>
      <c r="N36" s="41">
        <v>354.2</v>
      </c>
      <c r="O36" s="41">
        <v>291.10000000000002</v>
      </c>
      <c r="P36" s="41">
        <v>307</v>
      </c>
      <c r="Q36" s="41">
        <v>191.4</v>
      </c>
      <c r="R36" s="41">
        <v>144.9</v>
      </c>
      <c r="S36" s="41">
        <v>271.5</v>
      </c>
      <c r="T36" s="41">
        <v>297</v>
      </c>
      <c r="U36" s="41">
        <v>180.3</v>
      </c>
      <c r="V36" s="41">
        <v>155.1</v>
      </c>
      <c r="W36" s="41">
        <v>207.4</v>
      </c>
      <c r="X36" s="41">
        <v>394.4</v>
      </c>
      <c r="Y36" s="41">
        <v>412.5</v>
      </c>
      <c r="Z36" s="41">
        <v>0</v>
      </c>
      <c r="AA36" s="41">
        <v>242.3</v>
      </c>
      <c r="AB36" s="41">
        <v>320.7</v>
      </c>
      <c r="AC36" s="41">
        <v>305</v>
      </c>
      <c r="AD36" s="41">
        <v>592.1</v>
      </c>
      <c r="AE36" s="41">
        <v>377</v>
      </c>
      <c r="AF36" s="37">
        <v>233.9</v>
      </c>
    </row>
    <row r="37" spans="2:35" ht="16.5" customHeight="1">
      <c r="B37" s="67" t="s">
        <v>148</v>
      </c>
      <c r="C37" s="16" t="s">
        <v>68</v>
      </c>
      <c r="D37" s="40">
        <v>93.545171050648605</v>
      </c>
      <c r="E37" s="41">
        <v>76.440347456124798</v>
      </c>
      <c r="F37" s="41">
        <v>82.968392993145471</v>
      </c>
      <c r="G37" s="41">
        <v>88.209573488800245</v>
      </c>
      <c r="H37" s="41">
        <v>92.401382995442404</v>
      </c>
      <c r="I37" s="41">
        <v>92.881457476648251</v>
      </c>
      <c r="J37" s="41">
        <v>75.290031774181628</v>
      </c>
      <c r="K37" s="41">
        <v>90.234202386212985</v>
      </c>
      <c r="L37" s="41">
        <v>79.673278879813296</v>
      </c>
      <c r="M37" s="41">
        <v>73.95772166764533</v>
      </c>
      <c r="N37" s="41">
        <v>77.656962469309008</v>
      </c>
      <c r="O37" s="41">
        <v>81.035260167733796</v>
      </c>
      <c r="P37" s="41">
        <v>74.784933736340392</v>
      </c>
      <c r="Q37" s="41">
        <v>91.449106859739985</v>
      </c>
      <c r="R37" s="41">
        <v>79.991911839045599</v>
      </c>
      <c r="S37" s="41">
        <v>78.350515463917532</v>
      </c>
      <c r="T37" s="41">
        <v>80.232558139534888</v>
      </c>
      <c r="U37" s="41">
        <v>60.494362532523851</v>
      </c>
      <c r="V37" s="41">
        <v>87.452987237190953</v>
      </c>
      <c r="W37" s="41">
        <v>96.110555277638824</v>
      </c>
      <c r="X37" s="41">
        <v>81.65300243740306</v>
      </c>
      <c r="Y37" s="41">
        <v>77.189409368635438</v>
      </c>
      <c r="Z37" s="41">
        <v>72</v>
      </c>
      <c r="AA37" s="41">
        <v>92.171197490178017</v>
      </c>
      <c r="AB37" s="41">
        <v>85.921252166377812</v>
      </c>
      <c r="AC37" s="41">
        <v>89.419568822553899</v>
      </c>
      <c r="AD37" s="41">
        <v>87.729196050775741</v>
      </c>
      <c r="AE37" s="41">
        <v>87.019813991103916</v>
      </c>
      <c r="AF37" s="50">
        <v>88.123201330739249</v>
      </c>
    </row>
    <row r="38" spans="2:35" ht="16.5" customHeight="1">
      <c r="B38" s="67" t="s">
        <v>69</v>
      </c>
      <c r="C38" s="16" t="s">
        <v>68</v>
      </c>
      <c r="D38" s="40">
        <v>76.874636790610381</v>
      </c>
      <c r="E38" s="41">
        <v>57.871426654140379</v>
      </c>
      <c r="F38" s="41">
        <v>67.115902964959574</v>
      </c>
      <c r="G38" s="41">
        <v>79.303448275862067</v>
      </c>
      <c r="H38" s="41">
        <v>71.431174826874013</v>
      </c>
      <c r="I38" s="41">
        <v>49.386774011381242</v>
      </c>
      <c r="J38" s="41">
        <v>68.355024822219249</v>
      </c>
      <c r="K38" s="41">
        <v>72.39423304183407</v>
      </c>
      <c r="L38" s="41">
        <v>40.945070760374193</v>
      </c>
      <c r="M38" s="41">
        <v>38.724058416602617</v>
      </c>
      <c r="N38" s="41">
        <v>47.317802949348156</v>
      </c>
      <c r="O38" s="41">
        <v>62.9095491458975</v>
      </c>
      <c r="P38" s="41">
        <v>56.678414096916299</v>
      </c>
      <c r="Q38" s="41">
        <v>55.783365570599607</v>
      </c>
      <c r="R38" s="41">
        <v>53.691639522258413</v>
      </c>
      <c r="S38" s="41">
        <v>48.363636363636367</v>
      </c>
      <c r="T38" s="41">
        <v>45.394736842105267</v>
      </c>
      <c r="U38" s="41">
        <v>54.986204178163192</v>
      </c>
      <c r="V38" s="41">
        <v>81.941074523396878</v>
      </c>
      <c r="W38" s="41">
        <v>67.041786617813841</v>
      </c>
      <c r="X38" s="41">
        <v>47.26176734641529</v>
      </c>
      <c r="Y38" s="41">
        <v>57.774390243902438</v>
      </c>
      <c r="Z38" s="41">
        <v>55.483870967741936</v>
      </c>
      <c r="AA38" s="41">
        <v>66.315658683564749</v>
      </c>
      <c r="AB38" s="41">
        <v>52.13612014854251</v>
      </c>
      <c r="AC38" s="41">
        <v>58.456201214223768</v>
      </c>
      <c r="AD38" s="41">
        <v>84.712291453864481</v>
      </c>
      <c r="AE38" s="41">
        <v>71.211118464592985</v>
      </c>
      <c r="AF38" s="50">
        <v>63.031434643212506</v>
      </c>
    </row>
    <row r="39" spans="2:35" ht="16.5" customHeight="1">
      <c r="B39" s="67" t="s">
        <v>149</v>
      </c>
      <c r="C39" s="16" t="s">
        <v>68</v>
      </c>
      <c r="D39" s="40">
        <v>82.179161069669519</v>
      </c>
      <c r="E39" s="41">
        <v>75.707958663266666</v>
      </c>
      <c r="F39" s="41">
        <v>80.893338467462456</v>
      </c>
      <c r="G39" s="41">
        <v>89.903448275862061</v>
      </c>
      <c r="H39" s="41">
        <v>77.305309196938396</v>
      </c>
      <c r="I39" s="41">
        <v>53.17183359638581</v>
      </c>
      <c r="J39" s="41">
        <v>90.788944049376084</v>
      </c>
      <c r="K39" s="41">
        <v>80.2292602221697</v>
      </c>
      <c r="L39" s="41">
        <v>51.391220916286883</v>
      </c>
      <c r="M39" s="41">
        <v>52.359723289777094</v>
      </c>
      <c r="N39" s="41">
        <v>60.931823039110924</v>
      </c>
      <c r="O39" s="41">
        <v>77.632315877905341</v>
      </c>
      <c r="P39" s="41">
        <v>75.788546255506603</v>
      </c>
      <c r="Q39" s="41">
        <v>60.999355254674406</v>
      </c>
      <c r="R39" s="41">
        <v>67.121335504885991</v>
      </c>
      <c r="S39" s="41">
        <v>61.727272727272734</v>
      </c>
      <c r="T39" s="41">
        <v>56.578947368421048</v>
      </c>
      <c r="U39" s="41">
        <v>90.894757587702017</v>
      </c>
      <c r="V39" s="41">
        <v>93.69728480647025</v>
      </c>
      <c r="W39" s="41">
        <v>69.754863473785221</v>
      </c>
      <c r="X39" s="41">
        <v>57.881236372963961</v>
      </c>
      <c r="Y39" s="41">
        <v>74.847560975609767</v>
      </c>
      <c r="Z39" s="41">
        <v>77.060931899641574</v>
      </c>
      <c r="AA39" s="41">
        <v>71.948353161660407</v>
      </c>
      <c r="AB39" s="41">
        <v>60.678957573367512</v>
      </c>
      <c r="AC39" s="41">
        <v>65.372940156114481</v>
      </c>
      <c r="AD39" s="41">
        <v>96.561116785835893</v>
      </c>
      <c r="AE39" s="41">
        <v>81.833223031105234</v>
      </c>
      <c r="AF39" s="50">
        <v>71.52649210580347</v>
      </c>
    </row>
    <row r="40" spans="2:35" s="5" customFormat="1" ht="16.5" customHeight="1">
      <c r="B40" s="71" t="s">
        <v>70</v>
      </c>
      <c r="C40" s="78" t="s">
        <v>28</v>
      </c>
      <c r="D40" s="24">
        <v>1870</v>
      </c>
      <c r="E40" s="10">
        <v>1871</v>
      </c>
      <c r="F40" s="10">
        <v>1491</v>
      </c>
      <c r="G40" s="10">
        <v>1476</v>
      </c>
      <c r="H40" s="10">
        <v>2371</v>
      </c>
      <c r="I40" s="10">
        <v>3617</v>
      </c>
      <c r="J40" s="10">
        <v>1848</v>
      </c>
      <c r="K40" s="10">
        <v>2293</v>
      </c>
      <c r="L40" s="10">
        <v>1324</v>
      </c>
      <c r="M40" s="10">
        <v>1830</v>
      </c>
      <c r="N40" s="10">
        <v>790</v>
      </c>
      <c r="O40" s="10">
        <v>3593</v>
      </c>
      <c r="P40" s="10">
        <v>4955</v>
      </c>
      <c r="Q40" s="10">
        <v>2119</v>
      </c>
      <c r="R40" s="10">
        <v>2955</v>
      </c>
      <c r="S40" s="10">
        <v>2161</v>
      </c>
      <c r="T40" s="10">
        <v>2286</v>
      </c>
      <c r="U40" s="10">
        <v>1580</v>
      </c>
      <c r="V40" s="10">
        <v>2316</v>
      </c>
      <c r="W40" s="10">
        <v>2102</v>
      </c>
      <c r="X40" s="10">
        <v>1635</v>
      </c>
      <c r="Y40" s="10">
        <v>2091</v>
      </c>
      <c r="Z40" s="42" t="s">
        <v>104</v>
      </c>
      <c r="AA40" s="10">
        <v>2198</v>
      </c>
      <c r="AB40" s="10">
        <v>3162</v>
      </c>
      <c r="AC40" s="10">
        <v>704</v>
      </c>
      <c r="AD40" s="10">
        <v>908</v>
      </c>
      <c r="AE40" s="10">
        <v>303</v>
      </c>
      <c r="AF40" s="36">
        <v>2064</v>
      </c>
    </row>
    <row r="41" spans="2:35" ht="16.5" customHeight="1">
      <c r="B41" s="72" t="s">
        <v>71</v>
      </c>
      <c r="C41" s="16" t="s">
        <v>140</v>
      </c>
      <c r="D41" s="43">
        <v>188.9</v>
      </c>
      <c r="E41" s="42">
        <v>184.1</v>
      </c>
      <c r="F41" s="42">
        <v>164.7</v>
      </c>
      <c r="G41" s="42">
        <v>147.69999999999999</v>
      </c>
      <c r="H41" s="42">
        <v>268.60000000000002</v>
      </c>
      <c r="I41" s="42">
        <v>367.5</v>
      </c>
      <c r="J41" s="42">
        <v>184.1</v>
      </c>
      <c r="K41" s="42">
        <v>221.7</v>
      </c>
      <c r="L41" s="42">
        <v>146.80000000000001</v>
      </c>
      <c r="M41" s="42">
        <v>204.9</v>
      </c>
      <c r="N41" s="42">
        <v>97.7</v>
      </c>
      <c r="O41" s="42">
        <v>337.5</v>
      </c>
      <c r="P41" s="42">
        <v>442.8</v>
      </c>
      <c r="Q41" s="42">
        <v>245.7</v>
      </c>
      <c r="R41" s="42">
        <v>476.2</v>
      </c>
      <c r="S41" s="42">
        <v>192.5</v>
      </c>
      <c r="T41" s="42">
        <v>242</v>
      </c>
      <c r="U41" s="42">
        <v>168.3</v>
      </c>
      <c r="V41" s="42">
        <v>225.6</v>
      </c>
      <c r="W41" s="42">
        <v>233.7</v>
      </c>
      <c r="X41" s="42">
        <v>154.9</v>
      </c>
      <c r="Y41" s="42">
        <v>188.7</v>
      </c>
      <c r="Z41" s="42" t="s">
        <v>104</v>
      </c>
      <c r="AA41" s="42">
        <v>219.7</v>
      </c>
      <c r="AB41" s="42">
        <v>319.7</v>
      </c>
      <c r="AC41" s="42">
        <v>76.400000000000006</v>
      </c>
      <c r="AD41" s="42">
        <v>109.8</v>
      </c>
      <c r="AE41" s="42">
        <v>35.299999999999997</v>
      </c>
      <c r="AF41" s="37">
        <v>212.1</v>
      </c>
    </row>
    <row r="42" spans="2:35" s="5" customFormat="1" ht="16.5" customHeight="1">
      <c r="B42" s="71" t="s">
        <v>72</v>
      </c>
      <c r="C42" s="78" t="s">
        <v>73</v>
      </c>
      <c r="D42" s="24">
        <v>42311</v>
      </c>
      <c r="E42" s="10">
        <v>36801</v>
      </c>
      <c r="F42" s="10">
        <v>27237</v>
      </c>
      <c r="G42" s="10">
        <v>37298</v>
      </c>
      <c r="H42" s="10">
        <v>50801</v>
      </c>
      <c r="I42" s="10">
        <v>88057</v>
      </c>
      <c r="J42" s="10">
        <v>41610</v>
      </c>
      <c r="K42" s="10">
        <v>49551</v>
      </c>
      <c r="L42" s="10">
        <v>31439</v>
      </c>
      <c r="M42" s="10">
        <v>45498</v>
      </c>
      <c r="N42" s="10">
        <v>38782</v>
      </c>
      <c r="O42" s="10">
        <v>87581</v>
      </c>
      <c r="P42" s="10">
        <v>120746</v>
      </c>
      <c r="Q42" s="10">
        <v>63416</v>
      </c>
      <c r="R42" s="10">
        <v>67638</v>
      </c>
      <c r="S42" s="10">
        <v>54882</v>
      </c>
      <c r="T42" s="10">
        <v>66624</v>
      </c>
      <c r="U42" s="10">
        <v>38496</v>
      </c>
      <c r="V42" s="10">
        <v>44347</v>
      </c>
      <c r="W42" s="10">
        <v>49525</v>
      </c>
      <c r="X42" s="10">
        <v>37064</v>
      </c>
      <c r="Y42" s="10">
        <v>54227</v>
      </c>
      <c r="Z42" s="10" t="s">
        <v>104</v>
      </c>
      <c r="AA42" s="10">
        <v>56031</v>
      </c>
      <c r="AB42" s="10">
        <v>85992</v>
      </c>
      <c r="AC42" s="10">
        <v>15617</v>
      </c>
      <c r="AD42" s="10">
        <v>22012</v>
      </c>
      <c r="AE42" s="10">
        <v>7718</v>
      </c>
      <c r="AF42" s="36">
        <v>49217</v>
      </c>
      <c r="AH42" s="89" t="s">
        <v>226</v>
      </c>
    </row>
    <row r="43" spans="2:35" s="5" customFormat="1" ht="16.5" customHeight="1">
      <c r="B43" s="65" t="s">
        <v>74</v>
      </c>
      <c r="C43" s="78" t="s">
        <v>144</v>
      </c>
      <c r="D43" s="24">
        <v>27384</v>
      </c>
      <c r="E43" s="10">
        <v>1289</v>
      </c>
      <c r="F43" s="10">
        <v>4942</v>
      </c>
      <c r="G43" s="10">
        <v>3101</v>
      </c>
      <c r="H43" s="10">
        <v>3223</v>
      </c>
      <c r="I43" s="10">
        <v>10290</v>
      </c>
      <c r="J43" s="10">
        <v>2946</v>
      </c>
      <c r="K43" s="10">
        <v>1552</v>
      </c>
      <c r="L43" s="10">
        <v>881</v>
      </c>
      <c r="M43" s="10">
        <v>1434</v>
      </c>
      <c r="N43" s="10">
        <v>684</v>
      </c>
      <c r="O43" s="10">
        <v>2025</v>
      </c>
      <c r="P43" s="10">
        <v>1771</v>
      </c>
      <c r="Q43" s="10">
        <v>2948</v>
      </c>
      <c r="R43" s="10">
        <v>2381</v>
      </c>
      <c r="S43" s="10">
        <v>770</v>
      </c>
      <c r="T43" s="10">
        <v>484</v>
      </c>
      <c r="U43" s="10">
        <v>505</v>
      </c>
      <c r="V43" s="10">
        <v>4737</v>
      </c>
      <c r="W43" s="10">
        <v>2103</v>
      </c>
      <c r="X43" s="10">
        <v>1084</v>
      </c>
      <c r="Y43" s="10">
        <v>566</v>
      </c>
      <c r="Z43" s="10">
        <v>473</v>
      </c>
      <c r="AA43" s="10">
        <v>20432</v>
      </c>
      <c r="AB43" s="10">
        <v>9270</v>
      </c>
      <c r="AC43" s="10">
        <v>535</v>
      </c>
      <c r="AD43" s="10">
        <v>549</v>
      </c>
      <c r="AE43" s="10">
        <v>636</v>
      </c>
      <c r="AF43" s="36">
        <v>108995</v>
      </c>
      <c r="AH43" s="83" t="s">
        <v>158</v>
      </c>
      <c r="AI43" s="83">
        <f>AF59</f>
        <v>131086</v>
      </c>
    </row>
    <row r="44" spans="2:35" ht="16.5" customHeight="1">
      <c r="B44" s="67" t="s">
        <v>75</v>
      </c>
      <c r="C44" s="16" t="s">
        <v>68</v>
      </c>
      <c r="D44" s="40">
        <v>92.975248701320751</v>
      </c>
      <c r="E44" s="41">
        <v>81.893265565438384</v>
      </c>
      <c r="F44" s="41">
        <v>77.67997485067589</v>
      </c>
      <c r="G44" s="41">
        <v>73.886109125565881</v>
      </c>
      <c r="H44" s="41">
        <v>75.093196644920781</v>
      </c>
      <c r="I44" s="41">
        <v>82.65724154550567</v>
      </c>
      <c r="J44" s="41">
        <v>79.214842699650447</v>
      </c>
      <c r="K44" s="41">
        <v>69.409660107334531</v>
      </c>
      <c r="L44" s="41">
        <v>70.706260032102733</v>
      </c>
      <c r="M44" s="41">
        <v>77.977161500815669</v>
      </c>
      <c r="N44" s="41">
        <v>84.653465346534645</v>
      </c>
      <c r="O44" s="41">
        <v>61.737804878048784</v>
      </c>
      <c r="P44" s="41">
        <v>75.425894378194201</v>
      </c>
      <c r="Q44" s="41">
        <v>93.35022165927802</v>
      </c>
      <c r="R44" s="41">
        <v>82.44459833795014</v>
      </c>
      <c r="S44" s="41">
        <v>79.299691040164774</v>
      </c>
      <c r="T44" s="41">
        <v>78.827361563517911</v>
      </c>
      <c r="U44" s="41">
        <v>99.214145383104125</v>
      </c>
      <c r="V44" s="41">
        <v>91.500869229283367</v>
      </c>
      <c r="W44" s="41">
        <v>74.973262032085557</v>
      </c>
      <c r="X44" s="41">
        <v>80.594795539033456</v>
      </c>
      <c r="Y44" s="41">
        <v>68.192771084337352</v>
      </c>
      <c r="Z44" s="41">
        <v>83.716814159292028</v>
      </c>
      <c r="AA44" s="41">
        <v>87.402147409847288</v>
      </c>
      <c r="AB44" s="41">
        <v>80.044901131163115</v>
      </c>
      <c r="AC44" s="41">
        <v>54.369918699186989</v>
      </c>
      <c r="AD44" s="41">
        <v>60.46255506607929</v>
      </c>
      <c r="AE44" s="41">
        <v>40.483768300445576</v>
      </c>
      <c r="AF44" s="37">
        <v>83.147704560364957</v>
      </c>
      <c r="AH44" s="82" t="s">
        <v>159</v>
      </c>
      <c r="AI44" s="84">
        <f>AF55</f>
        <v>112824</v>
      </c>
    </row>
    <row r="45" spans="2:35" s="5" customFormat="1" ht="16.5" customHeight="1">
      <c r="B45" s="65" t="s">
        <v>76</v>
      </c>
      <c r="C45" s="78" t="s">
        <v>144</v>
      </c>
      <c r="D45" s="24">
        <v>23567</v>
      </c>
      <c r="E45" s="10">
        <v>1011</v>
      </c>
      <c r="F45" s="10" t="s">
        <v>104</v>
      </c>
      <c r="G45" s="10">
        <v>2168</v>
      </c>
      <c r="H45" s="10">
        <v>2263</v>
      </c>
      <c r="I45" s="10" t="s">
        <v>104</v>
      </c>
      <c r="J45" s="10" t="s">
        <v>104</v>
      </c>
      <c r="K45" s="10">
        <v>1180</v>
      </c>
      <c r="L45" s="10">
        <v>719</v>
      </c>
      <c r="M45" s="10">
        <v>933</v>
      </c>
      <c r="N45" s="10">
        <v>366</v>
      </c>
      <c r="O45" s="10">
        <v>1527</v>
      </c>
      <c r="P45" s="10">
        <v>1164</v>
      </c>
      <c r="Q45" s="10">
        <v>2013</v>
      </c>
      <c r="R45" s="10">
        <v>1077</v>
      </c>
      <c r="S45" s="10">
        <v>534</v>
      </c>
      <c r="T45" s="10">
        <v>323</v>
      </c>
      <c r="U45" s="10">
        <v>306</v>
      </c>
      <c r="V45" s="10" t="s">
        <v>104</v>
      </c>
      <c r="W45" s="10">
        <v>2037</v>
      </c>
      <c r="X45" s="10" t="s">
        <v>104</v>
      </c>
      <c r="Y45" s="10">
        <v>404</v>
      </c>
      <c r="Z45" s="10">
        <v>296</v>
      </c>
      <c r="AA45" s="10" t="s">
        <v>104</v>
      </c>
      <c r="AB45" s="10" t="s">
        <v>104</v>
      </c>
      <c r="AC45" s="10">
        <v>350</v>
      </c>
      <c r="AD45" s="10">
        <v>354</v>
      </c>
      <c r="AE45" s="10">
        <v>612</v>
      </c>
      <c r="AF45" s="36">
        <v>43204</v>
      </c>
      <c r="AH45" s="83" t="s">
        <v>160</v>
      </c>
      <c r="AI45" s="83">
        <f>AF43</f>
        <v>108995</v>
      </c>
    </row>
    <row r="46" spans="2:35" ht="16.5" customHeight="1">
      <c r="B46" s="67" t="s">
        <v>77</v>
      </c>
      <c r="C46" s="16" t="s">
        <v>68</v>
      </c>
      <c r="D46" s="40">
        <v>80.015618103419001</v>
      </c>
      <c r="E46" s="41">
        <v>64.231257941550197</v>
      </c>
      <c r="F46" s="41" t="s">
        <v>104</v>
      </c>
      <c r="G46" s="41">
        <v>51.655944722420777</v>
      </c>
      <c r="H46" s="41">
        <v>52.7260018639329</v>
      </c>
      <c r="I46" s="41" t="s">
        <v>104</v>
      </c>
      <c r="J46" s="41" t="s">
        <v>104</v>
      </c>
      <c r="K46" s="41">
        <v>52.772808586762075</v>
      </c>
      <c r="L46" s="41">
        <v>57.704654895666131</v>
      </c>
      <c r="M46" s="41">
        <v>50.734094616639482</v>
      </c>
      <c r="N46" s="41">
        <v>45.297029702970299</v>
      </c>
      <c r="O46" s="41">
        <v>46.554878048780488</v>
      </c>
      <c r="P46" s="41">
        <v>49.574105621805792</v>
      </c>
      <c r="Q46" s="41">
        <v>63.742875237492079</v>
      </c>
      <c r="R46" s="41">
        <v>37.292243767313025</v>
      </c>
      <c r="S46" s="41">
        <v>54.994850669412976</v>
      </c>
      <c r="T46" s="41">
        <v>52.605863192182412</v>
      </c>
      <c r="U46" s="41">
        <v>60.117878192534377</v>
      </c>
      <c r="V46" s="41" t="s">
        <v>104</v>
      </c>
      <c r="W46" s="41">
        <v>72.620320855614978</v>
      </c>
      <c r="X46" s="41" t="s">
        <v>104</v>
      </c>
      <c r="Y46" s="41">
        <v>48.674698795180724</v>
      </c>
      <c r="Z46" s="41">
        <v>52.389380530973447</v>
      </c>
      <c r="AA46" s="41" t="s">
        <v>104</v>
      </c>
      <c r="AB46" s="41" t="s">
        <v>104</v>
      </c>
      <c r="AC46" s="41">
        <v>35.569105691056912</v>
      </c>
      <c r="AD46" s="41">
        <v>38.986784140969164</v>
      </c>
      <c r="AE46" s="41">
        <v>38.956078930617444</v>
      </c>
      <c r="AF46" s="37">
        <v>32.958515783531425</v>
      </c>
      <c r="AH46" s="82" t="s">
        <v>161</v>
      </c>
      <c r="AI46" s="84">
        <f>AF53</f>
        <v>3829</v>
      </c>
    </row>
    <row r="47" spans="2:35" s="5" customFormat="1" ht="16.5" customHeight="1">
      <c r="B47" s="65" t="s">
        <v>78</v>
      </c>
      <c r="C47" s="78" t="s">
        <v>145</v>
      </c>
      <c r="D47" s="24">
        <v>3705</v>
      </c>
      <c r="E47" s="10">
        <v>165</v>
      </c>
      <c r="F47" s="10" t="s">
        <v>104</v>
      </c>
      <c r="G47" s="10">
        <v>722</v>
      </c>
      <c r="H47" s="10">
        <v>402</v>
      </c>
      <c r="I47" s="10" t="s">
        <v>104</v>
      </c>
      <c r="J47" s="10" t="s">
        <v>104</v>
      </c>
      <c r="K47" s="10">
        <v>312</v>
      </c>
      <c r="L47" s="10">
        <v>159</v>
      </c>
      <c r="M47" s="10">
        <v>437</v>
      </c>
      <c r="N47" s="10">
        <v>136</v>
      </c>
      <c r="O47" s="10">
        <v>233</v>
      </c>
      <c r="P47" s="10">
        <v>514</v>
      </c>
      <c r="Q47" s="10">
        <v>930</v>
      </c>
      <c r="R47" s="10">
        <v>230</v>
      </c>
      <c r="S47" s="10">
        <v>236</v>
      </c>
      <c r="T47" s="10">
        <v>161</v>
      </c>
      <c r="U47" s="10">
        <v>124</v>
      </c>
      <c r="V47" s="10" t="s">
        <v>104</v>
      </c>
      <c r="W47" s="10">
        <v>0</v>
      </c>
      <c r="X47" s="10" t="s">
        <v>104</v>
      </c>
      <c r="Y47" s="10">
        <v>42</v>
      </c>
      <c r="Z47" s="10">
        <v>177</v>
      </c>
      <c r="AA47" s="10" t="s">
        <v>104</v>
      </c>
      <c r="AB47" s="10" t="s">
        <v>104</v>
      </c>
      <c r="AC47" s="10">
        <v>184</v>
      </c>
      <c r="AD47" s="10">
        <v>191</v>
      </c>
      <c r="AE47" s="10">
        <v>0</v>
      </c>
      <c r="AF47" s="36">
        <v>9060</v>
      </c>
      <c r="AH47" s="83" t="s">
        <v>162</v>
      </c>
      <c r="AI47" s="83">
        <f>AF57</f>
        <v>18262</v>
      </c>
    </row>
    <row r="48" spans="2:35" ht="16.5" customHeight="1">
      <c r="B48" s="67" t="s">
        <v>79</v>
      </c>
      <c r="C48" s="16" t="s">
        <v>80</v>
      </c>
      <c r="D48" s="40">
        <v>12.579363732047669</v>
      </c>
      <c r="E48" s="41">
        <v>10.48284625158831</v>
      </c>
      <c r="F48" s="41" t="s">
        <v>104</v>
      </c>
      <c r="G48" s="41">
        <v>17.202763878961164</v>
      </c>
      <c r="H48" s="41">
        <v>9.3662628145386773</v>
      </c>
      <c r="I48" s="41" t="s">
        <v>104</v>
      </c>
      <c r="J48" s="41" t="s">
        <v>104</v>
      </c>
      <c r="K48" s="41">
        <v>13.953488372093023</v>
      </c>
      <c r="L48" s="41">
        <v>12.76083467094703</v>
      </c>
      <c r="M48" s="41">
        <v>23.762914627514952</v>
      </c>
      <c r="N48" s="41">
        <v>16.831683168316832</v>
      </c>
      <c r="O48" s="41">
        <v>7.1036585365853648</v>
      </c>
      <c r="P48" s="41">
        <v>21.890971039182283</v>
      </c>
      <c r="Q48" s="41">
        <v>29.449018366054464</v>
      </c>
      <c r="R48" s="41">
        <v>7.9639889196675906</v>
      </c>
      <c r="S48" s="44">
        <v>24.304840370751801</v>
      </c>
      <c r="T48" s="41">
        <v>26.221498371335507</v>
      </c>
      <c r="U48" s="41">
        <v>24.361493123772103</v>
      </c>
      <c r="V48" s="41" t="s">
        <v>104</v>
      </c>
      <c r="W48" s="41">
        <v>0</v>
      </c>
      <c r="X48" s="41" t="s">
        <v>104</v>
      </c>
      <c r="Y48" s="41">
        <v>5.0602409638554215</v>
      </c>
      <c r="Z48" s="41">
        <v>31.327433628318584</v>
      </c>
      <c r="AA48" s="41" t="s">
        <v>104</v>
      </c>
      <c r="AB48" s="41" t="s">
        <v>104</v>
      </c>
      <c r="AC48" s="41">
        <v>18.699186991869919</v>
      </c>
      <c r="AD48" s="41">
        <v>21.035242290748897</v>
      </c>
      <c r="AE48" s="41">
        <v>0</v>
      </c>
      <c r="AF48" s="37">
        <v>6.9114932181926365</v>
      </c>
      <c r="AH48" s="82" t="s">
        <v>163</v>
      </c>
      <c r="AI48" s="85">
        <f>AF56</f>
        <v>86.068687731718114</v>
      </c>
    </row>
    <row r="49" spans="2:35" s="5" customFormat="1" ht="16.5" customHeight="1">
      <c r="B49" s="65" t="s">
        <v>81</v>
      </c>
      <c r="C49" s="78" t="s">
        <v>145</v>
      </c>
      <c r="D49" s="24">
        <v>92</v>
      </c>
      <c r="E49" s="10">
        <v>4</v>
      </c>
      <c r="F49" s="10" t="s">
        <v>104</v>
      </c>
      <c r="G49" s="10">
        <v>203</v>
      </c>
      <c r="H49" s="10">
        <v>2</v>
      </c>
      <c r="I49" s="10" t="s">
        <v>104</v>
      </c>
      <c r="J49" s="10" t="s">
        <v>104</v>
      </c>
      <c r="K49" s="10">
        <v>60</v>
      </c>
      <c r="L49" s="10">
        <v>0</v>
      </c>
      <c r="M49" s="10">
        <v>0</v>
      </c>
      <c r="N49" s="10">
        <v>182</v>
      </c>
      <c r="O49" s="10">
        <v>265</v>
      </c>
      <c r="P49" s="10">
        <v>83</v>
      </c>
      <c r="Q49" s="10">
        <v>0</v>
      </c>
      <c r="R49" s="10">
        <v>917</v>
      </c>
      <c r="S49" s="10">
        <v>0</v>
      </c>
      <c r="T49" s="10">
        <v>0</v>
      </c>
      <c r="U49" s="10">
        <v>74</v>
      </c>
      <c r="V49" s="10" t="s">
        <v>104</v>
      </c>
      <c r="W49" s="10">
        <v>0</v>
      </c>
      <c r="X49" s="10" t="s">
        <v>104</v>
      </c>
      <c r="Y49" s="10">
        <v>31</v>
      </c>
      <c r="Z49" s="10">
        <v>0</v>
      </c>
      <c r="AA49" s="10" t="s">
        <v>104</v>
      </c>
      <c r="AB49" s="10" t="s">
        <v>104</v>
      </c>
      <c r="AC49" s="10">
        <v>1</v>
      </c>
      <c r="AD49" s="10">
        <v>0</v>
      </c>
      <c r="AE49" s="10">
        <v>24</v>
      </c>
      <c r="AF49" s="36">
        <v>1938</v>
      </c>
      <c r="AH49" s="83" t="s">
        <v>164</v>
      </c>
      <c r="AI49" s="86">
        <f>AF44</f>
        <v>83.147704560364957</v>
      </c>
    </row>
    <row r="50" spans="2:35" ht="16.5" customHeight="1">
      <c r="B50" s="67" t="s">
        <v>82</v>
      </c>
      <c r="C50" s="16" t="s">
        <v>80</v>
      </c>
      <c r="D50" s="40">
        <v>0.31236206838013103</v>
      </c>
      <c r="E50" s="41">
        <v>0.25412960609911056</v>
      </c>
      <c r="F50" s="41" t="s">
        <v>104</v>
      </c>
      <c r="G50" s="41">
        <v>4.8367881820347867</v>
      </c>
      <c r="H50" s="41">
        <v>4.6598322460391424E-2</v>
      </c>
      <c r="I50" s="41" t="s">
        <v>104</v>
      </c>
      <c r="J50" s="41" t="s">
        <v>104</v>
      </c>
      <c r="K50" s="41">
        <v>2.6833631484794274</v>
      </c>
      <c r="L50" s="41">
        <v>0</v>
      </c>
      <c r="M50" s="41">
        <v>0</v>
      </c>
      <c r="N50" s="41">
        <v>22.524752475247524</v>
      </c>
      <c r="O50" s="41">
        <v>8.0792682926829276</v>
      </c>
      <c r="P50" s="41">
        <v>3.5349233390119252</v>
      </c>
      <c r="Q50" s="41">
        <v>0</v>
      </c>
      <c r="R50" s="41">
        <v>31.752077562326868</v>
      </c>
      <c r="S50" s="41">
        <v>0</v>
      </c>
      <c r="T50" s="41">
        <v>0</v>
      </c>
      <c r="U50" s="41">
        <v>14.538310412573674</v>
      </c>
      <c r="V50" s="41" t="s">
        <v>104</v>
      </c>
      <c r="W50" s="41">
        <v>0</v>
      </c>
      <c r="X50" s="41" t="s">
        <v>104</v>
      </c>
      <c r="Y50" s="41">
        <v>3.7349397590361448</v>
      </c>
      <c r="Z50" s="41">
        <v>0</v>
      </c>
      <c r="AA50" s="41" t="s">
        <v>104</v>
      </c>
      <c r="AB50" s="41" t="s">
        <v>104</v>
      </c>
      <c r="AC50" s="41">
        <v>0.10162601626016261</v>
      </c>
      <c r="AD50" s="41">
        <v>0</v>
      </c>
      <c r="AE50" s="41">
        <v>1.5276893698281349</v>
      </c>
      <c r="AF50" s="37">
        <v>1.478418747997498</v>
      </c>
    </row>
    <row r="51" spans="2:35" s="5" customFormat="1" ht="16.5" customHeight="1">
      <c r="B51" s="65" t="s">
        <v>83</v>
      </c>
      <c r="C51" s="78" t="s">
        <v>145</v>
      </c>
      <c r="D51" s="24">
        <v>20</v>
      </c>
      <c r="E51" s="10">
        <v>109</v>
      </c>
      <c r="F51" s="10" t="s">
        <v>104</v>
      </c>
      <c r="G51" s="10">
        <v>8</v>
      </c>
      <c r="H51" s="10">
        <v>556</v>
      </c>
      <c r="I51" s="10" t="s">
        <v>104</v>
      </c>
      <c r="J51" s="10" t="s">
        <v>104</v>
      </c>
      <c r="K51" s="10">
        <v>0</v>
      </c>
      <c r="L51" s="10">
        <v>3</v>
      </c>
      <c r="M51" s="10">
        <v>64</v>
      </c>
      <c r="N51" s="10">
        <v>0</v>
      </c>
      <c r="O51" s="10">
        <v>0</v>
      </c>
      <c r="P51" s="10">
        <v>10</v>
      </c>
      <c r="Q51" s="10">
        <v>5</v>
      </c>
      <c r="R51" s="10">
        <v>157</v>
      </c>
      <c r="S51" s="10">
        <v>0</v>
      </c>
      <c r="T51" s="10">
        <v>0</v>
      </c>
      <c r="U51" s="10">
        <v>1</v>
      </c>
      <c r="V51" s="10" t="s">
        <v>104</v>
      </c>
      <c r="W51" s="10">
        <v>66</v>
      </c>
      <c r="X51" s="10" t="s">
        <v>104</v>
      </c>
      <c r="Y51" s="10">
        <v>89</v>
      </c>
      <c r="Z51" s="10">
        <v>0</v>
      </c>
      <c r="AA51" s="10" t="s">
        <v>104</v>
      </c>
      <c r="AB51" s="10" t="s">
        <v>104</v>
      </c>
      <c r="AC51" s="10">
        <v>0</v>
      </c>
      <c r="AD51" s="10">
        <v>4</v>
      </c>
      <c r="AE51" s="10">
        <v>0</v>
      </c>
      <c r="AF51" s="36">
        <v>1092</v>
      </c>
    </row>
    <row r="52" spans="2:35" ht="16.5" customHeight="1">
      <c r="B52" s="67" t="s">
        <v>84</v>
      </c>
      <c r="C52" s="16" t="s">
        <v>80</v>
      </c>
      <c r="D52" s="40">
        <v>6.7904797473941542E-2</v>
      </c>
      <c r="E52" s="41">
        <v>6.9250317662007621</v>
      </c>
      <c r="F52" s="41" t="s">
        <v>104</v>
      </c>
      <c r="G52" s="41">
        <v>0.19061234214915415</v>
      </c>
      <c r="H52" s="41">
        <v>12.954333643988816</v>
      </c>
      <c r="I52" s="41" t="s">
        <v>104</v>
      </c>
      <c r="J52" s="41" t="s">
        <v>104</v>
      </c>
      <c r="K52" s="41">
        <v>0</v>
      </c>
      <c r="L52" s="41">
        <v>0.2407704654895666</v>
      </c>
      <c r="M52" s="41">
        <v>3.4801522566612286</v>
      </c>
      <c r="N52" s="41">
        <v>0</v>
      </c>
      <c r="O52" s="41">
        <v>0</v>
      </c>
      <c r="P52" s="41">
        <v>0.42589437819420783</v>
      </c>
      <c r="Q52" s="41">
        <v>0.15832805573147563</v>
      </c>
      <c r="R52" s="41">
        <v>5.4362880886426597</v>
      </c>
      <c r="S52" s="41">
        <v>0</v>
      </c>
      <c r="T52" s="41">
        <v>0</v>
      </c>
      <c r="U52" s="41">
        <v>0.19646365422396855</v>
      </c>
      <c r="V52" s="41" t="s">
        <v>104</v>
      </c>
      <c r="W52" s="41">
        <v>2.3529411764705883</v>
      </c>
      <c r="X52" s="41" t="s">
        <v>104</v>
      </c>
      <c r="Y52" s="41">
        <v>10.72289156626506</v>
      </c>
      <c r="Z52" s="41">
        <v>0</v>
      </c>
      <c r="AA52" s="41" t="s">
        <v>104</v>
      </c>
      <c r="AB52" s="41" t="s">
        <v>104</v>
      </c>
      <c r="AC52" s="41">
        <v>0</v>
      </c>
      <c r="AD52" s="41">
        <v>0.44052863436123352</v>
      </c>
      <c r="AE52" s="41">
        <v>0</v>
      </c>
      <c r="AF52" s="37">
        <v>0.83304090444441048</v>
      </c>
      <c r="AH52" s="90" t="s">
        <v>225</v>
      </c>
    </row>
    <row r="53" spans="2:35" s="5" customFormat="1" ht="16.5" customHeight="1">
      <c r="B53" s="65" t="s">
        <v>85</v>
      </c>
      <c r="C53" s="78" t="s">
        <v>145</v>
      </c>
      <c r="D53" s="24">
        <v>551</v>
      </c>
      <c r="E53" s="10">
        <v>29</v>
      </c>
      <c r="F53" s="10">
        <v>99</v>
      </c>
      <c r="G53" s="10">
        <v>144</v>
      </c>
      <c r="H53" s="10">
        <v>13</v>
      </c>
      <c r="I53" s="10">
        <v>277</v>
      </c>
      <c r="J53" s="10">
        <v>136</v>
      </c>
      <c r="K53" s="10">
        <v>8</v>
      </c>
      <c r="L53" s="10">
        <v>79</v>
      </c>
      <c r="M53" s="10">
        <v>29</v>
      </c>
      <c r="N53" s="10">
        <v>25</v>
      </c>
      <c r="O53" s="10">
        <v>86</v>
      </c>
      <c r="P53" s="10">
        <v>97</v>
      </c>
      <c r="Q53" s="10">
        <v>14</v>
      </c>
      <c r="R53" s="10">
        <v>0</v>
      </c>
      <c r="S53" s="10">
        <v>14</v>
      </c>
      <c r="T53" s="10">
        <v>2</v>
      </c>
      <c r="U53" s="10">
        <v>0</v>
      </c>
      <c r="V53" s="10">
        <v>101</v>
      </c>
      <c r="W53" s="10">
        <v>653</v>
      </c>
      <c r="X53" s="10">
        <v>258</v>
      </c>
      <c r="Y53" s="10">
        <v>57</v>
      </c>
      <c r="Z53" s="10">
        <v>6</v>
      </c>
      <c r="AA53" s="10">
        <v>711</v>
      </c>
      <c r="AB53" s="10">
        <v>390</v>
      </c>
      <c r="AC53" s="10">
        <v>1</v>
      </c>
      <c r="AD53" s="10">
        <v>1</v>
      </c>
      <c r="AE53" s="10">
        <v>48</v>
      </c>
      <c r="AF53" s="36">
        <v>3829</v>
      </c>
      <c r="AH53" s="88" t="s">
        <v>227</v>
      </c>
      <c r="AI53" s="83">
        <f>AF60</f>
        <v>407593</v>
      </c>
    </row>
    <row r="54" spans="2:35" ht="16.5" customHeight="1">
      <c r="B54" s="67" t="s">
        <v>86</v>
      </c>
      <c r="C54" s="16" t="s">
        <v>80</v>
      </c>
      <c r="D54" s="40">
        <v>1.8707771704070892</v>
      </c>
      <c r="E54" s="41">
        <v>1.8424396442185513</v>
      </c>
      <c r="F54" s="41">
        <v>1.5561144294247093</v>
      </c>
      <c r="G54" s="41">
        <v>3.4310221586847747</v>
      </c>
      <c r="H54" s="41">
        <v>0.30288909599254427</v>
      </c>
      <c r="I54" s="41">
        <v>2.2250783195437385</v>
      </c>
      <c r="J54" s="41">
        <v>3.6568970153267011</v>
      </c>
      <c r="K54" s="41">
        <v>0.35778175313059035</v>
      </c>
      <c r="L54" s="41">
        <v>6.3402889245585872</v>
      </c>
      <c r="M54" s="41">
        <v>1.5769439912996193</v>
      </c>
      <c r="N54" s="41">
        <v>3.0940594059405941</v>
      </c>
      <c r="O54" s="41">
        <v>2.6219512195121952</v>
      </c>
      <c r="P54" s="41">
        <v>4.131175468483816</v>
      </c>
      <c r="Q54" s="41">
        <v>0.44331855604813175</v>
      </c>
      <c r="R54" s="41">
        <v>0</v>
      </c>
      <c r="S54" s="41">
        <v>1.4418125643666324</v>
      </c>
      <c r="T54" s="41">
        <v>0.32573289902280134</v>
      </c>
      <c r="U54" s="41">
        <v>0</v>
      </c>
      <c r="V54" s="41">
        <v>1.9509368360054087</v>
      </c>
      <c r="W54" s="41">
        <v>23.279857397504454</v>
      </c>
      <c r="X54" s="41">
        <v>19.182156133828997</v>
      </c>
      <c r="Y54" s="41">
        <v>6.8674698795180715</v>
      </c>
      <c r="Z54" s="41">
        <v>1.0619469026548671</v>
      </c>
      <c r="AA54" s="41">
        <v>3.0414509988450185</v>
      </c>
      <c r="AB54" s="41">
        <v>3.3675848372333999</v>
      </c>
      <c r="AC54" s="41">
        <v>0.10162601626016261</v>
      </c>
      <c r="AD54" s="41">
        <v>0.11013215859030838</v>
      </c>
      <c r="AE54" s="41">
        <v>3.0553787396562697</v>
      </c>
      <c r="AF54" s="37">
        <v>2.9209831713531575</v>
      </c>
      <c r="AH54" s="88" t="s">
        <v>228</v>
      </c>
      <c r="AI54" s="83">
        <f t="shared" ref="AI54:AI56" si="3">AF61</f>
        <v>359184</v>
      </c>
    </row>
    <row r="55" spans="2:35" s="5" customFormat="1" ht="16.5" customHeight="1">
      <c r="B55" s="65" t="s">
        <v>87</v>
      </c>
      <c r="C55" s="78" t="s">
        <v>145</v>
      </c>
      <c r="D55" s="24">
        <v>27935</v>
      </c>
      <c r="E55" s="10">
        <v>1318</v>
      </c>
      <c r="F55" s="10">
        <v>5041</v>
      </c>
      <c r="G55" s="10">
        <v>3245</v>
      </c>
      <c r="H55" s="10">
        <v>3236</v>
      </c>
      <c r="I55" s="10">
        <v>10567</v>
      </c>
      <c r="J55" s="10">
        <v>3082</v>
      </c>
      <c r="K55" s="10">
        <v>1560</v>
      </c>
      <c r="L55" s="10">
        <v>960</v>
      </c>
      <c r="M55" s="10">
        <v>1463</v>
      </c>
      <c r="N55" s="10">
        <v>709</v>
      </c>
      <c r="O55" s="10">
        <v>2111</v>
      </c>
      <c r="P55" s="10">
        <v>1868</v>
      </c>
      <c r="Q55" s="10">
        <v>2962</v>
      </c>
      <c r="R55" s="10">
        <v>2381</v>
      </c>
      <c r="S55" s="10">
        <v>784</v>
      </c>
      <c r="T55" s="10">
        <v>486</v>
      </c>
      <c r="U55" s="10">
        <v>505</v>
      </c>
      <c r="V55" s="10">
        <v>4838</v>
      </c>
      <c r="W55" s="10">
        <v>2756</v>
      </c>
      <c r="X55" s="10">
        <v>1342</v>
      </c>
      <c r="Y55" s="10">
        <v>623</v>
      </c>
      <c r="Z55" s="10">
        <v>479</v>
      </c>
      <c r="AA55" s="10">
        <v>21143</v>
      </c>
      <c r="AB55" s="10">
        <v>9660</v>
      </c>
      <c r="AC55" s="10">
        <v>536</v>
      </c>
      <c r="AD55" s="10">
        <v>550</v>
      </c>
      <c r="AE55" s="10">
        <v>684</v>
      </c>
      <c r="AF55" s="36">
        <v>112824</v>
      </c>
      <c r="AH55" s="88" t="s">
        <v>229</v>
      </c>
      <c r="AI55" s="86">
        <f t="shared" si="3"/>
        <v>384.25743050298428</v>
      </c>
    </row>
    <row r="56" spans="2:35" ht="16.5" customHeight="1">
      <c r="B56" s="67" t="s">
        <v>88</v>
      </c>
      <c r="C56" s="16" t="s">
        <v>80</v>
      </c>
      <c r="D56" s="40">
        <v>94.846025871727832</v>
      </c>
      <c r="E56" s="41">
        <v>83.735705209656928</v>
      </c>
      <c r="F56" s="41">
        <v>79.2360892801006</v>
      </c>
      <c r="G56" s="41">
        <v>77.31713128425065</v>
      </c>
      <c r="H56" s="41">
        <v>75.396085740913335</v>
      </c>
      <c r="I56" s="41">
        <v>84.882319865049411</v>
      </c>
      <c r="J56" s="44">
        <v>82.871739714977139</v>
      </c>
      <c r="K56" s="41">
        <v>69.767441860465112</v>
      </c>
      <c r="L56" s="41">
        <v>77.046548956661326</v>
      </c>
      <c r="M56" s="41">
        <v>79.554105492115283</v>
      </c>
      <c r="N56" s="41">
        <v>87.747524752475243</v>
      </c>
      <c r="O56" s="41">
        <v>64.359756097560975</v>
      </c>
      <c r="P56" s="41">
        <v>79.557069846678019</v>
      </c>
      <c r="Q56" s="41">
        <v>93.793540215326161</v>
      </c>
      <c r="R56" s="41">
        <v>82.44459833795014</v>
      </c>
      <c r="S56" s="41">
        <v>80.741503604531403</v>
      </c>
      <c r="T56" s="41">
        <v>79.153094462540722</v>
      </c>
      <c r="U56" s="41">
        <v>99.214145383104125</v>
      </c>
      <c r="V56" s="41">
        <v>93.451806065288778</v>
      </c>
      <c r="W56" s="41">
        <v>98.253119429590015</v>
      </c>
      <c r="X56" s="41">
        <v>99.776951672862452</v>
      </c>
      <c r="Y56" s="41">
        <v>75.060240963855421</v>
      </c>
      <c r="Z56" s="41">
        <v>84.778761061946909</v>
      </c>
      <c r="AA56" s="41">
        <v>90.44359840869231</v>
      </c>
      <c r="AB56" s="41">
        <v>83.41248596839651</v>
      </c>
      <c r="AC56" s="41">
        <v>54.471544715447152</v>
      </c>
      <c r="AD56" s="41">
        <v>60.572687224669608</v>
      </c>
      <c r="AE56" s="41">
        <v>43.539147040101845</v>
      </c>
      <c r="AF56" s="37">
        <v>86.068687731718114</v>
      </c>
      <c r="AH56" s="88" t="s">
        <v>230</v>
      </c>
      <c r="AI56" s="86">
        <f t="shared" si="3"/>
        <v>338.61994911047026</v>
      </c>
    </row>
    <row r="57" spans="2:35" s="5" customFormat="1" ht="16.5" customHeight="1">
      <c r="B57" s="65" t="s">
        <v>89</v>
      </c>
      <c r="C57" s="78" t="s">
        <v>145</v>
      </c>
      <c r="D57" s="24">
        <v>1518</v>
      </c>
      <c r="E57" s="10">
        <v>256</v>
      </c>
      <c r="F57" s="10">
        <v>1321</v>
      </c>
      <c r="G57" s="10">
        <v>952</v>
      </c>
      <c r="H57" s="10">
        <v>1056</v>
      </c>
      <c r="I57" s="10">
        <v>1882</v>
      </c>
      <c r="J57" s="10">
        <v>637</v>
      </c>
      <c r="K57" s="10">
        <v>676</v>
      </c>
      <c r="L57" s="10">
        <v>286</v>
      </c>
      <c r="M57" s="10">
        <v>376</v>
      </c>
      <c r="N57" s="10">
        <v>99</v>
      </c>
      <c r="O57" s="10">
        <v>1169</v>
      </c>
      <c r="P57" s="10">
        <v>480</v>
      </c>
      <c r="Q57" s="10">
        <v>196</v>
      </c>
      <c r="R57" s="10">
        <v>507</v>
      </c>
      <c r="S57" s="10">
        <v>187</v>
      </c>
      <c r="T57" s="10">
        <v>128</v>
      </c>
      <c r="U57" s="10">
        <v>4</v>
      </c>
      <c r="V57" s="10">
        <v>339</v>
      </c>
      <c r="W57" s="10">
        <v>49</v>
      </c>
      <c r="X57" s="10">
        <v>3</v>
      </c>
      <c r="Y57" s="10">
        <v>207</v>
      </c>
      <c r="Z57" s="10">
        <v>86</v>
      </c>
      <c r="AA57" s="10">
        <v>2234</v>
      </c>
      <c r="AB57" s="10">
        <v>1921</v>
      </c>
      <c r="AC57" s="10">
        <v>448</v>
      </c>
      <c r="AD57" s="10">
        <v>358</v>
      </c>
      <c r="AE57" s="10">
        <v>887</v>
      </c>
      <c r="AF57" s="36">
        <v>18262</v>
      </c>
    </row>
    <row r="58" spans="2:35" ht="16.5" customHeight="1">
      <c r="B58" s="67" t="s">
        <v>90</v>
      </c>
      <c r="C58" s="16" t="s">
        <v>80</v>
      </c>
      <c r="D58" s="40">
        <v>5.1539741282721625</v>
      </c>
      <c r="E58" s="41">
        <v>16.264294790343076</v>
      </c>
      <c r="F58" s="44">
        <v>20.763910719899403</v>
      </c>
      <c r="G58" s="41">
        <v>22.682868715749343</v>
      </c>
      <c r="H58" s="41">
        <v>24.603914259086672</v>
      </c>
      <c r="I58" s="41">
        <v>15.117680134950598</v>
      </c>
      <c r="J58" s="41">
        <v>17.128260285022854</v>
      </c>
      <c r="K58" s="41">
        <v>30.232558139534881</v>
      </c>
      <c r="L58" s="41">
        <v>22.953451043338685</v>
      </c>
      <c r="M58" s="41">
        <v>20.44589450788472</v>
      </c>
      <c r="N58" s="41">
        <v>12.252475247524753</v>
      </c>
      <c r="O58" s="41">
        <v>35.640243902439025</v>
      </c>
      <c r="P58" s="41">
        <v>20.442930153321974</v>
      </c>
      <c r="Q58" s="41">
        <v>6.2064597846738438</v>
      </c>
      <c r="R58" s="41">
        <v>17.55540166204986</v>
      </c>
      <c r="S58" s="44">
        <v>19.258496395468587</v>
      </c>
      <c r="T58" s="41">
        <v>20.846905537459286</v>
      </c>
      <c r="U58" s="41">
        <v>0.78585461689587421</v>
      </c>
      <c r="V58" s="41">
        <v>6.5481939347112235</v>
      </c>
      <c r="W58" s="41">
        <v>1.7468805704099821</v>
      </c>
      <c r="X58" s="41">
        <v>0.22304832713754646</v>
      </c>
      <c r="Y58" s="41">
        <v>24.939759036144579</v>
      </c>
      <c r="Z58" s="41">
        <v>15.221238938053098</v>
      </c>
      <c r="AA58" s="41">
        <v>9.5564015913076954</v>
      </c>
      <c r="AB58" s="41">
        <v>16.58751403160349</v>
      </c>
      <c r="AC58" s="41">
        <v>45.528455284552841</v>
      </c>
      <c r="AD58" s="41">
        <v>39.4273127753304</v>
      </c>
      <c r="AE58" s="41">
        <v>56.460852959898155</v>
      </c>
      <c r="AF58" s="37">
        <v>13.931312268281893</v>
      </c>
    </row>
    <row r="59" spans="2:35" s="5" customFormat="1" ht="16.5" customHeight="1">
      <c r="B59" s="65" t="s">
        <v>91</v>
      </c>
      <c r="C59" s="78" t="s">
        <v>145</v>
      </c>
      <c r="D59" s="24">
        <v>29453</v>
      </c>
      <c r="E59" s="10">
        <v>1574</v>
      </c>
      <c r="F59" s="10">
        <v>6362</v>
      </c>
      <c r="G59" s="10">
        <v>4197</v>
      </c>
      <c r="H59" s="10">
        <v>4292</v>
      </c>
      <c r="I59" s="10">
        <v>12449</v>
      </c>
      <c r="J59" s="10">
        <v>3719</v>
      </c>
      <c r="K59" s="10">
        <v>2236</v>
      </c>
      <c r="L59" s="10">
        <v>1246</v>
      </c>
      <c r="M59" s="10">
        <v>1839</v>
      </c>
      <c r="N59" s="10">
        <v>808</v>
      </c>
      <c r="O59" s="10">
        <v>3280</v>
      </c>
      <c r="P59" s="10">
        <v>2348</v>
      </c>
      <c r="Q59" s="10">
        <v>3158</v>
      </c>
      <c r="R59" s="10">
        <v>2888</v>
      </c>
      <c r="S59" s="10">
        <v>971</v>
      </c>
      <c r="T59" s="10">
        <v>614</v>
      </c>
      <c r="U59" s="10">
        <v>509</v>
      </c>
      <c r="V59" s="10">
        <v>5177</v>
      </c>
      <c r="W59" s="10">
        <v>2805</v>
      </c>
      <c r="X59" s="10">
        <v>1345</v>
      </c>
      <c r="Y59" s="10">
        <v>830</v>
      </c>
      <c r="Z59" s="10">
        <v>565</v>
      </c>
      <c r="AA59" s="10">
        <v>23377</v>
      </c>
      <c r="AB59" s="10">
        <v>11581</v>
      </c>
      <c r="AC59" s="10">
        <v>984</v>
      </c>
      <c r="AD59" s="10">
        <v>908</v>
      </c>
      <c r="AE59" s="10">
        <v>1571</v>
      </c>
      <c r="AF59" s="36">
        <v>131086</v>
      </c>
      <c r="AH59" s="89" t="s">
        <v>272</v>
      </c>
    </row>
    <row r="60" spans="2:35" s="5" customFormat="1" ht="16.5" customHeight="1">
      <c r="B60" s="65" t="s">
        <v>92</v>
      </c>
      <c r="C60" s="78" t="s">
        <v>146</v>
      </c>
      <c r="D60" s="24">
        <v>86261</v>
      </c>
      <c r="E60" s="10">
        <v>5641</v>
      </c>
      <c r="F60" s="10">
        <v>21008</v>
      </c>
      <c r="G60" s="10">
        <v>13036</v>
      </c>
      <c r="H60" s="10">
        <v>12726</v>
      </c>
      <c r="I60" s="10">
        <v>36721</v>
      </c>
      <c r="J60" s="10">
        <v>13533</v>
      </c>
      <c r="K60" s="10">
        <v>6789</v>
      </c>
      <c r="L60" s="10">
        <v>4285</v>
      </c>
      <c r="M60" s="10">
        <v>6812</v>
      </c>
      <c r="N60" s="10">
        <v>2851</v>
      </c>
      <c r="O60" s="10">
        <v>11089</v>
      </c>
      <c r="P60" s="10">
        <v>8602</v>
      </c>
      <c r="Q60" s="10">
        <v>9461</v>
      </c>
      <c r="R60" s="10">
        <v>9891</v>
      </c>
      <c r="S60" s="10">
        <v>3395</v>
      </c>
      <c r="T60" s="10">
        <v>2150</v>
      </c>
      <c r="U60" s="10">
        <v>2306</v>
      </c>
      <c r="V60" s="10">
        <v>16219</v>
      </c>
      <c r="W60" s="10">
        <v>7996</v>
      </c>
      <c r="X60" s="10">
        <v>4513</v>
      </c>
      <c r="Y60" s="10">
        <v>2946</v>
      </c>
      <c r="Z60" s="10">
        <v>2150</v>
      </c>
      <c r="AA60" s="10">
        <v>69487</v>
      </c>
      <c r="AB60" s="10">
        <v>36928</v>
      </c>
      <c r="AC60" s="10">
        <v>3015</v>
      </c>
      <c r="AD60" s="10">
        <v>2836</v>
      </c>
      <c r="AE60" s="10">
        <v>4946</v>
      </c>
      <c r="AF60" s="36">
        <v>407593</v>
      </c>
      <c r="AH60" s="83" t="s">
        <v>273</v>
      </c>
      <c r="AI60" s="83">
        <f>AF43</f>
        <v>108995</v>
      </c>
    </row>
    <row r="61" spans="2:35" s="5" customFormat="1" ht="16.5" customHeight="1">
      <c r="B61" s="65" t="s">
        <v>93</v>
      </c>
      <c r="C61" s="78" t="s">
        <v>146</v>
      </c>
      <c r="D61" s="24">
        <v>80693</v>
      </c>
      <c r="E61" s="10">
        <v>4312</v>
      </c>
      <c r="F61" s="10">
        <v>17430</v>
      </c>
      <c r="G61" s="10">
        <v>11499</v>
      </c>
      <c r="H61" s="10">
        <v>11759</v>
      </c>
      <c r="I61" s="10">
        <v>34107</v>
      </c>
      <c r="J61" s="10">
        <v>10189</v>
      </c>
      <c r="K61" s="10">
        <v>6126</v>
      </c>
      <c r="L61" s="10">
        <v>3414</v>
      </c>
      <c r="M61" s="10">
        <v>5038</v>
      </c>
      <c r="N61" s="10">
        <v>2214</v>
      </c>
      <c r="O61" s="10">
        <v>8986</v>
      </c>
      <c r="P61" s="10">
        <v>6433</v>
      </c>
      <c r="Q61" s="10">
        <v>8652</v>
      </c>
      <c r="R61" s="10">
        <v>7912</v>
      </c>
      <c r="S61" s="10">
        <v>2660</v>
      </c>
      <c r="T61" s="10">
        <v>1725</v>
      </c>
      <c r="U61" s="10">
        <v>1395</v>
      </c>
      <c r="V61" s="10">
        <v>14184</v>
      </c>
      <c r="W61" s="10">
        <v>7685</v>
      </c>
      <c r="X61" s="10">
        <v>3685</v>
      </c>
      <c r="Y61" s="10">
        <v>2274</v>
      </c>
      <c r="Z61" s="10">
        <v>1548</v>
      </c>
      <c r="AA61" s="10">
        <v>64047</v>
      </c>
      <c r="AB61" s="10">
        <v>31729</v>
      </c>
      <c r="AC61" s="10">
        <v>2696</v>
      </c>
      <c r="AD61" s="10">
        <v>2488</v>
      </c>
      <c r="AE61" s="10">
        <v>4304</v>
      </c>
      <c r="AF61" s="36">
        <v>359184</v>
      </c>
    </row>
    <row r="62" spans="2:35" ht="16.5" customHeight="1">
      <c r="B62" s="67" t="s">
        <v>94</v>
      </c>
      <c r="C62" s="16" t="s">
        <v>147</v>
      </c>
      <c r="D62" s="45">
        <v>318</v>
      </c>
      <c r="E62" s="46">
        <v>431</v>
      </c>
      <c r="F62" s="46">
        <v>470</v>
      </c>
      <c r="G62" s="46">
        <v>421</v>
      </c>
      <c r="H62" s="46">
        <v>447</v>
      </c>
      <c r="I62" s="46">
        <v>363</v>
      </c>
      <c r="J62" s="46">
        <v>458</v>
      </c>
      <c r="K62" s="46">
        <v>423</v>
      </c>
      <c r="L62" s="46">
        <v>539</v>
      </c>
      <c r="M62" s="46">
        <v>532</v>
      </c>
      <c r="N62" s="46">
        <v>515</v>
      </c>
      <c r="O62" s="46">
        <v>514</v>
      </c>
      <c r="P62" s="46">
        <v>434</v>
      </c>
      <c r="Q62" s="46">
        <v>372</v>
      </c>
      <c r="R62" s="46">
        <v>669</v>
      </c>
      <c r="S62" s="46">
        <v>393</v>
      </c>
      <c r="T62" s="46">
        <v>470</v>
      </c>
      <c r="U62" s="46">
        <v>486</v>
      </c>
      <c r="V62" s="46">
        <v>333</v>
      </c>
      <c r="W62" s="46">
        <v>423</v>
      </c>
      <c r="X62" s="46">
        <v>394</v>
      </c>
      <c r="Y62" s="46">
        <v>470</v>
      </c>
      <c r="Z62" s="46">
        <v>668</v>
      </c>
      <c r="AA62" s="46">
        <v>340</v>
      </c>
      <c r="AB62" s="46">
        <v>403</v>
      </c>
      <c r="AC62" s="46">
        <v>612</v>
      </c>
      <c r="AD62" s="46">
        <v>625</v>
      </c>
      <c r="AE62" s="46">
        <v>906</v>
      </c>
      <c r="AF62" s="51">
        <v>384.25743050298428</v>
      </c>
    </row>
    <row r="63" spans="2:35" ht="16.5" customHeight="1">
      <c r="B63" s="73" t="s">
        <v>95</v>
      </c>
      <c r="C63" s="75" t="s">
        <v>147</v>
      </c>
      <c r="D63" s="47">
        <v>298</v>
      </c>
      <c r="E63" s="48">
        <v>329</v>
      </c>
      <c r="F63" s="48">
        <v>390</v>
      </c>
      <c r="G63" s="48">
        <v>371</v>
      </c>
      <c r="H63" s="48">
        <v>413</v>
      </c>
      <c r="I63" s="48">
        <v>337</v>
      </c>
      <c r="J63" s="48">
        <v>345</v>
      </c>
      <c r="K63" s="48">
        <v>382</v>
      </c>
      <c r="L63" s="48">
        <v>430</v>
      </c>
      <c r="M63" s="48">
        <v>393</v>
      </c>
      <c r="N63" s="48">
        <v>400</v>
      </c>
      <c r="O63" s="48">
        <v>417</v>
      </c>
      <c r="P63" s="48">
        <v>325</v>
      </c>
      <c r="Q63" s="48">
        <v>340</v>
      </c>
      <c r="R63" s="48">
        <v>536</v>
      </c>
      <c r="S63" s="48">
        <v>308</v>
      </c>
      <c r="T63" s="48">
        <v>377</v>
      </c>
      <c r="U63" s="48">
        <v>294</v>
      </c>
      <c r="V63" s="48">
        <v>292</v>
      </c>
      <c r="W63" s="48">
        <v>406</v>
      </c>
      <c r="X63" s="48">
        <v>322</v>
      </c>
      <c r="Y63" s="48">
        <v>362</v>
      </c>
      <c r="Z63" s="48">
        <v>481</v>
      </c>
      <c r="AA63" s="48">
        <v>313</v>
      </c>
      <c r="AB63" s="48">
        <v>346</v>
      </c>
      <c r="AC63" s="48">
        <v>547</v>
      </c>
      <c r="AD63" s="48">
        <v>548</v>
      </c>
      <c r="AE63" s="48">
        <v>788</v>
      </c>
      <c r="AF63" s="52">
        <v>338.61994911047026</v>
      </c>
    </row>
    <row r="65" spans="2:32" customFormat="1">
      <c r="B65" s="3"/>
      <c r="C65" s="4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2:32" customFormat="1">
      <c r="B66" s="3"/>
      <c r="C66" s="4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2:32" customFormat="1">
      <c r="B67" s="3"/>
      <c r="C67" s="4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2:32" customFormat="1">
      <c r="B68" s="3"/>
      <c r="C68" s="4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2:32" customFormat="1">
      <c r="B69" s="3"/>
      <c r="C69" s="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2:32" customFormat="1">
      <c r="B70" s="3"/>
      <c r="C70" s="4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2:32" customFormat="1">
      <c r="B71" s="3"/>
      <c r="C71" s="4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2:32" customFormat="1">
      <c r="B72" s="3"/>
      <c r="C72" s="4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2:32" customFormat="1">
      <c r="B73" s="3"/>
      <c r="C73" s="4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27051" spans="12:12">
      <c r="L27051" s="3">
        <v>55</v>
      </c>
    </row>
  </sheetData>
  <phoneticPr fontId="6"/>
  <pageMargins left="0.7" right="0.7" top="0.75" bottom="0.75" header="0.3" footer="0.3"/>
  <pageSetup paperSize="9" scale="80" firstPageNumber="21" fitToWidth="0" orientation="portrait" useFirstPageNumber="1" r:id="rId1"/>
  <headerFooter alignWithMargins="0">
    <oddHeader>&amp;L&amp;"ＭＳ 明朝,標準"&amp;20 17　上水道の施設現況</oddHeader>
  </headerFooter>
  <colBreaks count="4" manualBreakCount="4">
    <brk id="9" min="1" max="62" man="1"/>
    <brk id="15" min="1" max="61" man="1"/>
    <brk id="21" min="1" max="61" man="1"/>
    <brk id="27" min="1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 (R6完成)</vt:lpstr>
      <vt:lpstr>'17 (R6完成)'!Print_Area</vt:lpstr>
      <vt:lpstr>'17 (R6完成)'!Print_Titles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2018-06-28T06:42:44Z</dcterms:created>
  <dcterms:modified xsi:type="dcterms:W3CDTF">2026-02-17T00:16:03Z</dcterms:modified>
</cp:coreProperties>
</file>