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9FBBBDA3-489E-4E83-A4E8-53163D2387C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9 (R6完成）" sheetId="8" r:id="rId1"/>
  </sheets>
  <definedNames>
    <definedName name="_xlnm.Print_Area" localSheetId="0">'19 (R6完成）'!$A$2:$AF$39</definedName>
    <definedName name="_xlnm.Print_Titles" localSheetId="0">'19 (R6完成）'!$A:$B</definedName>
    <definedName name="外部項目CD" localSheetId="0">#REF!</definedName>
    <definedName name="外部項目CD">#REF!</definedName>
    <definedName name="整理番号" localSheetId="0">#REF!</definedName>
    <definedName name="整理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4" i="8" l="1"/>
  <c r="BC14" i="8"/>
  <c r="BB14" i="8"/>
  <c r="BA14" i="8"/>
  <c r="AZ14" i="8"/>
  <c r="BD13" i="8"/>
  <c r="BC13" i="8"/>
  <c r="BB13" i="8"/>
  <c r="BA13" i="8"/>
  <c r="AZ13" i="8"/>
  <c r="BD12" i="8"/>
  <c r="BC12" i="8"/>
  <c r="BB12" i="8"/>
  <c r="BA12" i="8"/>
  <c r="AZ12" i="8"/>
  <c r="BD11" i="8"/>
  <c r="BC11" i="8"/>
  <c r="BC16" i="8" s="1"/>
  <c r="BB11" i="8"/>
  <c r="BA11" i="8"/>
  <c r="AZ11" i="8"/>
  <c r="BD10" i="8"/>
  <c r="BC10" i="8"/>
  <c r="BB10" i="8"/>
  <c r="BA10" i="8"/>
  <c r="AZ10" i="8"/>
  <c r="BD9" i="8"/>
  <c r="BC9" i="8"/>
  <c r="BB9" i="8"/>
  <c r="BA9" i="8"/>
  <c r="AZ9" i="8"/>
  <c r="BD8" i="8"/>
  <c r="BC8" i="8"/>
  <c r="BB8" i="8"/>
  <c r="BB16" i="8" s="1"/>
  <c r="BA8" i="8"/>
  <c r="AZ8" i="8"/>
  <c r="BD7" i="8"/>
  <c r="BC7" i="8"/>
  <c r="BB7" i="8"/>
  <c r="BA7" i="8"/>
  <c r="AZ7" i="8"/>
  <c r="AW15" i="8"/>
  <c r="AW14" i="8"/>
  <c r="AW13" i="8"/>
  <c r="AW12" i="8"/>
  <c r="AW11" i="8"/>
  <c r="AW10" i="8"/>
  <c r="AW9" i="8"/>
  <c r="AW8" i="8"/>
  <c r="AW7" i="8"/>
  <c r="AV15" i="8"/>
  <c r="AV14" i="8"/>
  <c r="AV13" i="8"/>
  <c r="AV12" i="8"/>
  <c r="AV11" i="8"/>
  <c r="AV10" i="8"/>
  <c r="AV9" i="8"/>
  <c r="AV8" i="8"/>
  <c r="AV7" i="8"/>
  <c r="AU15" i="8"/>
  <c r="AU14" i="8"/>
  <c r="AU13" i="8"/>
  <c r="AU12" i="8"/>
  <c r="AU11" i="8"/>
  <c r="AU10" i="8"/>
  <c r="AU9" i="8"/>
  <c r="AU8" i="8"/>
  <c r="AU7" i="8"/>
  <c r="AT15" i="8"/>
  <c r="AT14" i="8"/>
  <c r="AT13" i="8"/>
  <c r="AT12" i="8"/>
  <c r="AT11" i="8"/>
  <c r="AT10" i="8"/>
  <c r="AT9" i="8"/>
  <c r="AT8" i="8"/>
  <c r="AT7" i="8"/>
  <c r="AS15" i="8"/>
  <c r="AS14" i="8"/>
  <c r="AS13" i="8"/>
  <c r="AS12" i="8"/>
  <c r="AS11" i="8"/>
  <c r="AS10" i="8"/>
  <c r="AS9" i="8"/>
  <c r="AS8" i="8"/>
  <c r="AS7" i="8"/>
  <c r="AM7" i="8"/>
  <c r="AM12" i="8"/>
  <c r="AM11" i="8"/>
  <c r="AM10" i="8"/>
  <c r="AM9" i="8"/>
  <c r="AM8" i="8"/>
  <c r="AL12" i="8"/>
  <c r="AL11" i="8"/>
  <c r="AL10" i="8"/>
  <c r="AL9" i="8"/>
  <c r="AL8" i="8"/>
  <c r="AL13" i="8" s="1"/>
  <c r="AL7" i="8"/>
  <c r="AK12" i="8"/>
  <c r="AK11" i="8"/>
  <c r="AK10" i="8"/>
  <c r="AK9" i="8"/>
  <c r="AK8" i="8"/>
  <c r="AK13" i="8" s="1"/>
  <c r="AK7" i="8"/>
  <c r="AJ7" i="8"/>
  <c r="AI12" i="8"/>
  <c r="AJ13" i="8"/>
  <c r="AJ12" i="8"/>
  <c r="AJ11" i="8"/>
  <c r="AI11" i="8"/>
  <c r="AJ10" i="8"/>
  <c r="AI10" i="8"/>
  <c r="AJ9" i="8"/>
  <c r="AI9" i="8"/>
  <c r="AJ8" i="8"/>
  <c r="AI8" i="8"/>
  <c r="AI7" i="8"/>
  <c r="AG29" i="8"/>
  <c r="AH29" i="8" s="1"/>
  <c r="AI39" i="8"/>
  <c r="AI15" i="8"/>
  <c r="AG15" i="8"/>
  <c r="AI31" i="8"/>
  <c r="AH16" i="8"/>
  <c r="AH15" i="8"/>
  <c r="AS16" i="8" l="1"/>
  <c r="AI13" i="8"/>
  <c r="AM13" i="8"/>
  <c r="BD16" i="8"/>
  <c r="BA16" i="8"/>
  <c r="AZ16" i="8"/>
  <c r="AW16" i="8"/>
  <c r="AU16" i="8"/>
  <c r="AV16" i="8"/>
  <c r="AT16" i="8"/>
  <c r="AI22" i="8"/>
  <c r="AI33" i="8"/>
  <c r="AI34" i="8"/>
  <c r="AI35" i="8" l="1"/>
  <c r="AI45" i="8"/>
  <c r="AI42" i="8"/>
  <c r="AI41" i="8"/>
  <c r="AI40" i="8"/>
  <c r="AI23" i="8" l="1"/>
  <c r="AI24" i="8"/>
  <c r="AM24" i="8" s="1"/>
  <c r="AI25" i="8"/>
  <c r="AM25" i="8" s="1"/>
  <c r="AI26" i="8"/>
  <c r="AI27" i="8"/>
  <c r="AM22" i="8"/>
  <c r="AI32" i="8"/>
  <c r="AP26" i="8" l="1"/>
  <c r="AP24" i="8"/>
  <c r="AM26" i="8"/>
  <c r="AP25" i="8"/>
  <c r="AM23" i="8"/>
  <c r="AP27" i="8"/>
  <c r="AM27" i="8"/>
  <c r="AP22" i="8"/>
  <c r="AP23" i="8"/>
  <c r="AM28" i="8" l="1"/>
  <c r="AP28" i="8"/>
</calcChain>
</file>

<file path=xl/sharedStrings.xml><?xml version="1.0" encoding="utf-8"?>
<sst xmlns="http://schemas.openxmlformats.org/spreadsheetml/2006/main" count="334" uniqueCount="162">
  <si>
    <t>19　簡易水道の概況</t>
    <rPh sb="3" eb="5">
      <t>カンイ</t>
    </rPh>
    <rPh sb="5" eb="7">
      <t>スイドウ</t>
    </rPh>
    <rPh sb="8" eb="10">
      <t>ガイキョウ</t>
    </rPh>
    <phoneticPr fontId="5"/>
  </si>
  <si>
    <t>　　　　　団体名
　項目　</t>
    <rPh sb="5" eb="7">
      <t>ダンタイ</t>
    </rPh>
    <rPh sb="7" eb="8">
      <t>メイ</t>
    </rPh>
    <rPh sb="10" eb="12">
      <t>コウモク</t>
    </rPh>
    <phoneticPr fontId="5"/>
  </si>
  <si>
    <t>市町村名</t>
    <rPh sb="0" eb="3">
      <t>シチョウソン</t>
    </rPh>
    <rPh sb="3" eb="4">
      <t>メイ</t>
    </rPh>
    <phoneticPr fontId="5"/>
  </si>
  <si>
    <t>計</t>
    <rPh sb="0" eb="1">
      <t>ケイ</t>
    </rPh>
    <phoneticPr fontId="5"/>
  </si>
  <si>
    <t>地区名</t>
    <rPh sb="0" eb="3">
      <t>チクメイ</t>
    </rPh>
    <phoneticPr fontId="5"/>
  </si>
  <si>
    <t>番号</t>
    <rPh sb="0" eb="2">
      <t>バンゴウ</t>
    </rPh>
    <phoneticPr fontId="5"/>
  </si>
  <si>
    <t>経営の種別</t>
    <rPh sb="0" eb="2">
      <t>ケイエイ</t>
    </rPh>
    <rPh sb="3" eb="5">
      <t>シュベツ</t>
    </rPh>
    <phoneticPr fontId="5"/>
  </si>
  <si>
    <t>認可年月日</t>
    <rPh sb="0" eb="2">
      <t>ニンカ</t>
    </rPh>
    <rPh sb="2" eb="5">
      <t>ネンガッピ</t>
    </rPh>
    <phoneticPr fontId="5"/>
  </si>
  <si>
    <t>計画給水人口</t>
    <rPh sb="0" eb="2">
      <t>ケイカク</t>
    </rPh>
    <rPh sb="2" eb="4">
      <t>キュウスイ</t>
    </rPh>
    <rPh sb="4" eb="6">
      <t>ジンコウ</t>
    </rPh>
    <phoneticPr fontId="5"/>
  </si>
  <si>
    <t>水道料金</t>
    <rPh sb="0" eb="2">
      <t>スイドウ</t>
    </rPh>
    <rPh sb="2" eb="4">
      <t>リョウキン</t>
    </rPh>
    <phoneticPr fontId="5"/>
  </si>
  <si>
    <t>　料金体系</t>
    <rPh sb="1" eb="3">
      <t>リョウキン</t>
    </rPh>
    <rPh sb="3" eb="5">
      <t>タイケイ</t>
    </rPh>
    <phoneticPr fontId="5"/>
  </si>
  <si>
    <t>　基本料金　(円）</t>
    <rPh sb="1" eb="3">
      <t>キホン</t>
    </rPh>
    <rPh sb="3" eb="5">
      <t>リョウキン</t>
    </rPh>
    <rPh sb="7" eb="8">
      <t>エン</t>
    </rPh>
    <phoneticPr fontId="5"/>
  </si>
  <si>
    <t>　超過料金　(円)</t>
    <rPh sb="1" eb="3">
      <t>チョウカ</t>
    </rPh>
    <rPh sb="3" eb="5">
      <t>リョウキン</t>
    </rPh>
    <rPh sb="7" eb="8">
      <t>エン</t>
    </rPh>
    <phoneticPr fontId="5"/>
  </si>
  <si>
    <t>　メーター使用量　(円)</t>
    <rPh sb="5" eb="8">
      <t>シヨウリョウ</t>
    </rPh>
    <rPh sb="10" eb="11">
      <t>エン</t>
    </rPh>
    <phoneticPr fontId="5"/>
  </si>
  <si>
    <t>給水区域内人口</t>
    <rPh sb="0" eb="2">
      <t>キュウスイ</t>
    </rPh>
    <rPh sb="2" eb="5">
      <t>クイキナイ</t>
    </rPh>
    <rPh sb="5" eb="7">
      <t>ジンコウ</t>
    </rPh>
    <phoneticPr fontId="5"/>
  </si>
  <si>
    <t>現在給水人口</t>
    <rPh sb="0" eb="2">
      <t>ゲンザイ</t>
    </rPh>
    <rPh sb="2" eb="4">
      <t>キュウスイ</t>
    </rPh>
    <rPh sb="4" eb="6">
      <t>ジンコウ</t>
    </rPh>
    <phoneticPr fontId="5"/>
  </si>
  <si>
    <t>現在給水普及率 （％）</t>
    <rPh sb="0" eb="2">
      <t>ゲンザイ</t>
    </rPh>
    <rPh sb="2" eb="4">
      <t>キュウスイ</t>
    </rPh>
    <rPh sb="4" eb="6">
      <t>フキュウ</t>
    </rPh>
    <rPh sb="6" eb="7">
      <t>リツ</t>
    </rPh>
    <phoneticPr fontId="5"/>
  </si>
  <si>
    <t>原水の種別</t>
    <rPh sb="0" eb="2">
      <t>ゲンスイ</t>
    </rPh>
    <rPh sb="3" eb="5">
      <t>シュベツ</t>
    </rPh>
    <phoneticPr fontId="5"/>
  </si>
  <si>
    <t>　表流水</t>
    <rPh sb="1" eb="2">
      <t>ヒョウ</t>
    </rPh>
    <rPh sb="2" eb="4">
      <t>リュウスイ</t>
    </rPh>
    <phoneticPr fontId="5"/>
  </si>
  <si>
    <t>　伏流水</t>
    <rPh sb="1" eb="2">
      <t>フク</t>
    </rPh>
    <rPh sb="2" eb="4">
      <t>リュウスイ</t>
    </rPh>
    <phoneticPr fontId="5"/>
  </si>
  <si>
    <t>　浅井戸</t>
    <rPh sb="1" eb="2">
      <t>アサ</t>
    </rPh>
    <rPh sb="2" eb="4">
      <t>イド</t>
    </rPh>
    <phoneticPr fontId="5"/>
  </si>
  <si>
    <t>　深井戸</t>
    <rPh sb="1" eb="2">
      <t>フカ</t>
    </rPh>
    <rPh sb="2" eb="4">
      <t>イド</t>
    </rPh>
    <phoneticPr fontId="5"/>
  </si>
  <si>
    <t>　浄水受水</t>
    <rPh sb="1" eb="3">
      <t>ジョウスイ</t>
    </rPh>
    <rPh sb="3" eb="4">
      <t>ジュ</t>
    </rPh>
    <rPh sb="4" eb="5">
      <t>スイ</t>
    </rPh>
    <phoneticPr fontId="5"/>
  </si>
  <si>
    <t>　その他(湧水等）</t>
    <rPh sb="3" eb="4">
      <t>タ</t>
    </rPh>
    <rPh sb="5" eb="7">
      <t>ユウスイ</t>
    </rPh>
    <rPh sb="7" eb="8">
      <t>トウ</t>
    </rPh>
    <phoneticPr fontId="5"/>
  </si>
  <si>
    <t>浄水方法の種別</t>
    <rPh sb="0" eb="2">
      <t>ジョウスイ</t>
    </rPh>
    <rPh sb="2" eb="4">
      <t>ホウホウ</t>
    </rPh>
    <rPh sb="5" eb="7">
      <t>シュベツ</t>
    </rPh>
    <phoneticPr fontId="5"/>
  </si>
  <si>
    <t>有収率　（％）</t>
    <rPh sb="0" eb="1">
      <t>ユウ</t>
    </rPh>
    <rPh sb="1" eb="2">
      <t>シュウ</t>
    </rPh>
    <rPh sb="2" eb="3">
      <t>リツ</t>
    </rPh>
    <phoneticPr fontId="5"/>
  </si>
  <si>
    <t>無収率　（％）</t>
    <rPh sb="0" eb="1">
      <t>ム</t>
    </rPh>
    <rPh sb="1" eb="2">
      <t>シュウ</t>
    </rPh>
    <rPh sb="2" eb="3">
      <t>リツ</t>
    </rPh>
    <phoneticPr fontId="5"/>
  </si>
  <si>
    <t>有効率　（％）</t>
    <rPh sb="0" eb="2">
      <t>ユウコウ</t>
    </rPh>
    <rPh sb="2" eb="3">
      <t>リツ</t>
    </rPh>
    <phoneticPr fontId="5"/>
  </si>
  <si>
    <t>無効率　（％）</t>
    <rPh sb="0" eb="2">
      <t>ムコウ</t>
    </rPh>
    <rPh sb="2" eb="3">
      <t>リツ</t>
    </rPh>
    <phoneticPr fontId="5"/>
  </si>
  <si>
    <t>配水方法</t>
    <rPh sb="0" eb="2">
      <t>ハイスイ</t>
    </rPh>
    <rPh sb="2" eb="4">
      <t>ホウホウ</t>
    </rPh>
    <phoneticPr fontId="5"/>
  </si>
  <si>
    <t>二戸市</t>
  </si>
  <si>
    <t>紫波町</t>
  </si>
  <si>
    <t>平泉町</t>
  </si>
  <si>
    <t>住田町</t>
  </si>
  <si>
    <t>普代村</t>
  </si>
  <si>
    <t>野田村</t>
  </si>
  <si>
    <t>御返地地区</t>
  </si>
  <si>
    <t>白鳥・坂本地区</t>
  </si>
  <si>
    <t>斗米地区</t>
  </si>
  <si>
    <t>川又地区</t>
  </si>
  <si>
    <t>船久保</t>
  </si>
  <si>
    <t>長島</t>
  </si>
  <si>
    <t>戸河内</t>
  </si>
  <si>
    <t>普代</t>
  </si>
  <si>
    <t>堀内</t>
  </si>
  <si>
    <t>太田名部</t>
  </si>
  <si>
    <t>黒崎</t>
  </si>
  <si>
    <t>白井</t>
  </si>
  <si>
    <t>机</t>
  </si>
  <si>
    <t>茂市</t>
  </si>
  <si>
    <t>萩牛</t>
  </si>
  <si>
    <t>野田</t>
  </si>
  <si>
    <t>公営</t>
  </si>
  <si>
    <t>H17.3.29</t>
  </si>
  <si>
    <t>H5.8.23</t>
  </si>
  <si>
    <t>H7.7.12</t>
  </si>
  <si>
    <t>H13.3.14</t>
  </si>
  <si>
    <t>H9.2.10</t>
  </si>
  <si>
    <t>H4.3.31</t>
  </si>
  <si>
    <t>S58.9.21</t>
  </si>
  <si>
    <t>H16.1.26</t>
  </si>
  <si>
    <t>H3.5.24</t>
  </si>
  <si>
    <t>H28.3.29</t>
  </si>
  <si>
    <t>H27.11.2</t>
  </si>
  <si>
    <t>H6.2.3</t>
  </si>
  <si>
    <t>S55.9.3</t>
  </si>
  <si>
    <t>H2.5.10</t>
  </si>
  <si>
    <t>S52.6.13</t>
  </si>
  <si>
    <t>口径別</t>
  </si>
  <si>
    <t>用途別</t>
  </si>
  <si>
    <t>表流水</t>
  </si>
  <si>
    <t>浅井戸</t>
  </si>
  <si>
    <t>深井戸</t>
  </si>
  <si>
    <t>－</t>
  </si>
  <si>
    <t>緩速ろ過</t>
  </si>
  <si>
    <t>膜ろ過</t>
  </si>
  <si>
    <t>消毒のみ</t>
  </si>
  <si>
    <t>緩・膜</t>
  </si>
  <si>
    <t>急速ろ過</t>
  </si>
  <si>
    <t/>
  </si>
  <si>
    <t>自然流下</t>
  </si>
  <si>
    <t>　</t>
  </si>
  <si>
    <t>消・緩・急</t>
    <rPh sb="0" eb="1">
      <t>ショウ</t>
    </rPh>
    <rPh sb="2" eb="3">
      <t>カン</t>
    </rPh>
    <rPh sb="4" eb="5">
      <t>キュウ</t>
    </rPh>
    <phoneticPr fontId="4"/>
  </si>
  <si>
    <t>雫石町</t>
    <rPh sb="0" eb="3">
      <t>シズクイシマチ</t>
    </rPh>
    <phoneticPr fontId="4"/>
  </si>
  <si>
    <t>大村</t>
    <rPh sb="0" eb="2">
      <t>オオムラ</t>
    </rPh>
    <phoneticPr fontId="4"/>
  </si>
  <si>
    <t>公営</t>
    <rPh sb="0" eb="2">
      <t>コウエイ</t>
    </rPh>
    <phoneticPr fontId="4"/>
  </si>
  <si>
    <t>浅井戸</t>
    <rPh sb="0" eb="1">
      <t>アサ</t>
    </rPh>
    <rPh sb="1" eb="3">
      <t>イド</t>
    </rPh>
    <phoneticPr fontId="4"/>
  </si>
  <si>
    <t>膜ろ過</t>
    <rPh sb="2" eb="3">
      <t>ス</t>
    </rPh>
    <phoneticPr fontId="4"/>
  </si>
  <si>
    <t>最安</t>
    <rPh sb="0" eb="2">
      <t>サイヤス</t>
    </rPh>
    <phoneticPr fontId="4"/>
  </si>
  <si>
    <t>最高</t>
    <rPh sb="0" eb="2">
      <t>サイコウ</t>
    </rPh>
    <phoneticPr fontId="4"/>
  </si>
  <si>
    <r>
      <t>計画１日最大給水量　（ｍ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）</t>
    </r>
    <rPh sb="0" eb="2">
      <t>ケイカク</t>
    </rPh>
    <rPh sb="3" eb="4">
      <t>ニチ</t>
    </rPh>
    <rPh sb="4" eb="6">
      <t>サイダイ</t>
    </rPh>
    <rPh sb="6" eb="7">
      <t>キュウ</t>
    </rPh>
    <rPh sb="7" eb="9">
      <t>スイリョウ</t>
    </rPh>
    <phoneticPr fontId="5"/>
  </si>
  <si>
    <r>
      <t>　基本水量　（ｍ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）</t>
    </r>
    <rPh sb="1" eb="3">
      <t>キホン</t>
    </rPh>
    <rPh sb="3" eb="5">
      <t>スイリョウ</t>
    </rPh>
    <phoneticPr fontId="5"/>
  </si>
  <si>
    <r>
      <t>　10ｍ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当たり　(円）</t>
    </r>
    <rPh sb="5" eb="6">
      <t>ア</t>
    </rPh>
    <rPh sb="10" eb="11">
      <t>エン</t>
    </rPh>
    <phoneticPr fontId="5"/>
  </si>
  <si>
    <r>
      <t>　20ｍ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当たり　(円）</t>
    </r>
    <rPh sb="5" eb="6">
      <t>ア</t>
    </rPh>
    <rPh sb="10" eb="11">
      <t>エン</t>
    </rPh>
    <phoneticPr fontId="5"/>
  </si>
  <si>
    <r>
      <t>年間取水量　(ｍ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)</t>
    </r>
    <rPh sb="0" eb="2">
      <t>ネンカン</t>
    </rPh>
    <rPh sb="2" eb="4">
      <t>シュスイ</t>
    </rPh>
    <rPh sb="4" eb="5">
      <t>リョウ</t>
    </rPh>
    <phoneticPr fontId="5"/>
  </si>
  <si>
    <r>
      <t>実績1日最大給水量　(ｍ</t>
    </r>
    <r>
      <rPr>
        <vertAlign val="superscript"/>
        <sz val="12"/>
        <color theme="1"/>
        <rFont val="ＭＳ 明朝"/>
        <family val="1"/>
        <charset val="128"/>
      </rPr>
      <t>3</t>
    </r>
    <r>
      <rPr>
        <sz val="12"/>
        <color theme="1"/>
        <rFont val="ＭＳ 明朝"/>
        <family val="1"/>
        <charset val="128"/>
      </rPr>
      <t>)</t>
    </r>
    <rPh sb="0" eb="2">
      <t>ジッセキ</t>
    </rPh>
    <rPh sb="3" eb="4">
      <t>ニチ</t>
    </rPh>
    <rPh sb="4" eb="6">
      <t>サイダイ</t>
    </rPh>
    <rPh sb="6" eb="8">
      <t>キュウスイ</t>
    </rPh>
    <rPh sb="8" eb="9">
      <t>リョウ</t>
    </rPh>
    <phoneticPr fontId="5"/>
  </si>
  <si>
    <t>田野畑村</t>
    <phoneticPr fontId="4"/>
  </si>
  <si>
    <t>湧水</t>
    <rPh sb="0" eb="2">
      <t>ユウスイ</t>
    </rPh>
    <phoneticPr fontId="4"/>
  </si>
  <si>
    <t>小計</t>
    <rPh sb="0" eb="2">
      <t>ショウケイ</t>
    </rPh>
    <phoneticPr fontId="4"/>
  </si>
  <si>
    <r>
      <t>実績年間無収水量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5">
      <t>ム</t>
    </rPh>
    <rPh sb="5" eb="6">
      <t>オサム</t>
    </rPh>
    <rPh sb="6" eb="7">
      <t>ミズ</t>
    </rPh>
    <rPh sb="7" eb="8">
      <t>リョウ</t>
    </rPh>
    <phoneticPr fontId="5"/>
  </si>
  <si>
    <r>
      <t>実績年間有効水量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6">
      <t>ユウコウ</t>
    </rPh>
    <rPh sb="6" eb="7">
      <t>ミズ</t>
    </rPh>
    <rPh sb="7" eb="8">
      <t>リョウ</t>
    </rPh>
    <phoneticPr fontId="5"/>
  </si>
  <si>
    <r>
      <t>実績年間無効水量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6">
      <t>ムコウ</t>
    </rPh>
    <rPh sb="6" eb="7">
      <t>ミズ</t>
    </rPh>
    <rPh sb="7" eb="8">
      <t>リョウ</t>
    </rPh>
    <phoneticPr fontId="5"/>
  </si>
  <si>
    <r>
      <t>実績年間有収水量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5">
      <t>ユウ</t>
    </rPh>
    <rPh sb="5" eb="6">
      <t>シュウ</t>
    </rPh>
    <rPh sb="6" eb="8">
      <t>スイリョウ</t>
    </rPh>
    <phoneticPr fontId="5"/>
  </si>
  <si>
    <t>R1.9.24</t>
  </si>
  <si>
    <t>R6.3.11</t>
  </si>
  <si>
    <t>H30.3.29</t>
  </si>
  <si>
    <t>表・伏</t>
  </si>
  <si>
    <t>緩・急</t>
  </si>
  <si>
    <t>消・急</t>
  </si>
  <si>
    <t>R7.3.31</t>
  </si>
  <si>
    <t>その他</t>
  </si>
  <si>
    <t>表・伏・浅</t>
  </si>
  <si>
    <t>19施設</t>
    <phoneticPr fontId="4"/>
  </si>
  <si>
    <t>湧水</t>
  </si>
  <si>
    <t>伏流水</t>
  </si>
  <si>
    <t>受水</t>
  </si>
  <si>
    <t>合　計</t>
  </si>
  <si>
    <r>
      <t>実績年間給水量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6">
      <t>キュウスイ</t>
    </rPh>
    <rPh sb="6" eb="7">
      <t>リョウ</t>
    </rPh>
    <phoneticPr fontId="5"/>
  </si>
  <si>
    <t>実績1日
最大給水量
 (ｍ3/日)</t>
  </si>
  <si>
    <t>実績1日
平均給水量
 (ｍ3/日)</t>
  </si>
  <si>
    <t>実績1人1日
最大給水量
(L/人･日)</t>
  </si>
  <si>
    <t>実績1人1日
平均給水量
(L/人･日)</t>
  </si>
  <si>
    <t>「1㎥＝1kL＝1000L」</t>
  </si>
  <si>
    <t>10 簡易水道年間取水量の推移</t>
    <phoneticPr fontId="33"/>
  </si>
  <si>
    <t>12 簡易水道年間給水量の推移</t>
    <phoneticPr fontId="33"/>
  </si>
  <si>
    <t>棒グラフ</t>
    <rPh sb="0" eb="1">
      <t>ボウ</t>
    </rPh>
    <phoneticPr fontId="33"/>
  </si>
  <si>
    <t>円グラフ</t>
    <rPh sb="0" eb="1">
      <t>エン</t>
    </rPh>
    <phoneticPr fontId="33"/>
  </si>
  <si>
    <t>地下水（表流水以外）かつ浄水方法：消毒のみ合計</t>
    <rPh sb="0" eb="3">
      <t>チカスイ</t>
    </rPh>
    <rPh sb="4" eb="7">
      <t>ヒョウリュウスイ</t>
    </rPh>
    <rPh sb="7" eb="9">
      <t>イガイ</t>
    </rPh>
    <rPh sb="12" eb="16">
      <t>ジョウスイホウホウ</t>
    </rPh>
    <rPh sb="17" eb="19">
      <t>ショウドク</t>
    </rPh>
    <rPh sb="21" eb="23">
      <t>ゴウケイ</t>
    </rPh>
    <phoneticPr fontId="33"/>
  </si>
  <si>
    <t>８　水道事業の規模別状況</t>
    <rPh sb="2" eb="4">
      <t>スイドウ</t>
    </rPh>
    <rPh sb="4" eb="6">
      <t>ジギョウ</t>
    </rPh>
    <rPh sb="7" eb="10">
      <t>キボベツ</t>
    </rPh>
    <rPh sb="10" eb="12">
      <t>ジョウキョウ</t>
    </rPh>
    <phoneticPr fontId="33"/>
  </si>
  <si>
    <t>計画</t>
    <rPh sb="0" eb="2">
      <t>ケイカク</t>
    </rPh>
    <phoneticPr fontId="33"/>
  </si>
  <si>
    <t>施設数</t>
    <rPh sb="0" eb="3">
      <t>シセツスウ</t>
    </rPh>
    <phoneticPr fontId="33"/>
  </si>
  <si>
    <t>現在</t>
    <rPh sb="0" eb="2">
      <t>ゲンザイ</t>
    </rPh>
    <phoneticPr fontId="33"/>
  </si>
  <si>
    <t>計画1日最大</t>
    <rPh sb="0" eb="2">
      <t>ケイカク</t>
    </rPh>
    <rPh sb="3" eb="6">
      <t>ニチサイダイ</t>
    </rPh>
    <phoneticPr fontId="33"/>
  </si>
  <si>
    <t>101～500</t>
    <phoneticPr fontId="33"/>
  </si>
  <si>
    <t>501～1000</t>
    <phoneticPr fontId="33"/>
  </si>
  <si>
    <t>1001～2000</t>
    <phoneticPr fontId="33"/>
  </si>
  <si>
    <t>2001～3000</t>
    <phoneticPr fontId="33"/>
  </si>
  <si>
    <t>3001～4000</t>
    <phoneticPr fontId="33"/>
  </si>
  <si>
    <t>4001～5000</t>
    <phoneticPr fontId="33"/>
  </si>
  <si>
    <t>年間実績（千m3）</t>
    <rPh sb="0" eb="2">
      <t>ネンカン</t>
    </rPh>
    <rPh sb="2" eb="4">
      <t>ジッセキ</t>
    </rPh>
    <rPh sb="5" eb="6">
      <t>セン</t>
    </rPh>
    <phoneticPr fontId="33"/>
  </si>
  <si>
    <t>計画給水人口</t>
    <rPh sb="0" eb="6">
      <t>ケイカクキュウスイジンコウ</t>
    </rPh>
    <phoneticPr fontId="33"/>
  </si>
  <si>
    <t>10m3区分</t>
    <rPh sb="4" eb="6">
      <t>クブン</t>
    </rPh>
    <phoneticPr fontId="33"/>
  </si>
  <si>
    <t>20m3区分</t>
    <rPh sb="4" eb="6">
      <t>クブン</t>
    </rPh>
    <phoneticPr fontId="33"/>
  </si>
  <si>
    <t>0～1000</t>
  </si>
  <si>
    <t>1001～1250</t>
  </si>
  <si>
    <t>1251～1500</t>
  </si>
  <si>
    <t>1501～1750</t>
  </si>
  <si>
    <t>1751～2000</t>
  </si>
  <si>
    <t>2001～2250</t>
  </si>
  <si>
    <t>2251～2500</t>
  </si>
  <si>
    <t>2501～2750</t>
  </si>
  <si>
    <t>2751～</t>
  </si>
  <si>
    <t>0～2000</t>
  </si>
  <si>
    <t>2001～2500</t>
  </si>
  <si>
    <t>2501～3000</t>
  </si>
  <si>
    <t>3001～3500</t>
  </si>
  <si>
    <t>3501～4000</t>
  </si>
  <si>
    <t>4001～4500</t>
  </si>
  <si>
    <t>4501～5000</t>
  </si>
  <si>
    <t>5001～</t>
  </si>
  <si>
    <t>赤字セルには数式が入っており、セル参照の範囲が正しいか確認すること</t>
    <rPh sb="0" eb="2">
      <t>アカジ</t>
    </rPh>
    <rPh sb="6" eb="8">
      <t>スウシキ</t>
    </rPh>
    <rPh sb="9" eb="10">
      <t>ハイ</t>
    </rPh>
    <rPh sb="17" eb="19">
      <t>サンショウ</t>
    </rPh>
    <rPh sb="20" eb="22">
      <t>ハンイ</t>
    </rPh>
    <rPh sb="23" eb="24">
      <t>タダ</t>
    </rPh>
    <rPh sb="27" eb="29">
      <t>カクニン</t>
    </rPh>
    <phoneticPr fontId="33"/>
  </si>
  <si>
    <t>計（検算）</t>
    <rPh sb="0" eb="1">
      <t>ケイ</t>
    </rPh>
    <rPh sb="2" eb="4">
      <t>ケンザン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</si>
</sst>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"/>
    <numFmt numFmtId="177" formatCode="0.0_ "/>
    <numFmt numFmtId="178" formatCode="#,##0.0;[Red]\-#,##0.0"/>
    <numFmt numFmtId="179" formatCode="0.0%"/>
    <numFmt numFmtId="180" formatCode="#,##0_ "/>
    <numFmt numFmtId="181" formatCode="#,##0_);[Red]\(#,##0\)"/>
  </numFmts>
  <fonts count="3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Osaka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vertAlign val="superscript"/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8.5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7">
    <xf numFmtId="0" fontId="0" fillId="0" borderId="0"/>
    <xf numFmtId="0" fontId="2" fillId="0" borderId="0"/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8" applyNumberFormat="0" applyFon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4" applyNumberFormat="0" applyAlignment="0" applyProtection="0">
      <alignment vertical="center"/>
    </xf>
    <xf numFmtId="0" fontId="9" fillId="0" borderId="0">
      <alignment vertical="center"/>
    </xf>
    <xf numFmtId="0" fontId="7" fillId="0" borderId="0"/>
    <xf numFmtId="0" fontId="26" fillId="2" borderId="0" applyNumberFormat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11">
    <xf numFmtId="0" fontId="0" fillId="0" borderId="0" xfId="0"/>
    <xf numFmtId="0" fontId="6" fillId="0" borderId="0" xfId="1" applyFont="1"/>
    <xf numFmtId="0" fontId="6" fillId="0" borderId="0" xfId="1" applyFont="1" applyAlignment="1">
      <alignment shrinkToFi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57" fontId="6" fillId="0" borderId="0" xfId="1" applyNumberFormat="1" applyFont="1" applyAlignment="1">
      <alignment vertical="center" shrinkToFit="1"/>
    </xf>
    <xf numFmtId="0" fontId="8" fillId="0" borderId="0" xfId="1" applyFont="1" applyAlignment="1">
      <alignment vertical="center"/>
    </xf>
    <xf numFmtId="0" fontId="0" fillId="0" borderId="0" xfId="0" applyAlignment="1">
      <alignment shrinkToFit="1"/>
    </xf>
    <xf numFmtId="0" fontId="6" fillId="0" borderId="0" xfId="1" applyFont="1" applyAlignment="1">
      <alignment horizontal="center"/>
    </xf>
    <xf numFmtId="3" fontId="6" fillId="0" borderId="0" xfId="1" applyNumberFormat="1" applyFont="1" applyAlignment="1">
      <alignment vertical="center"/>
    </xf>
    <xf numFmtId="0" fontId="27" fillId="0" borderId="11" xfId="1" applyFont="1" applyBorder="1" applyAlignment="1">
      <alignment horizontal="left" vertical="center" wrapText="1"/>
    </xf>
    <xf numFmtId="0" fontId="28" fillId="0" borderId="12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 shrinkToFit="1"/>
    </xf>
    <xf numFmtId="0" fontId="28" fillId="0" borderId="14" xfId="1" applyFont="1" applyBorder="1" applyAlignment="1">
      <alignment horizontal="center" vertical="center" shrinkToFit="1"/>
    </xf>
    <xf numFmtId="0" fontId="28" fillId="0" borderId="15" xfId="1" applyFont="1" applyBorder="1" applyAlignment="1">
      <alignment horizontal="center" vertical="center" shrinkToFit="1"/>
    </xf>
    <xf numFmtId="0" fontId="28" fillId="0" borderId="12" xfId="1" applyFont="1" applyBorder="1" applyAlignment="1">
      <alignment horizontal="center" vertical="center" shrinkToFit="1"/>
    </xf>
    <xf numFmtId="0" fontId="28" fillId="0" borderId="11" xfId="1" applyFont="1" applyBorder="1" applyAlignment="1">
      <alignment horizontal="center" vertical="center"/>
    </xf>
    <xf numFmtId="0" fontId="28" fillId="0" borderId="17" xfId="1" applyFont="1" applyBorder="1" applyAlignment="1">
      <alignment horizontal="center" vertical="center"/>
    </xf>
    <xf numFmtId="0" fontId="28" fillId="0" borderId="18" xfId="1" applyFont="1" applyBorder="1" applyAlignment="1">
      <alignment horizontal="center" vertical="center" shrinkToFit="1"/>
    </xf>
    <xf numFmtId="0" fontId="28" fillId="0" borderId="19" xfId="1" applyFont="1" applyBorder="1" applyAlignment="1">
      <alignment horizontal="center" vertical="center" shrinkToFit="1"/>
    </xf>
    <xf numFmtId="0" fontId="28" fillId="0" borderId="20" xfId="1" applyFont="1" applyBorder="1" applyAlignment="1">
      <alignment horizontal="center" vertical="center" shrinkToFit="1"/>
    </xf>
    <xf numFmtId="0" fontId="28" fillId="0" borderId="24" xfId="1" applyFont="1" applyBorder="1" applyAlignment="1">
      <alignment horizontal="left" vertical="center" wrapText="1"/>
    </xf>
    <xf numFmtId="0" fontId="28" fillId="0" borderId="13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/>
    </xf>
    <xf numFmtId="0" fontId="28" fillId="0" borderId="15" xfId="1" applyFont="1" applyBorder="1" applyAlignment="1">
      <alignment horizontal="center" vertical="center"/>
    </xf>
    <xf numFmtId="0" fontId="28" fillId="0" borderId="39" xfId="1" applyFont="1" applyBorder="1" applyAlignment="1">
      <alignment horizontal="center" vertical="center"/>
    </xf>
    <xf numFmtId="0" fontId="28" fillId="0" borderId="16" xfId="1" applyFont="1" applyBorder="1" applyAlignment="1">
      <alignment horizontal="center" vertical="center"/>
    </xf>
    <xf numFmtId="0" fontId="28" fillId="0" borderId="25" xfId="1" applyFont="1" applyBorder="1" applyAlignment="1">
      <alignment horizontal="center" vertical="center" shrinkToFit="1"/>
    </xf>
    <xf numFmtId="0" fontId="28" fillId="33" borderId="28" xfId="1" applyFont="1" applyFill="1" applyBorder="1" applyAlignment="1">
      <alignment horizontal="center" vertical="center" shrinkToFit="1"/>
    </xf>
    <xf numFmtId="0" fontId="28" fillId="33" borderId="29" xfId="1" applyFont="1" applyFill="1" applyBorder="1" applyAlignment="1">
      <alignment horizontal="center" vertical="center" shrinkToFit="1"/>
    </xf>
    <xf numFmtId="0" fontId="28" fillId="33" borderId="30" xfId="1" applyFont="1" applyFill="1" applyBorder="1" applyAlignment="1">
      <alignment horizontal="center" vertical="center" shrinkToFit="1"/>
    </xf>
    <xf numFmtId="0" fontId="28" fillId="33" borderId="31" xfId="1" applyFont="1" applyFill="1" applyBorder="1" applyAlignment="1">
      <alignment horizontal="center" vertical="center" shrinkToFit="1"/>
    </xf>
    <xf numFmtId="0" fontId="28" fillId="33" borderId="25" xfId="1" applyFont="1" applyFill="1" applyBorder="1" applyAlignment="1">
      <alignment horizontal="center" vertical="center" shrinkToFit="1"/>
    </xf>
    <xf numFmtId="0" fontId="28" fillId="33" borderId="40" xfId="1" applyFont="1" applyFill="1" applyBorder="1" applyAlignment="1">
      <alignment horizontal="center" vertical="center" shrinkToFit="1"/>
    </xf>
    <xf numFmtId="0" fontId="28" fillId="33" borderId="26" xfId="1" applyFont="1" applyFill="1" applyBorder="1" applyAlignment="1">
      <alignment horizontal="center" vertical="center" shrinkToFit="1"/>
    </xf>
    <xf numFmtId="57" fontId="28" fillId="33" borderId="34" xfId="1" applyNumberFormat="1" applyFont="1" applyFill="1" applyBorder="1" applyAlignment="1">
      <alignment horizontal="center" vertical="center" shrinkToFit="1"/>
    </xf>
    <xf numFmtId="57" fontId="28" fillId="33" borderId="35" xfId="1" applyNumberFormat="1" applyFont="1" applyFill="1" applyBorder="1" applyAlignment="1">
      <alignment horizontal="center" vertical="center" shrinkToFit="1"/>
    </xf>
    <xf numFmtId="57" fontId="28" fillId="33" borderId="36" xfId="1" applyNumberFormat="1" applyFont="1" applyFill="1" applyBorder="1" applyAlignment="1">
      <alignment horizontal="center" vertical="center" shrinkToFit="1"/>
    </xf>
    <xf numFmtId="57" fontId="28" fillId="33" borderId="37" xfId="1" applyNumberFormat="1" applyFont="1" applyFill="1" applyBorder="1" applyAlignment="1">
      <alignment horizontal="center" vertical="center" shrinkToFit="1"/>
    </xf>
    <xf numFmtId="57" fontId="28" fillId="33" borderId="38" xfId="1" applyNumberFormat="1" applyFont="1" applyFill="1" applyBorder="1" applyAlignment="1">
      <alignment horizontal="center" vertical="center" shrinkToFit="1"/>
    </xf>
    <xf numFmtId="57" fontId="28" fillId="33" borderId="0" xfId="1" applyNumberFormat="1" applyFont="1" applyFill="1" applyAlignment="1">
      <alignment horizontal="center" vertical="center" shrinkToFit="1"/>
    </xf>
    <xf numFmtId="57" fontId="28" fillId="33" borderId="32" xfId="1" applyNumberFormat="1" applyFont="1" applyFill="1" applyBorder="1" applyAlignment="1">
      <alignment horizontal="center" vertical="center" shrinkToFit="1"/>
    </xf>
    <xf numFmtId="0" fontId="28" fillId="33" borderId="38" xfId="1" applyFont="1" applyFill="1" applyBorder="1" applyAlignment="1">
      <alignment horizontal="center" vertical="center" shrinkToFit="1"/>
    </xf>
    <xf numFmtId="3" fontId="28" fillId="33" borderId="34" xfId="1" applyNumberFormat="1" applyFont="1" applyFill="1" applyBorder="1" applyAlignment="1">
      <alignment vertical="center" shrinkToFit="1"/>
    </xf>
    <xf numFmtId="3" fontId="28" fillId="33" borderId="35" xfId="1" applyNumberFormat="1" applyFont="1" applyFill="1" applyBorder="1" applyAlignment="1">
      <alignment vertical="center" shrinkToFit="1"/>
    </xf>
    <xf numFmtId="3" fontId="28" fillId="33" borderId="36" xfId="1" applyNumberFormat="1" applyFont="1" applyFill="1" applyBorder="1" applyAlignment="1">
      <alignment vertical="center" shrinkToFit="1"/>
    </xf>
    <xf numFmtId="3" fontId="28" fillId="33" borderId="37" xfId="1" applyNumberFormat="1" applyFont="1" applyFill="1" applyBorder="1" applyAlignment="1">
      <alignment vertical="center" shrinkToFit="1"/>
    </xf>
    <xf numFmtId="38" fontId="28" fillId="33" borderId="38" xfId="1" applyNumberFormat="1" applyFont="1" applyFill="1" applyBorder="1" applyAlignment="1">
      <alignment horizontal="right" vertical="center" shrinkToFit="1"/>
    </xf>
    <xf numFmtId="3" fontId="28" fillId="33" borderId="34" xfId="1" applyNumberFormat="1" applyFont="1" applyFill="1" applyBorder="1" applyAlignment="1">
      <alignment shrinkToFit="1"/>
    </xf>
    <xf numFmtId="3" fontId="28" fillId="33" borderId="35" xfId="1" applyNumberFormat="1" applyFont="1" applyFill="1" applyBorder="1" applyAlignment="1">
      <alignment shrinkToFit="1"/>
    </xf>
    <xf numFmtId="3" fontId="28" fillId="33" borderId="36" xfId="1" applyNumberFormat="1" applyFont="1" applyFill="1" applyBorder="1" applyAlignment="1">
      <alignment shrinkToFit="1"/>
    </xf>
    <xf numFmtId="3" fontId="28" fillId="33" borderId="37" xfId="1" applyNumberFormat="1" applyFont="1" applyFill="1" applyBorder="1" applyAlignment="1">
      <alignment shrinkToFit="1"/>
    </xf>
    <xf numFmtId="0" fontId="28" fillId="33" borderId="38" xfId="1" applyFont="1" applyFill="1" applyBorder="1" applyAlignment="1">
      <alignment horizontal="right" shrinkToFit="1"/>
    </xf>
    <xf numFmtId="0" fontId="28" fillId="33" borderId="34" xfId="1" applyFont="1" applyFill="1" applyBorder="1" applyAlignment="1">
      <alignment horizontal="center" vertical="center" shrinkToFit="1"/>
    </xf>
    <xf numFmtId="0" fontId="28" fillId="33" borderId="35" xfId="1" applyFont="1" applyFill="1" applyBorder="1" applyAlignment="1">
      <alignment horizontal="center" vertical="center" shrinkToFit="1"/>
    </xf>
    <xf numFmtId="0" fontId="28" fillId="33" borderId="36" xfId="1" applyFont="1" applyFill="1" applyBorder="1" applyAlignment="1">
      <alignment horizontal="center" vertical="center" shrinkToFit="1"/>
    </xf>
    <xf numFmtId="0" fontId="28" fillId="33" borderId="37" xfId="1" applyFont="1" applyFill="1" applyBorder="1" applyAlignment="1">
      <alignment horizontal="center" vertical="center" shrinkToFit="1"/>
    </xf>
    <xf numFmtId="0" fontId="28" fillId="33" borderId="38" xfId="1" applyFont="1" applyFill="1" applyBorder="1" applyAlignment="1">
      <alignment horizontal="right" vertical="center" shrinkToFit="1"/>
    </xf>
    <xf numFmtId="3" fontId="28" fillId="33" borderId="38" xfId="1" applyNumberFormat="1" applyFont="1" applyFill="1" applyBorder="1" applyAlignment="1">
      <alignment horizontal="right" vertical="center" shrinkToFit="1"/>
    </xf>
    <xf numFmtId="0" fontId="27" fillId="33" borderId="35" xfId="1" applyFont="1" applyFill="1" applyBorder="1" applyAlignment="1">
      <alignment horizontal="center" vertical="center" shrinkToFit="1"/>
    </xf>
    <xf numFmtId="0" fontId="27" fillId="33" borderId="18" xfId="1" applyFont="1" applyFill="1" applyBorder="1" applyAlignment="1">
      <alignment horizontal="center" vertical="center" shrinkToFit="1"/>
    </xf>
    <xf numFmtId="0" fontId="27" fillId="33" borderId="19" xfId="1" applyFont="1" applyFill="1" applyBorder="1" applyAlignment="1">
      <alignment horizontal="center" vertical="center" shrinkToFit="1"/>
    </xf>
    <xf numFmtId="0" fontId="27" fillId="33" borderId="20" xfId="1" applyFont="1" applyFill="1" applyBorder="1" applyAlignment="1">
      <alignment horizontal="center" vertical="center" shrinkToFit="1"/>
    </xf>
    <xf numFmtId="0" fontId="27" fillId="33" borderId="21" xfId="1" applyFont="1" applyFill="1" applyBorder="1" applyAlignment="1">
      <alignment horizontal="center" vertical="center" shrinkToFit="1"/>
    </xf>
    <xf numFmtId="0" fontId="27" fillId="33" borderId="17" xfId="1" applyFont="1" applyFill="1" applyBorder="1" applyAlignment="1">
      <alignment horizontal="center" vertical="center" shrinkToFit="1"/>
    </xf>
    <xf numFmtId="0" fontId="27" fillId="33" borderId="23" xfId="1" applyFont="1" applyFill="1" applyBorder="1" applyAlignment="1">
      <alignment horizontal="center" vertical="center" shrinkToFit="1"/>
    </xf>
    <xf numFmtId="0" fontId="28" fillId="33" borderId="17" xfId="1" applyFont="1" applyFill="1" applyBorder="1" applyAlignment="1">
      <alignment horizontal="center" vertical="center" shrinkToFit="1"/>
    </xf>
    <xf numFmtId="0" fontId="6" fillId="33" borderId="38" xfId="1" applyFont="1" applyFill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3" fontId="6" fillId="33" borderId="34" xfId="1" applyNumberFormat="1" applyFont="1" applyFill="1" applyBorder="1" applyAlignment="1">
      <alignment vertical="center" shrinkToFit="1"/>
    </xf>
    <xf numFmtId="3" fontId="6" fillId="33" borderId="35" xfId="1" applyNumberFormat="1" applyFont="1" applyFill="1" applyBorder="1" applyAlignment="1">
      <alignment vertical="center" shrinkToFit="1"/>
    </xf>
    <xf numFmtId="3" fontId="6" fillId="33" borderId="36" xfId="1" applyNumberFormat="1" applyFont="1" applyFill="1" applyBorder="1" applyAlignment="1">
      <alignment vertical="center" shrinkToFit="1"/>
    </xf>
    <xf numFmtId="3" fontId="6" fillId="33" borderId="0" xfId="1" applyNumberFormat="1" applyFont="1" applyFill="1" applyAlignment="1">
      <alignment vertical="center" shrinkToFit="1"/>
    </xf>
    <xf numFmtId="3" fontId="6" fillId="33" borderId="32" xfId="1" applyNumberFormat="1" applyFont="1" applyFill="1" applyBorder="1" applyAlignment="1">
      <alignment vertical="center" shrinkToFit="1"/>
    </xf>
    <xf numFmtId="3" fontId="6" fillId="33" borderId="38" xfId="1" applyNumberFormat="1" applyFont="1" applyFill="1" applyBorder="1" applyAlignment="1">
      <alignment vertical="center" shrinkToFit="1"/>
    </xf>
    <xf numFmtId="3" fontId="6" fillId="33" borderId="34" xfId="1" applyNumberFormat="1" applyFont="1" applyFill="1" applyBorder="1" applyAlignment="1">
      <alignment shrinkToFit="1"/>
    </xf>
    <xf numFmtId="3" fontId="6" fillId="33" borderId="35" xfId="1" applyNumberFormat="1" applyFont="1" applyFill="1" applyBorder="1" applyAlignment="1">
      <alignment shrinkToFit="1"/>
    </xf>
    <xf numFmtId="3" fontId="6" fillId="33" borderId="36" xfId="1" applyNumberFormat="1" applyFont="1" applyFill="1" applyBorder="1" applyAlignment="1">
      <alignment shrinkToFit="1"/>
    </xf>
    <xf numFmtId="3" fontId="6" fillId="33" borderId="0" xfId="1" applyNumberFormat="1" applyFont="1" applyFill="1" applyAlignment="1">
      <alignment shrinkToFit="1"/>
    </xf>
    <xf numFmtId="3" fontId="6" fillId="33" borderId="32" xfId="1" applyNumberFormat="1" applyFont="1" applyFill="1" applyBorder="1" applyAlignment="1">
      <alignment shrinkToFit="1"/>
    </xf>
    <xf numFmtId="3" fontId="6" fillId="33" borderId="38" xfId="1" applyNumberFormat="1" applyFont="1" applyFill="1" applyBorder="1" applyAlignment="1">
      <alignment shrinkToFit="1"/>
    </xf>
    <xf numFmtId="0" fontId="6" fillId="33" borderId="34" xfId="1" applyFont="1" applyFill="1" applyBorder="1" applyAlignment="1">
      <alignment horizontal="center" vertical="center" shrinkToFit="1"/>
    </xf>
    <xf numFmtId="0" fontId="6" fillId="33" borderId="35" xfId="1" applyFont="1" applyFill="1" applyBorder="1" applyAlignment="1">
      <alignment horizontal="center" vertical="center" shrinkToFit="1"/>
    </xf>
    <xf numFmtId="0" fontId="6" fillId="33" borderId="36" xfId="1" applyFont="1" applyFill="1" applyBorder="1" applyAlignment="1">
      <alignment horizontal="center" vertical="center" shrinkToFit="1"/>
    </xf>
    <xf numFmtId="0" fontId="6" fillId="33" borderId="0" xfId="1" applyFont="1" applyFill="1" applyAlignment="1">
      <alignment horizontal="center" vertical="center" shrinkToFit="1"/>
    </xf>
    <xf numFmtId="0" fontId="6" fillId="33" borderId="32" xfId="1" applyFont="1" applyFill="1" applyBorder="1" applyAlignment="1">
      <alignment horizontal="center" vertical="center" shrinkToFit="1"/>
    </xf>
    <xf numFmtId="0" fontId="30" fillId="33" borderId="38" xfId="1" applyFont="1" applyFill="1" applyBorder="1" applyAlignment="1">
      <alignment horizontal="center" vertical="center" wrapText="1" shrinkToFit="1"/>
    </xf>
    <xf numFmtId="3" fontId="6" fillId="33" borderId="33" xfId="1" applyNumberFormat="1" applyFont="1" applyFill="1" applyBorder="1" applyAlignment="1">
      <alignment vertical="center" shrinkToFit="1"/>
    </xf>
    <xf numFmtId="0" fontId="8" fillId="33" borderId="34" xfId="1" applyFont="1" applyFill="1" applyBorder="1" applyAlignment="1">
      <alignment horizontal="center" vertical="center" shrinkToFit="1"/>
    </xf>
    <xf numFmtId="0" fontId="8" fillId="33" borderId="35" xfId="1" applyFont="1" applyFill="1" applyBorder="1" applyAlignment="1">
      <alignment horizontal="center" vertical="center" shrinkToFit="1"/>
    </xf>
    <xf numFmtId="0" fontId="8" fillId="33" borderId="36" xfId="1" applyFont="1" applyFill="1" applyBorder="1" applyAlignment="1">
      <alignment horizontal="center" vertical="center" shrinkToFit="1"/>
    </xf>
    <xf numFmtId="0" fontId="8" fillId="33" borderId="32" xfId="1" applyFont="1" applyFill="1" applyBorder="1" applyAlignment="1">
      <alignment horizontal="center" vertical="center" shrinkToFit="1"/>
    </xf>
    <xf numFmtId="0" fontId="8" fillId="33" borderId="38" xfId="1" applyFont="1" applyFill="1" applyBorder="1" applyAlignment="1">
      <alignment horizontal="center" vertical="center" shrinkToFit="1"/>
    </xf>
    <xf numFmtId="3" fontId="6" fillId="0" borderId="0" xfId="1" applyNumberFormat="1" applyFont="1" applyAlignment="1">
      <alignment vertical="center" shrinkToFit="1"/>
    </xf>
    <xf numFmtId="0" fontId="6" fillId="0" borderId="18" xfId="1" applyFont="1" applyBorder="1" applyAlignment="1">
      <alignment horizontal="center" vertical="center" shrinkToFit="1"/>
    </xf>
    <xf numFmtId="0" fontId="6" fillId="0" borderId="19" xfId="1" applyFont="1" applyBorder="1" applyAlignment="1">
      <alignment horizontal="center" vertical="center" shrinkToFit="1"/>
    </xf>
    <xf numFmtId="0" fontId="32" fillId="0" borderId="19" xfId="1" applyFont="1" applyBorder="1" applyAlignment="1">
      <alignment horizontal="center" vertical="center" wrapText="1" shrinkToFit="1"/>
    </xf>
    <xf numFmtId="0" fontId="6" fillId="0" borderId="20" xfId="1" applyFont="1" applyBorder="1" applyAlignment="1">
      <alignment horizontal="center" vertical="center" shrinkToFit="1"/>
    </xf>
    <xf numFmtId="0" fontId="6" fillId="0" borderId="23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176" fontId="6" fillId="0" borderId="34" xfId="1" applyNumberFormat="1" applyFont="1" applyBorder="1" applyAlignment="1">
      <alignment vertical="center" shrinkToFit="1"/>
    </xf>
    <xf numFmtId="176" fontId="6" fillId="0" borderId="37" xfId="1" applyNumberFormat="1" applyFont="1" applyBorder="1" applyAlignment="1">
      <alignment vertical="center" shrinkToFit="1"/>
    </xf>
    <xf numFmtId="176" fontId="6" fillId="0" borderId="35" xfId="1" applyNumberFormat="1" applyFont="1" applyBorder="1" applyAlignment="1">
      <alignment vertical="center" shrinkToFit="1"/>
    </xf>
    <xf numFmtId="176" fontId="6" fillId="0" borderId="36" xfId="1" applyNumberFormat="1" applyFont="1" applyBorder="1" applyAlignment="1">
      <alignment vertical="center" shrinkToFit="1"/>
    </xf>
    <xf numFmtId="176" fontId="6" fillId="0" borderId="38" xfId="1" applyNumberFormat="1" applyFont="1" applyBorder="1" applyAlignment="1">
      <alignment vertical="center" shrinkToFit="1"/>
    </xf>
    <xf numFmtId="176" fontId="28" fillId="0" borderId="35" xfId="1" applyNumberFormat="1" applyFont="1" applyBorder="1" applyAlignment="1">
      <alignment vertical="center" shrinkToFit="1"/>
    </xf>
    <xf numFmtId="176" fontId="28" fillId="0" borderId="36" xfId="1" applyNumberFormat="1" applyFont="1" applyBorder="1" applyAlignment="1">
      <alignment vertical="center" shrinkToFit="1"/>
    </xf>
    <xf numFmtId="176" fontId="28" fillId="0" borderId="34" xfId="1" applyNumberFormat="1" applyFont="1" applyBorder="1" applyAlignment="1">
      <alignment vertical="center" shrinkToFit="1"/>
    </xf>
    <xf numFmtId="176" fontId="28" fillId="0" borderId="37" xfId="1" applyNumberFormat="1" applyFont="1" applyBorder="1" applyAlignment="1">
      <alignment vertical="center" shrinkToFit="1"/>
    </xf>
    <xf numFmtId="177" fontId="28" fillId="0" borderId="38" xfId="1" applyNumberFormat="1" applyFont="1" applyBorder="1" applyAlignment="1">
      <alignment horizontal="right" vertical="center" shrinkToFit="1"/>
    </xf>
    <xf numFmtId="0" fontId="6" fillId="0" borderId="0" xfId="1" applyFont="1" applyAlignment="1">
      <alignment vertical="center" shrinkToFit="1"/>
    </xf>
    <xf numFmtId="3" fontId="6" fillId="0" borderId="34" xfId="1" applyNumberFormat="1" applyFont="1" applyBorder="1" applyAlignment="1">
      <alignment vertical="center" shrinkToFit="1"/>
    </xf>
    <xf numFmtId="3" fontId="6" fillId="0" borderId="35" xfId="1" applyNumberFormat="1" applyFont="1" applyBorder="1" applyAlignment="1">
      <alignment vertical="center" shrinkToFit="1"/>
    </xf>
    <xf numFmtId="3" fontId="6" fillId="0" borderId="36" xfId="1" applyNumberFormat="1" applyFont="1" applyBorder="1" applyAlignment="1">
      <alignment vertical="center" shrinkToFit="1"/>
    </xf>
    <xf numFmtId="3" fontId="6" fillId="0" borderId="32" xfId="1" applyNumberFormat="1" applyFont="1" applyBorder="1" applyAlignment="1">
      <alignment vertical="center" shrinkToFit="1"/>
    </xf>
    <xf numFmtId="3" fontId="6" fillId="0" borderId="38" xfId="1" applyNumberFormat="1" applyFont="1" applyBorder="1" applyAlignment="1">
      <alignment vertical="center" shrinkToFit="1"/>
    </xf>
    <xf numFmtId="3" fontId="28" fillId="0" borderId="35" xfId="1" applyNumberFormat="1" applyFont="1" applyBorder="1" applyAlignment="1">
      <alignment vertical="center" shrinkToFit="1"/>
    </xf>
    <xf numFmtId="3" fontId="28" fillId="0" borderId="36" xfId="1" applyNumberFormat="1" applyFont="1" applyBorder="1" applyAlignment="1">
      <alignment vertical="center" shrinkToFit="1"/>
    </xf>
    <xf numFmtId="3" fontId="28" fillId="0" borderId="34" xfId="1" applyNumberFormat="1" applyFont="1" applyBorder="1" applyAlignment="1">
      <alignment vertical="center" shrinkToFit="1"/>
    </xf>
    <xf numFmtId="3" fontId="28" fillId="0" borderId="37" xfId="1" applyNumberFormat="1" applyFont="1" applyBorder="1" applyAlignment="1">
      <alignment vertical="center" shrinkToFit="1"/>
    </xf>
    <xf numFmtId="38" fontId="28" fillId="0" borderId="38" xfId="1" applyNumberFormat="1" applyFont="1" applyBorder="1" applyAlignment="1">
      <alignment horizontal="right" vertical="center" shrinkToFit="1"/>
    </xf>
    <xf numFmtId="176" fontId="6" fillId="0" borderId="32" xfId="1" applyNumberFormat="1" applyFont="1" applyBorder="1" applyAlignment="1">
      <alignment vertical="center" shrinkToFit="1"/>
    </xf>
    <xf numFmtId="178" fontId="28" fillId="0" borderId="38" xfId="1" applyNumberFormat="1" applyFont="1" applyBorder="1" applyAlignment="1">
      <alignment horizontal="right" vertical="center" shrinkToFit="1"/>
    </xf>
    <xf numFmtId="38" fontId="28" fillId="0" borderId="38" xfId="45" applyFont="1" applyFill="1" applyBorder="1" applyAlignment="1">
      <alignment horizontal="right" vertical="center" shrinkToFit="1"/>
    </xf>
    <xf numFmtId="38" fontId="0" fillId="0" borderId="0" xfId="45" applyFont="1" applyFill="1" applyAlignment="1"/>
    <xf numFmtId="38" fontId="6" fillId="0" borderId="0" xfId="45" applyFont="1" applyFill="1" applyAlignment="1">
      <alignment horizontal="center" vertical="center"/>
    </xf>
    <xf numFmtId="38" fontId="6" fillId="0" borderId="0" xfId="45" applyFont="1" applyFill="1" applyAlignment="1">
      <alignment vertical="center"/>
    </xf>
    <xf numFmtId="38" fontId="6" fillId="0" borderId="0" xfId="45" applyFont="1" applyFill="1" applyAlignment="1">
      <alignment vertical="center" shrinkToFit="1"/>
    </xf>
    <xf numFmtId="0" fontId="34" fillId="0" borderId="0" xfId="0" applyFont="1"/>
    <xf numFmtId="3" fontId="6" fillId="0" borderId="0" xfId="1" applyNumberFormat="1" applyFont="1"/>
    <xf numFmtId="38" fontId="6" fillId="0" borderId="12" xfId="45" applyFont="1" applyFill="1" applyBorder="1" applyAlignment="1"/>
    <xf numFmtId="178" fontId="6" fillId="0" borderId="12" xfId="45" applyNumberFormat="1" applyFont="1" applyFill="1" applyBorder="1" applyAlignment="1"/>
    <xf numFmtId="0" fontId="6" fillId="33" borderId="36" xfId="1" applyFont="1" applyFill="1" applyBorder="1" applyAlignment="1">
      <alignment horizontal="center" vertical="center" wrapText="1" shrinkToFit="1"/>
    </xf>
    <xf numFmtId="0" fontId="6" fillId="33" borderId="35" xfId="1" applyFont="1" applyFill="1" applyBorder="1" applyAlignment="1">
      <alignment horizontal="center" vertical="center" wrapText="1" shrinkToFit="1"/>
    </xf>
    <xf numFmtId="0" fontId="6" fillId="0" borderId="12" xfId="1" applyFont="1" applyBorder="1" applyAlignment="1">
      <alignment horizontal="left"/>
    </xf>
    <xf numFmtId="3" fontId="6" fillId="0" borderId="37" xfId="1" applyNumberFormat="1" applyFont="1" applyBorder="1" applyAlignment="1">
      <alignment vertical="center" shrinkToFit="1"/>
    </xf>
    <xf numFmtId="38" fontId="6" fillId="0" borderId="38" xfId="1" applyNumberFormat="1" applyFont="1" applyBorder="1" applyAlignment="1">
      <alignment horizontal="right" vertical="center" shrinkToFit="1"/>
    </xf>
    <xf numFmtId="178" fontId="6" fillId="0" borderId="38" xfId="1" applyNumberFormat="1" applyFont="1" applyBorder="1" applyAlignment="1">
      <alignment horizontal="right" vertical="center" shrinkToFit="1"/>
    </xf>
    <xf numFmtId="2" fontId="6" fillId="0" borderId="0" xfId="1" applyNumberFormat="1" applyFont="1"/>
    <xf numFmtId="38" fontId="6" fillId="0" borderId="12" xfId="45" applyFont="1" applyBorder="1" applyAlignment="1"/>
    <xf numFmtId="178" fontId="6" fillId="0" borderId="12" xfId="45" applyNumberFormat="1" applyFont="1" applyBorder="1" applyAlignment="1"/>
    <xf numFmtId="0" fontId="28" fillId="0" borderId="0" xfId="1" applyFont="1" applyAlignment="1">
      <alignment horizontal="left"/>
    </xf>
    <xf numFmtId="38" fontId="6" fillId="0" borderId="0" xfId="45" applyFont="1" applyFill="1" applyBorder="1" applyAlignment="1"/>
    <xf numFmtId="0" fontId="28" fillId="0" borderId="12" xfId="1" applyFont="1" applyBorder="1"/>
    <xf numFmtId="0" fontId="0" fillId="0" borderId="12" xfId="0" applyBorder="1"/>
    <xf numFmtId="38" fontId="6" fillId="0" borderId="12" xfId="1" applyNumberFormat="1" applyFont="1" applyBorder="1"/>
    <xf numFmtId="0" fontId="0" fillId="0" borderId="41" xfId="0" applyBorder="1"/>
    <xf numFmtId="38" fontId="6" fillId="0" borderId="41" xfId="1" applyNumberFormat="1" applyFont="1" applyBorder="1"/>
    <xf numFmtId="0" fontId="8" fillId="0" borderId="0" xfId="1" applyFont="1"/>
    <xf numFmtId="0" fontId="7" fillId="0" borderId="17" xfId="0" applyFont="1" applyBorder="1"/>
    <xf numFmtId="38" fontId="6" fillId="0" borderId="17" xfId="1" applyNumberFormat="1" applyFont="1" applyBorder="1"/>
    <xf numFmtId="0" fontId="8" fillId="0" borderId="0" xfId="1" applyFont="1" applyAlignment="1">
      <alignment vertical="center" shrinkToFit="1"/>
    </xf>
    <xf numFmtId="0" fontId="34" fillId="0" borderId="12" xfId="0" applyFont="1" applyBorder="1"/>
    <xf numFmtId="0" fontId="34" fillId="0" borderId="41" xfId="0" applyFont="1" applyBorder="1"/>
    <xf numFmtId="38" fontId="6" fillId="0" borderId="41" xfId="45" applyFont="1" applyFill="1" applyBorder="1" applyAlignment="1"/>
    <xf numFmtId="0" fontId="34" fillId="0" borderId="17" xfId="0" applyFont="1" applyBorder="1"/>
    <xf numFmtId="38" fontId="6" fillId="0" borderId="17" xfId="45" applyFont="1" applyFill="1" applyBorder="1" applyAlignment="1"/>
    <xf numFmtId="178" fontId="6" fillId="0" borderId="0" xfId="1" applyNumberFormat="1" applyFont="1" applyAlignment="1">
      <alignment vertical="center"/>
    </xf>
    <xf numFmtId="179" fontId="28" fillId="0" borderId="0" xfId="1" applyNumberFormat="1" applyFont="1" applyAlignment="1">
      <alignment horizontal="left" vertical="center"/>
    </xf>
    <xf numFmtId="0" fontId="6" fillId="0" borderId="10" xfId="1" applyFont="1" applyBorder="1" applyAlignment="1">
      <alignment horizontal="center" vertical="center" shrinkToFit="1"/>
    </xf>
    <xf numFmtId="57" fontId="6" fillId="0" borderId="0" xfId="1" applyNumberFormat="1" applyFont="1" applyAlignment="1">
      <alignment vertical="center"/>
    </xf>
    <xf numFmtId="180" fontId="6" fillId="33" borderId="34" xfId="1" applyNumberFormat="1" applyFont="1" applyFill="1" applyBorder="1" applyAlignment="1">
      <alignment vertical="center" shrinkToFit="1"/>
    </xf>
    <xf numFmtId="180" fontId="6" fillId="33" borderId="35" xfId="1" applyNumberFormat="1" applyFont="1" applyFill="1" applyBorder="1" applyAlignment="1">
      <alignment vertical="center" shrinkToFit="1"/>
    </xf>
    <xf numFmtId="180" fontId="6" fillId="33" borderId="36" xfId="1" applyNumberFormat="1" applyFont="1" applyFill="1" applyBorder="1" applyAlignment="1">
      <alignment vertical="center" shrinkToFit="1"/>
    </xf>
    <xf numFmtId="180" fontId="6" fillId="33" borderId="0" xfId="1" applyNumberFormat="1" applyFont="1" applyFill="1" applyAlignment="1">
      <alignment vertical="center" shrinkToFit="1"/>
    </xf>
    <xf numFmtId="180" fontId="6" fillId="33" borderId="32" xfId="1" applyNumberFormat="1" applyFont="1" applyFill="1" applyBorder="1" applyAlignment="1">
      <alignment vertical="center" shrinkToFit="1"/>
    </xf>
    <xf numFmtId="180" fontId="6" fillId="33" borderId="38" xfId="1" applyNumberFormat="1" applyFont="1" applyFill="1" applyBorder="1" applyAlignment="1">
      <alignment vertical="center" shrinkToFit="1"/>
    </xf>
    <xf numFmtId="0" fontId="35" fillId="0" borderId="0" xfId="0" applyFont="1" applyAlignment="1">
      <alignment vertical="center"/>
    </xf>
    <xf numFmtId="0" fontId="6" fillId="34" borderId="0" xfId="1" applyFont="1" applyFill="1" applyAlignment="1">
      <alignment vertical="center" shrinkToFit="1"/>
    </xf>
    <xf numFmtId="0" fontId="6" fillId="34" borderId="0" xfId="1" applyFont="1" applyFill="1"/>
    <xf numFmtId="0" fontId="6" fillId="34" borderId="0" xfId="1" applyFont="1" applyFill="1" applyAlignment="1">
      <alignment vertical="center"/>
    </xf>
    <xf numFmtId="181" fontId="6" fillId="34" borderId="0" xfId="1" applyNumberFormat="1" applyFont="1" applyFill="1" applyAlignment="1">
      <alignment vertical="center" shrinkToFit="1"/>
    </xf>
    <xf numFmtId="181" fontId="6" fillId="34" borderId="0" xfId="1" applyNumberFormat="1" applyFont="1" applyFill="1"/>
    <xf numFmtId="181" fontId="6" fillId="34" borderId="0" xfId="1" applyNumberFormat="1" applyFont="1" applyFill="1" applyAlignment="1">
      <alignment vertical="center"/>
    </xf>
    <xf numFmtId="181" fontId="6" fillId="0" borderId="0" xfId="1" applyNumberFormat="1" applyFont="1" applyAlignment="1">
      <alignment vertical="center"/>
    </xf>
    <xf numFmtId="181" fontId="6" fillId="0" borderId="0" xfId="1" applyNumberFormat="1" applyFont="1" applyAlignment="1">
      <alignment vertical="center" shrinkToFit="1"/>
    </xf>
    <xf numFmtId="181" fontId="6" fillId="34" borderId="12" xfId="1" applyNumberFormat="1" applyFont="1" applyFill="1" applyBorder="1" applyAlignment="1">
      <alignment vertical="center" shrinkToFit="1"/>
    </xf>
    <xf numFmtId="181" fontId="6" fillId="34" borderId="12" xfId="1" applyNumberFormat="1" applyFont="1" applyFill="1" applyBorder="1" applyAlignment="1">
      <alignment vertical="center"/>
    </xf>
    <xf numFmtId="181" fontId="6" fillId="0" borderId="0" xfId="1" applyNumberFormat="1" applyFont="1"/>
    <xf numFmtId="180" fontId="6" fillId="34" borderId="12" xfId="1" applyNumberFormat="1" applyFont="1" applyFill="1" applyBorder="1" applyAlignment="1">
      <alignment vertical="center" shrinkToFit="1"/>
    </xf>
    <xf numFmtId="180" fontId="6" fillId="34" borderId="12" xfId="1" applyNumberFormat="1" applyFont="1" applyFill="1" applyBorder="1" applyAlignment="1">
      <alignment vertical="center"/>
    </xf>
    <xf numFmtId="180" fontId="6" fillId="0" borderId="0" xfId="1" applyNumberFormat="1" applyFont="1" applyAlignment="1">
      <alignment vertical="center"/>
    </xf>
    <xf numFmtId="180" fontId="6" fillId="0" borderId="0" xfId="1" applyNumberFormat="1" applyFont="1"/>
    <xf numFmtId="181" fontId="36" fillId="34" borderId="12" xfId="1" applyNumberFormat="1" applyFont="1" applyFill="1" applyBorder="1" applyAlignment="1">
      <alignment vertical="center"/>
    </xf>
    <xf numFmtId="181" fontId="36" fillId="0" borderId="0" xfId="1" applyNumberFormat="1" applyFont="1" applyAlignment="1">
      <alignment vertical="center"/>
    </xf>
    <xf numFmtId="180" fontId="36" fillId="34" borderId="12" xfId="1" applyNumberFormat="1" applyFont="1" applyFill="1" applyBorder="1" applyAlignment="1">
      <alignment vertical="center"/>
    </xf>
    <xf numFmtId="180" fontId="36" fillId="0" borderId="0" xfId="1" applyNumberFormat="1" applyFont="1" applyAlignment="1">
      <alignment vertical="center"/>
    </xf>
    <xf numFmtId="180" fontId="36" fillId="34" borderId="40" xfId="1" applyNumberFormat="1" applyFont="1" applyFill="1" applyBorder="1" applyAlignment="1">
      <alignment vertical="center"/>
    </xf>
    <xf numFmtId="180" fontId="6" fillId="34" borderId="40" xfId="1" applyNumberFormat="1" applyFont="1" applyFill="1" applyBorder="1" applyAlignment="1">
      <alignment vertical="center"/>
    </xf>
    <xf numFmtId="0" fontId="28" fillId="0" borderId="23" xfId="1" applyFont="1" applyBorder="1" applyAlignment="1">
      <alignment horizontal="left" vertical="center"/>
    </xf>
    <xf numFmtId="0" fontId="28" fillId="0" borderId="22" xfId="1" applyFont="1" applyBorder="1" applyAlignment="1">
      <alignment horizontal="left" vertical="center"/>
    </xf>
    <xf numFmtId="0" fontId="28" fillId="33" borderId="32" xfId="1" applyFont="1" applyFill="1" applyBorder="1" applyAlignment="1">
      <alignment horizontal="left" vertical="center"/>
    </xf>
    <xf numFmtId="0" fontId="28" fillId="33" borderId="33" xfId="1" applyFont="1" applyFill="1" applyBorder="1" applyAlignment="1">
      <alignment horizontal="left" vertical="center"/>
    </xf>
    <xf numFmtId="0" fontId="6" fillId="0" borderId="32" xfId="1" applyFont="1" applyBorder="1" applyAlignment="1">
      <alignment horizontal="left" vertical="center"/>
    </xf>
    <xf numFmtId="0" fontId="6" fillId="0" borderId="33" xfId="1" applyFont="1" applyBorder="1" applyAlignment="1">
      <alignment horizontal="left" vertical="center"/>
    </xf>
    <xf numFmtId="0" fontId="28" fillId="0" borderId="32" xfId="1" applyFont="1" applyBorder="1" applyAlignment="1">
      <alignment horizontal="left" vertical="center"/>
    </xf>
    <xf numFmtId="0" fontId="28" fillId="0" borderId="33" xfId="1" applyFont="1" applyBorder="1" applyAlignment="1">
      <alignment horizontal="left" vertical="center"/>
    </xf>
    <xf numFmtId="0" fontId="28" fillId="0" borderId="32" xfId="1" applyFont="1" applyBorder="1" applyAlignment="1">
      <alignment horizontal="left" vertical="center" shrinkToFit="1"/>
    </xf>
    <xf numFmtId="0" fontId="28" fillId="0" borderId="33" xfId="1" applyFont="1" applyBorder="1" applyAlignment="1">
      <alignment horizontal="left" vertical="center" shrinkToFit="1"/>
    </xf>
    <xf numFmtId="0" fontId="3" fillId="0" borderId="10" xfId="1" applyFont="1" applyBorder="1" applyAlignment="1">
      <alignment vertical="top" shrinkToFit="1"/>
    </xf>
    <xf numFmtId="0" fontId="28" fillId="0" borderId="26" xfId="1" applyFont="1" applyBorder="1" applyAlignment="1">
      <alignment horizontal="left" vertical="center"/>
    </xf>
    <xf numFmtId="0" fontId="28" fillId="0" borderId="27" xfId="1" applyFont="1" applyBorder="1" applyAlignment="1">
      <alignment horizontal="left" vertical="center"/>
    </xf>
    <xf numFmtId="57" fontId="28" fillId="0" borderId="32" xfId="1" applyNumberFormat="1" applyFont="1" applyBorder="1" applyAlignment="1">
      <alignment horizontal="left" vertical="center" shrinkToFit="1"/>
    </xf>
    <xf numFmtId="57" fontId="28" fillId="0" borderId="33" xfId="1" applyNumberFormat="1" applyFont="1" applyBorder="1" applyAlignment="1">
      <alignment horizontal="left" vertical="center" shrinkToFit="1"/>
    </xf>
    <xf numFmtId="181" fontId="6" fillId="0" borderId="0" xfId="1" applyNumberFormat="1" applyFont="1" applyAlignment="1">
      <alignment horizontal="right" vertical="center"/>
    </xf>
    <xf numFmtId="180" fontId="6" fillId="0" borderId="0" xfId="1" applyNumberFormat="1" applyFont="1" applyAlignment="1">
      <alignment horizontal="right" vertical="center"/>
    </xf>
  </cellXfs>
  <cellStyles count="47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桁区切り" xfId="45" builtinId="6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 4" xfId="46" xr:uid="{00000000-0005-0000-0000-00002C000000}"/>
    <cellStyle name="標準_18" xfId="1" xr:uid="{00000000-0005-0000-0000-00002D000000}"/>
    <cellStyle name="良い 2" xfId="44" xr:uid="{00000000-0005-0000-0000-00002E000000}"/>
  </cellStyles>
  <dxfs count="0"/>
  <tableStyles count="0" defaultTableStyle="TableStyleMedium2" defaultPivotStyle="PivotStyleLight16"/>
  <colors>
    <mruColors>
      <color rgb="FF66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D152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G1" sqref="AG1"/>
    </sheetView>
  </sheetViews>
  <sheetFormatPr defaultColWidth="8" defaultRowHeight="14.4"/>
  <cols>
    <col min="1" max="1" width="18" style="1" customWidth="1"/>
    <col min="2" max="2" width="10.21875" style="8" customWidth="1"/>
    <col min="3" max="21" width="8.6640625" style="1" customWidth="1"/>
    <col min="22" max="31" width="8.6640625" style="1" hidden="1" customWidth="1"/>
    <col min="32" max="32" width="10" style="2" customWidth="1"/>
    <col min="33" max="33" width="10.44140625" style="129" bestFit="1" customWidth="1"/>
    <col min="34" max="34" width="30.77734375" style="1" customWidth="1"/>
    <col min="35" max="35" width="9" style="1" customWidth="1"/>
    <col min="36" max="36" width="14.44140625" style="1" customWidth="1"/>
    <col min="37" max="39" width="10.77734375" style="1" customWidth="1"/>
    <col min="40" max="40" width="8" style="1" customWidth="1"/>
    <col min="41" max="41" width="9.44140625" style="1" customWidth="1"/>
    <col min="42" max="42" width="7.33203125" style="1" customWidth="1"/>
    <col min="43" max="43" width="8" style="1" customWidth="1"/>
    <col min="44" max="44" width="30.77734375" style="1" customWidth="1"/>
    <col min="45" max="45" width="9" style="1" customWidth="1"/>
    <col min="46" max="49" width="10.77734375" style="1" customWidth="1"/>
    <col min="50" max="50" width="8" style="1"/>
    <col min="51" max="51" width="30.77734375" style="1" customWidth="1"/>
    <col min="52" max="52" width="9" style="1" customWidth="1"/>
    <col min="53" max="56" width="10.77734375" style="1" customWidth="1"/>
    <col min="57" max="16384" width="8" style="1"/>
  </cols>
  <sheetData>
    <row r="1" spans="1:56" ht="30" customHeight="1">
      <c r="A1" s="204" t="s">
        <v>0</v>
      </c>
      <c r="B1" s="204"/>
    </row>
    <row r="2" spans="1:56" s="3" customFormat="1" ht="32.1" customHeight="1">
      <c r="A2" s="10" t="s">
        <v>1</v>
      </c>
      <c r="B2" s="11" t="s">
        <v>2</v>
      </c>
      <c r="C2" s="68" t="s">
        <v>30</v>
      </c>
      <c r="D2" s="69" t="s">
        <v>30</v>
      </c>
      <c r="E2" s="69" t="s">
        <v>30</v>
      </c>
      <c r="F2" s="70" t="s">
        <v>30</v>
      </c>
      <c r="G2" s="71" t="s">
        <v>83</v>
      </c>
      <c r="H2" s="72" t="s">
        <v>31</v>
      </c>
      <c r="I2" s="68" t="s">
        <v>32</v>
      </c>
      <c r="J2" s="70" t="s">
        <v>32</v>
      </c>
      <c r="K2" s="72" t="s">
        <v>33</v>
      </c>
      <c r="L2" s="73" t="s">
        <v>96</v>
      </c>
      <c r="M2" s="68" t="s">
        <v>34</v>
      </c>
      <c r="N2" s="69" t="s">
        <v>34</v>
      </c>
      <c r="O2" s="69" t="s">
        <v>34</v>
      </c>
      <c r="P2" s="69" t="s">
        <v>34</v>
      </c>
      <c r="Q2" s="69" t="s">
        <v>34</v>
      </c>
      <c r="R2" s="69" t="s">
        <v>34</v>
      </c>
      <c r="S2" s="69" t="s">
        <v>34</v>
      </c>
      <c r="T2" s="70" t="s">
        <v>34</v>
      </c>
      <c r="U2" s="68" t="s">
        <v>35</v>
      </c>
      <c r="V2" s="13">
        <v>0</v>
      </c>
      <c r="W2" s="13">
        <v>0</v>
      </c>
      <c r="X2" s="13">
        <v>0</v>
      </c>
      <c r="Y2" s="14">
        <v>0</v>
      </c>
      <c r="Z2" s="12">
        <v>0</v>
      </c>
      <c r="AA2" s="13">
        <v>0</v>
      </c>
      <c r="AB2" s="13">
        <v>0</v>
      </c>
      <c r="AC2" s="13">
        <v>0</v>
      </c>
      <c r="AD2" s="13">
        <v>0</v>
      </c>
      <c r="AE2" s="14">
        <v>0</v>
      </c>
      <c r="AF2" s="15" t="s">
        <v>3</v>
      </c>
      <c r="AG2" s="130"/>
      <c r="AI2" s="8"/>
    </row>
    <row r="3" spans="1:56" s="3" customFormat="1" ht="32.1" customHeight="1">
      <c r="A3" s="16"/>
      <c r="B3" s="17" t="s">
        <v>4</v>
      </c>
      <c r="C3" s="99" t="s">
        <v>36</v>
      </c>
      <c r="D3" s="101" t="s">
        <v>37</v>
      </c>
      <c r="E3" s="100" t="s">
        <v>38</v>
      </c>
      <c r="F3" s="102" t="s">
        <v>39</v>
      </c>
      <c r="G3" s="164" t="s">
        <v>84</v>
      </c>
      <c r="H3" s="103" t="s">
        <v>40</v>
      </c>
      <c r="I3" s="68" t="s">
        <v>41</v>
      </c>
      <c r="J3" s="70" t="s">
        <v>42</v>
      </c>
      <c r="K3" s="73" t="s">
        <v>33</v>
      </c>
      <c r="L3" s="104" t="s">
        <v>96</v>
      </c>
      <c r="M3" s="99" t="s">
        <v>43</v>
      </c>
      <c r="N3" s="100" t="s">
        <v>44</v>
      </c>
      <c r="O3" s="100" t="s">
        <v>45</v>
      </c>
      <c r="P3" s="69" t="s">
        <v>46</v>
      </c>
      <c r="Q3" s="100" t="s">
        <v>47</v>
      </c>
      <c r="R3" s="69" t="s">
        <v>48</v>
      </c>
      <c r="S3" s="100" t="s">
        <v>49</v>
      </c>
      <c r="T3" s="102" t="s">
        <v>50</v>
      </c>
      <c r="U3" s="99" t="s">
        <v>51</v>
      </c>
      <c r="V3" s="19">
        <v>0</v>
      </c>
      <c r="W3" s="19">
        <v>0</v>
      </c>
      <c r="X3" s="19">
        <v>0</v>
      </c>
      <c r="Y3" s="20">
        <v>0</v>
      </c>
      <c r="Z3" s="18">
        <v>0</v>
      </c>
      <c r="AA3" s="19">
        <v>0</v>
      </c>
      <c r="AB3" s="19">
        <v>0</v>
      </c>
      <c r="AC3" s="19">
        <v>0</v>
      </c>
      <c r="AD3" s="19">
        <v>0</v>
      </c>
      <c r="AE3" s="20">
        <v>0</v>
      </c>
      <c r="AF3" s="73" t="s">
        <v>112</v>
      </c>
      <c r="AG3" s="130"/>
      <c r="AI3" s="8"/>
    </row>
    <row r="4" spans="1:56" s="3" customFormat="1" ht="27" customHeight="1">
      <c r="A4" s="21"/>
      <c r="B4" s="11" t="s">
        <v>5</v>
      </c>
      <c r="C4" s="22">
        <v>213001</v>
      </c>
      <c r="D4" s="23">
        <v>213002</v>
      </c>
      <c r="E4" s="23">
        <v>213003</v>
      </c>
      <c r="F4" s="24">
        <v>213004</v>
      </c>
      <c r="G4" s="25">
        <v>301001</v>
      </c>
      <c r="H4" s="26">
        <v>321001</v>
      </c>
      <c r="I4" s="22">
        <v>402001</v>
      </c>
      <c r="J4" s="24">
        <v>402002</v>
      </c>
      <c r="K4" s="26">
        <v>441006</v>
      </c>
      <c r="L4" s="11">
        <v>484007</v>
      </c>
      <c r="M4" s="22">
        <v>485001</v>
      </c>
      <c r="N4" s="23">
        <v>485002</v>
      </c>
      <c r="O4" s="23">
        <v>485003</v>
      </c>
      <c r="P4" s="23">
        <v>485004</v>
      </c>
      <c r="Q4" s="23">
        <v>485005</v>
      </c>
      <c r="R4" s="23">
        <v>485006</v>
      </c>
      <c r="S4" s="23">
        <v>485007</v>
      </c>
      <c r="T4" s="24">
        <v>485008</v>
      </c>
      <c r="U4" s="22">
        <v>503001</v>
      </c>
      <c r="V4" s="23">
        <v>0</v>
      </c>
      <c r="W4" s="23">
        <v>0</v>
      </c>
      <c r="X4" s="23">
        <v>0</v>
      </c>
      <c r="Y4" s="24">
        <v>0</v>
      </c>
      <c r="Z4" s="22">
        <v>0</v>
      </c>
      <c r="AA4" s="23">
        <v>0</v>
      </c>
      <c r="AB4" s="23">
        <v>0</v>
      </c>
      <c r="AC4" s="23">
        <v>0</v>
      </c>
      <c r="AD4" s="23">
        <v>0</v>
      </c>
      <c r="AE4" s="24">
        <v>0</v>
      </c>
      <c r="AF4" s="27"/>
      <c r="AG4" s="130"/>
      <c r="AH4" s="172" t="s">
        <v>160</v>
      </c>
      <c r="AI4" s="8"/>
      <c r="AR4" s="172" t="s">
        <v>160</v>
      </c>
      <c r="AY4" s="172" t="s">
        <v>160</v>
      </c>
    </row>
    <row r="5" spans="1:56" s="4" customFormat="1" ht="27" customHeight="1">
      <c r="A5" s="205" t="s">
        <v>6</v>
      </c>
      <c r="B5" s="206"/>
      <c r="C5" s="28" t="s">
        <v>52</v>
      </c>
      <c r="D5" s="29" t="s">
        <v>52</v>
      </c>
      <c r="E5" s="29" t="s">
        <v>52</v>
      </c>
      <c r="F5" s="30" t="s">
        <v>52</v>
      </c>
      <c r="G5" s="33" t="s">
        <v>85</v>
      </c>
      <c r="H5" s="34" t="s">
        <v>52</v>
      </c>
      <c r="I5" s="28" t="s">
        <v>52</v>
      </c>
      <c r="J5" s="30" t="s">
        <v>52</v>
      </c>
      <c r="K5" s="32" t="s">
        <v>52</v>
      </c>
      <c r="L5" s="32" t="s">
        <v>52</v>
      </c>
      <c r="M5" s="28" t="s">
        <v>52</v>
      </c>
      <c r="N5" s="29" t="s">
        <v>52</v>
      </c>
      <c r="O5" s="29" t="s">
        <v>52</v>
      </c>
      <c r="P5" s="29" t="s">
        <v>52</v>
      </c>
      <c r="Q5" s="29" t="s">
        <v>52</v>
      </c>
      <c r="R5" s="29" t="s">
        <v>52</v>
      </c>
      <c r="S5" s="29" t="s">
        <v>52</v>
      </c>
      <c r="T5" s="30" t="s">
        <v>52</v>
      </c>
      <c r="U5" s="28" t="s">
        <v>52</v>
      </c>
      <c r="V5" s="29" t="s">
        <v>52</v>
      </c>
      <c r="W5" s="29" t="s">
        <v>52</v>
      </c>
      <c r="X5" s="29">
        <v>0</v>
      </c>
      <c r="Y5" s="30">
        <v>0</v>
      </c>
      <c r="Z5" s="28">
        <v>0</v>
      </c>
      <c r="AA5" s="29">
        <v>0</v>
      </c>
      <c r="AB5" s="29">
        <v>0</v>
      </c>
      <c r="AC5" s="30">
        <v>0</v>
      </c>
      <c r="AD5" s="31">
        <v>0</v>
      </c>
      <c r="AE5" s="30">
        <v>0</v>
      </c>
      <c r="AF5" s="32"/>
      <c r="AG5" s="131"/>
      <c r="AH5" s="176" t="s">
        <v>128</v>
      </c>
      <c r="AI5" s="177"/>
      <c r="AJ5" s="178"/>
      <c r="AK5" s="178"/>
      <c r="AL5" s="178"/>
      <c r="AM5" s="178"/>
      <c r="AN5" s="179"/>
      <c r="AO5" s="179"/>
      <c r="AP5" s="179"/>
      <c r="AQ5" s="179"/>
      <c r="AR5" s="173" t="s">
        <v>128</v>
      </c>
      <c r="AS5" s="174"/>
      <c r="AT5" s="175"/>
      <c r="AU5" s="175"/>
      <c r="AV5" s="175"/>
      <c r="AW5" s="175"/>
      <c r="AY5" s="173" t="s">
        <v>128</v>
      </c>
      <c r="AZ5" s="174"/>
      <c r="BA5" s="175"/>
      <c r="BB5" s="175"/>
      <c r="BC5" s="175"/>
      <c r="BD5" s="175"/>
    </row>
    <row r="6" spans="1:56" s="5" customFormat="1" ht="27" customHeight="1">
      <c r="A6" s="207" t="s">
        <v>7</v>
      </c>
      <c r="B6" s="208"/>
      <c r="C6" s="35" t="s">
        <v>54</v>
      </c>
      <c r="D6" s="36" t="s">
        <v>55</v>
      </c>
      <c r="E6" s="36" t="s">
        <v>56</v>
      </c>
      <c r="F6" s="37" t="s">
        <v>57</v>
      </c>
      <c r="G6" s="40" t="s">
        <v>103</v>
      </c>
      <c r="H6" s="41" t="s">
        <v>59</v>
      </c>
      <c r="I6" s="35" t="s">
        <v>60</v>
      </c>
      <c r="J6" s="37" t="s">
        <v>104</v>
      </c>
      <c r="K6" s="39" t="s">
        <v>109</v>
      </c>
      <c r="L6" s="39" t="s">
        <v>62</v>
      </c>
      <c r="M6" s="35" t="s">
        <v>63</v>
      </c>
      <c r="N6" s="36" t="s">
        <v>58</v>
      </c>
      <c r="O6" s="36" t="s">
        <v>64</v>
      </c>
      <c r="P6" s="36" t="s">
        <v>65</v>
      </c>
      <c r="Q6" s="36" t="s">
        <v>53</v>
      </c>
      <c r="R6" s="36" t="s">
        <v>66</v>
      </c>
      <c r="S6" s="36" t="s">
        <v>61</v>
      </c>
      <c r="T6" s="37" t="s">
        <v>67</v>
      </c>
      <c r="U6" s="35" t="s">
        <v>105</v>
      </c>
      <c r="V6" s="36">
        <v>0</v>
      </c>
      <c r="W6" s="36">
        <v>0</v>
      </c>
      <c r="X6" s="36">
        <v>0</v>
      </c>
      <c r="Y6" s="37">
        <v>0</v>
      </c>
      <c r="Z6" s="35">
        <v>0</v>
      </c>
      <c r="AA6" s="36">
        <v>0</v>
      </c>
      <c r="AB6" s="36">
        <v>0</v>
      </c>
      <c r="AC6" s="37">
        <v>0</v>
      </c>
      <c r="AD6" s="38">
        <v>0</v>
      </c>
      <c r="AE6" s="37">
        <v>0</v>
      </c>
      <c r="AF6" s="42"/>
      <c r="AG6" s="132"/>
      <c r="AH6" s="176" t="s">
        <v>140</v>
      </c>
      <c r="AI6" s="178" t="s">
        <v>130</v>
      </c>
      <c r="AJ6" s="176" t="s">
        <v>129</v>
      </c>
      <c r="AK6" s="176" t="s">
        <v>131</v>
      </c>
      <c r="AL6" s="178" t="s">
        <v>132</v>
      </c>
      <c r="AM6" s="178" t="s">
        <v>139</v>
      </c>
      <c r="AN6" s="180"/>
      <c r="AO6" s="180"/>
      <c r="AP6" s="180"/>
      <c r="AQ6" s="180"/>
      <c r="AR6" s="173" t="s">
        <v>141</v>
      </c>
      <c r="AS6" s="175" t="s">
        <v>130</v>
      </c>
      <c r="AT6" s="173" t="s">
        <v>129</v>
      </c>
      <c r="AU6" s="173" t="s">
        <v>131</v>
      </c>
      <c r="AV6" s="175" t="s">
        <v>132</v>
      </c>
      <c r="AW6" s="175" t="s">
        <v>139</v>
      </c>
      <c r="AX6" s="115"/>
      <c r="AY6" s="173" t="s">
        <v>142</v>
      </c>
      <c r="AZ6" s="175" t="s">
        <v>130</v>
      </c>
      <c r="BA6" s="173" t="s">
        <v>129</v>
      </c>
      <c r="BB6" s="173" t="s">
        <v>131</v>
      </c>
      <c r="BC6" s="175" t="s">
        <v>132</v>
      </c>
      <c r="BD6" s="175" t="s">
        <v>139</v>
      </c>
    </row>
    <row r="7" spans="1:56" s="4" customFormat="1" ht="27" customHeight="1">
      <c r="A7" s="200" t="s">
        <v>8</v>
      </c>
      <c r="B7" s="201"/>
      <c r="C7" s="166">
        <v>1540</v>
      </c>
      <c r="D7" s="167">
        <v>410</v>
      </c>
      <c r="E7" s="167">
        <v>670</v>
      </c>
      <c r="F7" s="168">
        <v>280</v>
      </c>
      <c r="G7" s="169">
        <v>289</v>
      </c>
      <c r="H7" s="170">
        <v>204</v>
      </c>
      <c r="I7" s="166">
        <v>4200</v>
      </c>
      <c r="J7" s="168">
        <v>280</v>
      </c>
      <c r="K7" s="171">
        <v>3221</v>
      </c>
      <c r="L7" s="171">
        <v>2836</v>
      </c>
      <c r="M7" s="166">
        <v>1020</v>
      </c>
      <c r="N7" s="167">
        <v>565</v>
      </c>
      <c r="O7" s="167">
        <v>400</v>
      </c>
      <c r="P7" s="167">
        <v>560</v>
      </c>
      <c r="Q7" s="167">
        <v>610</v>
      </c>
      <c r="R7" s="167">
        <v>123</v>
      </c>
      <c r="S7" s="167">
        <v>257</v>
      </c>
      <c r="T7" s="168">
        <v>130</v>
      </c>
      <c r="U7" s="166">
        <v>4054</v>
      </c>
      <c r="V7" s="44">
        <v>0</v>
      </c>
      <c r="W7" s="44">
        <v>0</v>
      </c>
      <c r="X7" s="44">
        <v>0</v>
      </c>
      <c r="Y7" s="45">
        <v>0</v>
      </c>
      <c r="Z7" s="43">
        <v>0</v>
      </c>
      <c r="AA7" s="44">
        <v>0</v>
      </c>
      <c r="AB7" s="44">
        <v>0</v>
      </c>
      <c r="AC7" s="45">
        <v>0</v>
      </c>
      <c r="AD7" s="46">
        <v>0</v>
      </c>
      <c r="AE7" s="45">
        <v>0</v>
      </c>
      <c r="AF7" s="47">
        <v>21649</v>
      </c>
      <c r="AG7" s="132"/>
      <c r="AH7" s="181" t="s">
        <v>133</v>
      </c>
      <c r="AI7" s="188">
        <f>COUNTIFS($C$7:$U$7,"&gt;=101",$C$7:$U$7,"&lt;=500")</f>
        <v>9</v>
      </c>
      <c r="AJ7" s="188">
        <f>SUMIFS($C$7:$U$7,$C$7:$U$7,"&gt;=101",$C$7:$U$7,"&lt;=500")</f>
        <v>2373</v>
      </c>
      <c r="AK7" s="188">
        <f>SUMIFS($C$18:$U$18,$C$7:$U$7,"&gt;=101",$C$7:$U$7,"&lt;=500")</f>
        <v>1297</v>
      </c>
      <c r="AL7" s="188">
        <f>SUMIFS($C$8:$U$8,$C$7:$U$7,"&gt;=101",$C$7:$U$7,"&lt;=500")</f>
        <v>1199</v>
      </c>
      <c r="AM7" s="188">
        <f>ROUND(SUMIFS($C$29:$U$29,$C$7:$U$7,"&gt;=101",$C$7:$U$7,"&lt;=500")/1000,1)</f>
        <v>125.6</v>
      </c>
      <c r="AN7" s="179"/>
      <c r="AO7" s="179"/>
      <c r="AP7" s="179"/>
      <c r="AQ7" s="179"/>
      <c r="AR7" s="184" t="s">
        <v>143</v>
      </c>
      <c r="AS7" s="190">
        <f>COUNTIFS($C$15:$U$15,"&gt;=0",$C$15:$U$15,"&lt;=1000")</f>
        <v>0</v>
      </c>
      <c r="AT7" s="190">
        <f>SUMIFS($C$7:$U$7,$C$15:$U$15,"&gt;=0",$C$15:$U$15,"&lt;=1000")</f>
        <v>0</v>
      </c>
      <c r="AU7" s="190">
        <f>SUMIFS($C$18:$U$18,$C$15:$U$15,"&gt;=0",$C$15:$U$15,"&lt;=1000")</f>
        <v>0</v>
      </c>
      <c r="AV7" s="190">
        <f>SUMIFS($C$8:$U$8,$C$15:$U$15,"&gt;=0",$C$15:$U$15,"&lt;=1000")</f>
        <v>0</v>
      </c>
      <c r="AW7" s="190">
        <f>ROUND(SUMIFS($C$29:$U$29,$C$15:$U$15,"&gt;=0",$C$15:$U$15,"&lt;=1000")/1000,1)</f>
        <v>0</v>
      </c>
      <c r="AX7" s="186"/>
      <c r="AY7" s="184" t="s">
        <v>152</v>
      </c>
      <c r="AZ7" s="190">
        <f>COUNTIFS($C$16:$U$16,"&gt;=0",$C$16:$U$16,"&lt;=2000")</f>
        <v>0</v>
      </c>
      <c r="BA7" s="190">
        <f>SUMIFS($C$7:$U$7,$C$16:$U$16,"&gt;=0",$C$16:$U$16,"&lt;=2000")</f>
        <v>0</v>
      </c>
      <c r="BB7" s="190">
        <f>SUMIFS($C$18:$U$18,$C$16:$U$16,"&gt;=0",$C$16:$U$16,"&lt;=2000")</f>
        <v>0</v>
      </c>
      <c r="BC7" s="190">
        <f>SUMIFS($C$8:$U$8,$C$16:$U$16,"&gt;=0",$C$16:$U$16,"&lt;=2000")</f>
        <v>0</v>
      </c>
      <c r="BD7" s="190">
        <f>ROUND(SUMIFS($C$29:$U$29,$C$16:$U$16,"&gt;=0",$C$16:$U$16,"&lt;=2000")/1000,1)</f>
        <v>0</v>
      </c>
    </row>
    <row r="8" spans="1:56" s="4" customFormat="1" ht="27" customHeight="1">
      <c r="A8" s="202" t="s">
        <v>90</v>
      </c>
      <c r="B8" s="203"/>
      <c r="C8" s="74">
        <v>780</v>
      </c>
      <c r="D8" s="75">
        <v>200</v>
      </c>
      <c r="E8" s="75">
        <v>370</v>
      </c>
      <c r="F8" s="76">
        <v>74</v>
      </c>
      <c r="G8" s="77">
        <v>167</v>
      </c>
      <c r="H8" s="78">
        <v>92</v>
      </c>
      <c r="I8" s="74">
        <v>1161</v>
      </c>
      <c r="J8" s="76">
        <v>118</v>
      </c>
      <c r="K8" s="79">
        <v>1364</v>
      </c>
      <c r="L8" s="79">
        <v>1461</v>
      </c>
      <c r="M8" s="74">
        <v>370</v>
      </c>
      <c r="N8" s="75">
        <v>191</v>
      </c>
      <c r="O8" s="75">
        <v>418</v>
      </c>
      <c r="P8" s="75">
        <v>154</v>
      </c>
      <c r="Q8" s="75">
        <v>243</v>
      </c>
      <c r="R8" s="75">
        <v>31</v>
      </c>
      <c r="S8" s="75">
        <v>70</v>
      </c>
      <c r="T8" s="76">
        <v>29</v>
      </c>
      <c r="U8" s="74">
        <v>2430</v>
      </c>
      <c r="V8" s="44">
        <v>0</v>
      </c>
      <c r="W8" s="44">
        <v>0</v>
      </c>
      <c r="X8" s="44">
        <v>0</v>
      </c>
      <c r="Y8" s="45">
        <v>0</v>
      </c>
      <c r="Z8" s="43">
        <v>0</v>
      </c>
      <c r="AA8" s="44">
        <v>0</v>
      </c>
      <c r="AB8" s="44">
        <v>0</v>
      </c>
      <c r="AC8" s="45">
        <v>0</v>
      </c>
      <c r="AD8" s="46">
        <v>0</v>
      </c>
      <c r="AE8" s="45">
        <v>0</v>
      </c>
      <c r="AF8" s="47">
        <v>9723</v>
      </c>
      <c r="AG8" s="132"/>
      <c r="AH8" s="181" t="s">
        <v>134</v>
      </c>
      <c r="AI8" s="188">
        <f>COUNTIFS($C$7:$U$7,"&gt;=501",$C$7:$U$7,"&lt;=1000")</f>
        <v>4</v>
      </c>
      <c r="AJ8" s="188">
        <f>SUMIFS($C$7:$U$7,$C$7:$U$7,"&gt;=501",$C$7:$U$7,"&lt;=1000")</f>
        <v>2405</v>
      </c>
      <c r="AK8" s="188">
        <f>SUMIFS($C$18:$U$18,$C$7:$U$7,"&gt;=501",$C$7:$U$7,"&lt;=1000")</f>
        <v>1185</v>
      </c>
      <c r="AL8" s="188">
        <f>SUMIFS($C$8:$U$8,$C$7:$U$7,"&gt;=501",$C$7:$U$7,"&lt;=1000")</f>
        <v>958</v>
      </c>
      <c r="AM8" s="188">
        <f>ROUND(SUMIFS($C$29:$U$29,$C$7:$U$7,"&gt;=501",$C$7:$U$7,"&lt;=1000")/1000,1)</f>
        <v>157.69999999999999</v>
      </c>
      <c r="AN8" s="179"/>
      <c r="AO8" s="179"/>
      <c r="AP8" s="179"/>
      <c r="AQ8" s="179"/>
      <c r="AR8" s="184" t="s">
        <v>144</v>
      </c>
      <c r="AS8" s="190">
        <f>COUNTIFS($C$15:$U$15,"&gt;=1001",$C$15:$U$15,"&lt;=1250")</f>
        <v>0</v>
      </c>
      <c r="AT8" s="190">
        <f>SUMIFS($C$7:$U$7,$C$15:$U$15,"&gt;=1001",$C$15:$U$15,"&lt;=1250")</f>
        <v>0</v>
      </c>
      <c r="AU8" s="190">
        <f>SUMIFS($C$18:$U$18,$C$15:$U$15,"&gt;=1001",$C$15:$U$15,"&lt;=1250")</f>
        <v>0</v>
      </c>
      <c r="AV8" s="190">
        <f>SUMIFS($C$8:$U$8,$C$15:$U$15,"&gt;=1001",$C$15:$U$15,"&lt;=1250")</f>
        <v>0</v>
      </c>
      <c r="AW8" s="190">
        <f>ROUND(SUMIFS($C$29:$U$29,$C$15:$U$15,"&gt;=1001",$C$15:$U$15,"&lt;=1250")/1000,1)</f>
        <v>0</v>
      </c>
      <c r="AX8" s="186"/>
      <c r="AY8" s="184" t="s">
        <v>153</v>
      </c>
      <c r="AZ8" s="190">
        <f>COUNTIFS($C$16:$U$16,"&gt;=2001",$C$16:$U$16,"&lt;=2500")</f>
        <v>0</v>
      </c>
      <c r="BA8" s="190">
        <f>SUMIFS($C$7:$U$7,$C$16:$U$16,"&gt;=2001",$C$16:$U$16,"&lt;=2500")</f>
        <v>0</v>
      </c>
      <c r="BB8" s="190">
        <f>SUMIFS($C$18:$U$18,$C$16:$U$16,"&gt;=2001",$C$16:$U$16,"&lt;=2500")</f>
        <v>0</v>
      </c>
      <c r="BC8" s="190">
        <f>SUMIFS($C$8:$U$8,$C$16:$U$16,"&gt;=2001",$C$16:$U$16,"&lt;=2500")</f>
        <v>0</v>
      </c>
      <c r="BD8" s="190">
        <f>ROUND(SUMIFS($C$29:$U$29,$C$16:$U$16,"&gt;=2001",$C$16:$U$16,"&lt;=2500")/1000,1)</f>
        <v>0</v>
      </c>
    </row>
    <row r="9" spans="1:56" ht="27" customHeight="1">
      <c r="A9" s="200" t="s">
        <v>9</v>
      </c>
      <c r="B9" s="201"/>
      <c r="C9" s="80"/>
      <c r="D9" s="81"/>
      <c r="E9" s="81"/>
      <c r="F9" s="82"/>
      <c r="G9" s="83"/>
      <c r="H9" s="84"/>
      <c r="I9" s="80"/>
      <c r="J9" s="82"/>
      <c r="K9" s="85"/>
      <c r="L9" s="85"/>
      <c r="M9" s="80"/>
      <c r="N9" s="81"/>
      <c r="O9" s="81"/>
      <c r="P9" s="81"/>
      <c r="Q9" s="81"/>
      <c r="R9" s="81"/>
      <c r="S9" s="81"/>
      <c r="T9" s="82"/>
      <c r="U9" s="80"/>
      <c r="V9" s="49"/>
      <c r="W9" s="49"/>
      <c r="X9" s="49"/>
      <c r="Y9" s="50"/>
      <c r="Z9" s="48"/>
      <c r="AA9" s="49"/>
      <c r="AB9" s="49"/>
      <c r="AC9" s="50"/>
      <c r="AD9" s="51"/>
      <c r="AE9" s="50"/>
      <c r="AF9" s="52"/>
      <c r="AG9" s="132"/>
      <c r="AH9" s="181" t="s">
        <v>135</v>
      </c>
      <c r="AI9" s="188">
        <f>COUNTIFS($C$7:$U$7,"&gt;=1001",$C$7:$U$7,"&lt;=2000")</f>
        <v>2</v>
      </c>
      <c r="AJ9" s="188">
        <f>SUMIFS($C$7:$U$7,$C$7:$U$7,"&gt;=1001",$C$7:$U$7,"&lt;=2000")</f>
        <v>2560</v>
      </c>
      <c r="AK9" s="188">
        <f>SUMIFS($C$18:$U$18,$C$7:$U$7,"&gt;=1001",$C$7:$U$7,"&lt;=2000")</f>
        <v>1789</v>
      </c>
      <c r="AL9" s="188">
        <f>SUMIFS($C$8:$U$8,$C$7:$U$7,"&gt;=1001",$C$7:$U$7,"&lt;=2000")</f>
        <v>1150</v>
      </c>
      <c r="AM9" s="188">
        <f>ROUND(SUMIFS($C$29:$U$29,$C$7:$U$7,"&gt;=1001",$C$7:$U$7,"&lt;=2000")/1000,1)</f>
        <v>181</v>
      </c>
      <c r="AN9" s="183"/>
      <c r="AO9" s="183"/>
      <c r="AP9" s="183"/>
      <c r="AQ9" s="183"/>
      <c r="AR9" s="184" t="s">
        <v>145</v>
      </c>
      <c r="AS9" s="190">
        <f>COUNTIFS($C$15:$U$15,"&gt;=1251",$C$15:$U$15,"&lt;=1500")</f>
        <v>1</v>
      </c>
      <c r="AT9" s="190">
        <f>SUMIFS($C$7:$U$7,$C$15:$U$15,"&gt;=1251",$C$15:$U$15,"&lt;=1500")</f>
        <v>4054</v>
      </c>
      <c r="AU9" s="190">
        <f>SUMIFS($C$18:$U$18,$C$15:$U$15,"&gt;=1251",$C$15:$U$15,"&lt;=1500")</f>
        <v>3659</v>
      </c>
      <c r="AV9" s="190">
        <f>SUMIFS($C$8:$U$8,$C$15:$U$15,"&gt;=1251",$C$15:$U$15,"&lt;=1500")</f>
        <v>2430</v>
      </c>
      <c r="AW9" s="190">
        <f>ROUND(SUMIFS($C$29:$U$29,$C$15:$U$15,"&gt;=1251",$C$15:$U$15,"&lt;=1500")/1000,1)</f>
        <v>675.7</v>
      </c>
      <c r="AX9" s="187"/>
      <c r="AY9" s="184" t="s">
        <v>154</v>
      </c>
      <c r="AZ9" s="190">
        <f>COUNTIFS($C$16:$U$16,"&gt;=2501",$C$16:$U$16,"&lt;=3000")</f>
        <v>1</v>
      </c>
      <c r="BA9" s="190">
        <f>SUMIFS($C$7:$U$7,$C$16:$U$16,"&gt;=2501",$C$16:$U$16,"&lt;=3000")</f>
        <v>4054</v>
      </c>
      <c r="BB9" s="190">
        <f>SUMIFS($C$18:$U$18,$C$16:$U$16,"&gt;=2501",$C$16:$U$16,"&lt;=3000")</f>
        <v>3659</v>
      </c>
      <c r="BC9" s="190">
        <f>SUMIFS($C$8:$U$8,$C$16:$U$16,"&gt;=2501",$C$16:$U$16,"&lt;=3000")</f>
        <v>2430</v>
      </c>
      <c r="BD9" s="190">
        <f>ROUND(SUMIFS($C$29:$U$29,$C$16:$U$16,"&gt;=2501",$C$16:$U$16,"&lt;=3000")/1000,1)</f>
        <v>675.7</v>
      </c>
    </row>
    <row r="10" spans="1:56" s="4" customFormat="1" ht="27" customHeight="1">
      <c r="A10" s="200" t="s">
        <v>10</v>
      </c>
      <c r="B10" s="201"/>
      <c r="C10" s="86" t="s">
        <v>69</v>
      </c>
      <c r="D10" s="87" t="s">
        <v>69</v>
      </c>
      <c r="E10" s="87" t="s">
        <v>69</v>
      </c>
      <c r="F10" s="88" t="s">
        <v>69</v>
      </c>
      <c r="G10" s="90" t="s">
        <v>110</v>
      </c>
      <c r="H10" s="90" t="s">
        <v>68</v>
      </c>
      <c r="I10" s="86" t="s">
        <v>69</v>
      </c>
      <c r="J10" s="88" t="s">
        <v>69</v>
      </c>
      <c r="K10" s="67" t="s">
        <v>68</v>
      </c>
      <c r="L10" s="67" t="s">
        <v>69</v>
      </c>
      <c r="M10" s="86" t="s">
        <v>69</v>
      </c>
      <c r="N10" s="87" t="s">
        <v>69</v>
      </c>
      <c r="O10" s="87" t="s">
        <v>69</v>
      </c>
      <c r="P10" s="87" t="s">
        <v>69</v>
      </c>
      <c r="Q10" s="87" t="s">
        <v>69</v>
      </c>
      <c r="R10" s="87" t="s">
        <v>69</v>
      </c>
      <c r="S10" s="87" t="s">
        <v>69</v>
      </c>
      <c r="T10" s="88" t="s">
        <v>69</v>
      </c>
      <c r="U10" s="86" t="s">
        <v>69</v>
      </c>
      <c r="V10" s="54">
        <v>0</v>
      </c>
      <c r="W10" s="54">
        <v>0</v>
      </c>
      <c r="X10" s="54">
        <v>0</v>
      </c>
      <c r="Y10" s="55">
        <v>0</v>
      </c>
      <c r="Z10" s="53">
        <v>0</v>
      </c>
      <c r="AA10" s="54">
        <v>0</v>
      </c>
      <c r="AB10" s="54">
        <v>0</v>
      </c>
      <c r="AC10" s="55">
        <v>0</v>
      </c>
      <c r="AD10" s="56">
        <v>0</v>
      </c>
      <c r="AE10" s="55">
        <v>0</v>
      </c>
      <c r="AF10" s="57"/>
      <c r="AG10" s="132"/>
      <c r="AH10" s="181" t="s">
        <v>136</v>
      </c>
      <c r="AI10" s="188">
        <f>COUNTIFS($C$7:$U$7,"&gt;=2001",$C$7:$U$7,"&lt;=3000")</f>
        <v>1</v>
      </c>
      <c r="AJ10" s="188">
        <f>SUMIFS($C$7:$U$7,$C$7:$U$7,"&gt;=2001",$C$7:$U$7,"&lt;=3000")</f>
        <v>2836</v>
      </c>
      <c r="AK10" s="188">
        <f>SUMIFS($C$18:$U$18,$C$7:$U$7,"&gt;=2001",$C$7:$U$7,"&lt;=3000")</f>
        <v>2326</v>
      </c>
      <c r="AL10" s="188">
        <f>SUMIFS($C$8:$U$8,$C$7:$U$7,"&gt;=2001",$C$7:$U$7,"&lt;=3000")</f>
        <v>1461</v>
      </c>
      <c r="AM10" s="188">
        <f>ROUND(SUMIFS($C$29:$U$29,$C$7:$U$7,"&gt;=2001",$C$7:$U$7,"&lt;=3000")/1000,1)</f>
        <v>335.2</v>
      </c>
      <c r="AN10" s="179"/>
      <c r="AO10" s="179"/>
      <c r="AP10" s="179"/>
      <c r="AQ10" s="179"/>
      <c r="AR10" s="184" t="s">
        <v>146</v>
      </c>
      <c r="AS10" s="190">
        <f>COUNTIFS($C$15:$U$15,"&gt;=1501",$C$15:$U$15,"&lt;=1750")</f>
        <v>0</v>
      </c>
      <c r="AT10" s="190">
        <f>SUMIFS($C$7:$U$7,$C$15:$U$15,"&gt;=1501",$C$15:$U$15,"&lt;=1750")</f>
        <v>0</v>
      </c>
      <c r="AU10" s="190">
        <f>SUMIFS($C$18:$U$18,$C$15:$U$15,"&gt;=1501",$C$15:$U$15,"&lt;=1750")</f>
        <v>0</v>
      </c>
      <c r="AV10" s="190">
        <f>SUMIFS($C$8:$U$8,$C$15:$U$15,"&gt;=1501",$C$15:$U$15,"&lt;=1750")</f>
        <v>0</v>
      </c>
      <c r="AW10" s="190">
        <f>ROUND(SUMIFS($C$29:$U$29,$C$15:$U$15,"&gt;=1501",$C$15:$U$15,"&lt;=1750")/1000,1)</f>
        <v>0</v>
      </c>
      <c r="AX10" s="186"/>
      <c r="AY10" s="184" t="s">
        <v>155</v>
      </c>
      <c r="AZ10" s="190">
        <f>COUNTIFS($C$16:$U$16,"&gt;=3001",$C$16:$U$16,"&lt;=3500")</f>
        <v>0</v>
      </c>
      <c r="BA10" s="190">
        <f>SUMIFS($C$7:$U$7,$C$16:$U$16,"&gt;=3001",$C$16:$U$16,"&lt;=3500")</f>
        <v>0</v>
      </c>
      <c r="BB10" s="190">
        <f>SUMIFS($C$18:$U$18,$C$16:$U$16,"&gt;=3001",$C$16:$U$16,"&lt;=3500")</f>
        <v>0</v>
      </c>
      <c r="BC10" s="190">
        <f>SUMIFS($C$8:$U$8,$C$16:$U$16,"&gt;=3001",$C$16:$U$16,"&lt;=3500")</f>
        <v>0</v>
      </c>
      <c r="BD10" s="190">
        <f>ROUND(SUMIFS($C$29:$U$29,$C$16:$U$16,"&gt;=3001",$C$16:$U$16,"&lt;=3500")/1000,1)</f>
        <v>0</v>
      </c>
    </row>
    <row r="11" spans="1:56" s="4" customFormat="1" ht="27" customHeight="1">
      <c r="A11" s="200" t="s">
        <v>91</v>
      </c>
      <c r="B11" s="201"/>
      <c r="C11" s="74">
        <v>5</v>
      </c>
      <c r="D11" s="75">
        <v>5</v>
      </c>
      <c r="E11" s="75">
        <v>5</v>
      </c>
      <c r="F11" s="76">
        <v>5</v>
      </c>
      <c r="G11" s="77">
        <v>6</v>
      </c>
      <c r="H11" s="78">
        <v>0</v>
      </c>
      <c r="I11" s="74">
        <v>10</v>
      </c>
      <c r="J11" s="76">
        <v>10</v>
      </c>
      <c r="K11" s="79">
        <v>0</v>
      </c>
      <c r="L11" s="79">
        <v>10</v>
      </c>
      <c r="M11" s="74">
        <v>10</v>
      </c>
      <c r="N11" s="75">
        <v>10</v>
      </c>
      <c r="O11" s="75">
        <v>10</v>
      </c>
      <c r="P11" s="75">
        <v>10</v>
      </c>
      <c r="Q11" s="75">
        <v>10</v>
      </c>
      <c r="R11" s="75">
        <v>10</v>
      </c>
      <c r="S11" s="75">
        <v>10</v>
      </c>
      <c r="T11" s="76">
        <v>10</v>
      </c>
      <c r="U11" s="74">
        <v>10</v>
      </c>
      <c r="V11" s="44">
        <v>0</v>
      </c>
      <c r="W11" s="44">
        <v>0</v>
      </c>
      <c r="X11" s="44">
        <v>0</v>
      </c>
      <c r="Y11" s="45">
        <v>0</v>
      </c>
      <c r="Z11" s="43">
        <v>0</v>
      </c>
      <c r="AA11" s="44">
        <v>0</v>
      </c>
      <c r="AB11" s="44">
        <v>0</v>
      </c>
      <c r="AC11" s="45">
        <v>0</v>
      </c>
      <c r="AD11" s="46">
        <v>0</v>
      </c>
      <c r="AE11" s="45">
        <v>0</v>
      </c>
      <c r="AF11" s="57"/>
      <c r="AG11" s="131"/>
      <c r="AH11" s="182" t="s">
        <v>137</v>
      </c>
      <c r="AI11" s="188">
        <f>COUNTIFS($C$7:$U$7,"&gt;=3001",$C$7:$U$7,"&lt;=4000")</f>
        <v>1</v>
      </c>
      <c r="AJ11" s="188">
        <f>SUMIFS($C$7:$U$7,$C$7:$U$7,"&gt;=3001",$C$7:$U$7,"&lt;=4000")</f>
        <v>3221</v>
      </c>
      <c r="AK11" s="188">
        <f>SUMIFS($C$18:$U$18,$C$7:$U$7,"&gt;=3001",$C$7:$U$7,"&lt;=4000")</f>
        <v>3032</v>
      </c>
      <c r="AL11" s="188">
        <f>SUMIFS($C$8:$U$8,$C$7:$U$7,"&gt;=3001",$C$7:$U$7,"&lt;=4000")</f>
        <v>1364</v>
      </c>
      <c r="AM11" s="188">
        <f>ROUND(SUMIFS($C$29:$U$29,$C$7:$U$7,"&gt;=3001",$C$7:$U$7,"&lt;=4000")/1000,1)</f>
        <v>379.4</v>
      </c>
      <c r="AN11" s="179"/>
      <c r="AO11" s="179"/>
      <c r="AP11" s="179"/>
      <c r="AQ11" s="179"/>
      <c r="AR11" s="185" t="s">
        <v>147</v>
      </c>
      <c r="AS11" s="190">
        <f>COUNTIFS($C$15:$U$15,"&gt;=1751",$C$15:$U$15,"&lt;=2000")</f>
        <v>10</v>
      </c>
      <c r="AT11" s="190">
        <f>SUMIFS($C$7:$U$7,$C$15:$U$15,"&gt;=1751",$C$15:$U$15,"&lt;=2000")</f>
        <v>9722</v>
      </c>
      <c r="AU11" s="190">
        <f>SUMIFS($C$18:$U$18,$C$15:$U$15,"&gt;=1751",$C$15:$U$15,"&lt;=2000")</f>
        <v>7586</v>
      </c>
      <c r="AV11" s="190">
        <f>SUMIFS($C$8:$U$8,$C$15:$U$15,"&gt;=1751",$C$15:$U$15,"&lt;=2000")</f>
        <v>4331</v>
      </c>
      <c r="AW11" s="190">
        <f>ROUND(SUMIFS($C$29:$U$29,$C$15:$U$15,"&gt;=1751",$C$15:$U$15,"&lt;=2000")/1000,0)</f>
        <v>998</v>
      </c>
      <c r="AX11" s="186"/>
      <c r="AY11" s="185" t="s">
        <v>156</v>
      </c>
      <c r="AZ11" s="190">
        <f>COUNTIFS($C$16:$U$16,"&gt;=3501",$C$16:$U$16,"&lt;=4000")</f>
        <v>10</v>
      </c>
      <c r="BA11" s="190">
        <f>SUMIFS($C$7:$U$7,$C$16:$U$16,"&gt;=3501",$C$16:$U$16,"&lt;=4000")</f>
        <v>9722</v>
      </c>
      <c r="BB11" s="190">
        <f>SUMIFS($C$18:$U$18,$C$16:$U$16,"&gt;=3501",$C$16:$U$16,"&lt;=4000")</f>
        <v>7586</v>
      </c>
      <c r="BC11" s="190">
        <f>SUMIFS($C$8:$U$8,$C$16:$U$16,"&gt;=3501",$C$16:$U$16,"&lt;=4000")</f>
        <v>4331</v>
      </c>
      <c r="BD11" s="190">
        <f>ROUND(SUMIFS($C$29:$U$29,$C$16:$U$16,"&gt;=3501",$C$16:$U$16,"&lt;=4000")/1000,1)</f>
        <v>998</v>
      </c>
    </row>
    <row r="12" spans="1:56" s="4" customFormat="1" ht="27" customHeight="1">
      <c r="A12" s="200" t="s">
        <v>11</v>
      </c>
      <c r="B12" s="201"/>
      <c r="C12" s="74">
        <v>1276</v>
      </c>
      <c r="D12" s="75">
        <v>1276</v>
      </c>
      <c r="E12" s="75">
        <v>1276</v>
      </c>
      <c r="F12" s="76">
        <v>1276</v>
      </c>
      <c r="G12" s="77">
        <v>1270</v>
      </c>
      <c r="H12" s="78">
        <v>770</v>
      </c>
      <c r="I12" s="74">
        <v>2123</v>
      </c>
      <c r="J12" s="76">
        <v>2123</v>
      </c>
      <c r="K12" s="79">
        <v>550</v>
      </c>
      <c r="L12" s="79">
        <v>1650</v>
      </c>
      <c r="M12" s="74">
        <v>1680</v>
      </c>
      <c r="N12" s="75">
        <v>1680</v>
      </c>
      <c r="O12" s="75">
        <v>1680</v>
      </c>
      <c r="P12" s="75">
        <v>1680</v>
      </c>
      <c r="Q12" s="75">
        <v>1680</v>
      </c>
      <c r="R12" s="75">
        <v>1680</v>
      </c>
      <c r="S12" s="75">
        <v>1680</v>
      </c>
      <c r="T12" s="76">
        <v>1680</v>
      </c>
      <c r="U12" s="74">
        <v>1375</v>
      </c>
      <c r="V12" s="44">
        <v>0</v>
      </c>
      <c r="W12" s="44">
        <v>0</v>
      </c>
      <c r="X12" s="44">
        <v>0</v>
      </c>
      <c r="Y12" s="45">
        <v>0</v>
      </c>
      <c r="Z12" s="43">
        <v>0</v>
      </c>
      <c r="AA12" s="44">
        <v>0</v>
      </c>
      <c r="AB12" s="44">
        <v>0</v>
      </c>
      <c r="AC12" s="45">
        <v>0</v>
      </c>
      <c r="AD12" s="46">
        <v>0</v>
      </c>
      <c r="AE12" s="45">
        <v>0</v>
      </c>
      <c r="AF12" s="57"/>
      <c r="AG12" s="131"/>
      <c r="AH12" s="182" t="s">
        <v>138</v>
      </c>
      <c r="AI12" s="188">
        <f>COUNTIFS($C$7:$U$7,"&gt;=4001",$C$7:$U$7,"&lt;=5000")</f>
        <v>2</v>
      </c>
      <c r="AJ12" s="188">
        <f>SUMIFS($C$7:$U$7,$C$7:$U$7,"&gt;=4001",$C$7:$U$7,"&lt;=5000")</f>
        <v>8254</v>
      </c>
      <c r="AK12" s="188">
        <f>SUMIFS($C$18:$U$18,$C$7:$U$7,"&gt;=4001",$C$7:$U$7,"&lt;=5000")</f>
        <v>6115</v>
      </c>
      <c r="AL12" s="188">
        <f>SUMIFS($C$8:$U$8,$C$7:$U$7,"&gt;=4001",$C$7:$U$7,"&lt;=5000")</f>
        <v>3591</v>
      </c>
      <c r="AM12" s="188">
        <f>ROUND(SUMIFS($C$29:$U$29,$C$7:$U$7,"&gt;=4001",$C$7:$U$7,"&lt;=5000")/1000,0)</f>
        <v>954</v>
      </c>
      <c r="AN12" s="179"/>
      <c r="AO12" s="179"/>
      <c r="AP12" s="179"/>
      <c r="AQ12" s="179"/>
      <c r="AR12" s="185" t="s">
        <v>148</v>
      </c>
      <c r="AS12" s="190">
        <f>COUNTIFS($C$15:$U$15,"&gt;=2001",$C$15:$U$15,"&lt;=2250")</f>
        <v>4</v>
      </c>
      <c r="AT12" s="190">
        <f>SUMIFS($C$7:$U$7,$C$15:$U$15,"&gt;=2001",$C$15:$U$15,"&lt;=2250")</f>
        <v>4973</v>
      </c>
      <c r="AU12" s="190">
        <f>SUMIFS($C$18:$U$18,$C$15:$U$15,"&gt;=2001",$C$15:$U$15,"&lt;=2250")</f>
        <v>2919</v>
      </c>
      <c r="AV12" s="190">
        <f>SUMIFS($C$8:$U$8,$C$15:$U$15,"&gt;=2001",$C$15:$U$15,"&lt;=2250")</f>
        <v>1538</v>
      </c>
      <c r="AW12" s="190">
        <f>ROUND(SUMIFS($C$29:$U$29,$C$15:$U$15,"&gt;=2001",$C$15:$U$15,"&lt;=2250")/1000,1)</f>
        <v>324.60000000000002</v>
      </c>
      <c r="AX12" s="186"/>
      <c r="AY12" s="185" t="s">
        <v>157</v>
      </c>
      <c r="AZ12" s="190">
        <f>COUNTIFS($C$16:$U$16,"&gt;=4001",$C$16:$U$16,"&lt;=4500")</f>
        <v>2</v>
      </c>
      <c r="BA12" s="190">
        <f>SUMIFS($C$7:$U$7,$C$16:$U$16,"&gt;=4001",$C$16:$U$16,"&lt;=4500")</f>
        <v>493</v>
      </c>
      <c r="BB12" s="190">
        <f>SUMIFS($C$18:$U$18,$C$16:$U$16,"&gt;=4001",$C$16:$U$16,"&lt;=4500")</f>
        <v>291</v>
      </c>
      <c r="BC12" s="190">
        <f>SUMIFS($C$8:$U$8,$C$16:$U$16,"&gt;=4001",$C$16:$U$16,"&lt;=4500")</f>
        <v>259</v>
      </c>
      <c r="BD12" s="190">
        <f>ROUND(SUMIFS($C$29:$U$29,$C$16:$U$16,"&gt;=4001",$C$16:$U$16,"&lt;=4500")/1000,1)</f>
        <v>26.6</v>
      </c>
    </row>
    <row r="13" spans="1:56" s="4" customFormat="1" ht="27" customHeight="1">
      <c r="A13" s="200" t="s">
        <v>12</v>
      </c>
      <c r="B13" s="201"/>
      <c r="C13" s="74">
        <v>236</v>
      </c>
      <c r="D13" s="75">
        <v>236</v>
      </c>
      <c r="E13" s="75">
        <v>236</v>
      </c>
      <c r="F13" s="76">
        <v>236</v>
      </c>
      <c r="G13" s="77">
        <v>198</v>
      </c>
      <c r="H13" s="78">
        <v>132</v>
      </c>
      <c r="I13" s="74">
        <v>265</v>
      </c>
      <c r="J13" s="76">
        <v>265</v>
      </c>
      <c r="K13" s="79">
        <v>110</v>
      </c>
      <c r="L13" s="79">
        <v>198</v>
      </c>
      <c r="M13" s="74">
        <v>170</v>
      </c>
      <c r="N13" s="75">
        <v>170</v>
      </c>
      <c r="O13" s="75">
        <v>170</v>
      </c>
      <c r="P13" s="75">
        <v>170</v>
      </c>
      <c r="Q13" s="75">
        <v>170</v>
      </c>
      <c r="R13" s="75">
        <v>170</v>
      </c>
      <c r="S13" s="75">
        <v>170</v>
      </c>
      <c r="T13" s="76">
        <v>170</v>
      </c>
      <c r="U13" s="74">
        <v>138</v>
      </c>
      <c r="V13" s="44">
        <v>0</v>
      </c>
      <c r="W13" s="44">
        <v>0</v>
      </c>
      <c r="X13" s="44">
        <v>0</v>
      </c>
      <c r="Y13" s="45">
        <v>0</v>
      </c>
      <c r="Z13" s="43">
        <v>0</v>
      </c>
      <c r="AA13" s="44">
        <v>0</v>
      </c>
      <c r="AB13" s="44">
        <v>0</v>
      </c>
      <c r="AC13" s="45">
        <v>0</v>
      </c>
      <c r="AD13" s="46">
        <v>0</v>
      </c>
      <c r="AE13" s="45">
        <v>0</v>
      </c>
      <c r="AF13" s="57"/>
      <c r="AG13" s="131"/>
      <c r="AH13" s="209" t="s">
        <v>161</v>
      </c>
      <c r="AI13" s="189">
        <f>SUM(AI7:AI12)</f>
        <v>19</v>
      </c>
      <c r="AJ13" s="189">
        <f t="shared" ref="AJ13:AL13" si="0">SUM(AJ7:AJ12)</f>
        <v>21649</v>
      </c>
      <c r="AK13" s="189">
        <f t="shared" si="0"/>
        <v>15744</v>
      </c>
      <c r="AL13" s="189">
        <f t="shared" si="0"/>
        <v>9723</v>
      </c>
      <c r="AM13" s="189">
        <f>SUM(AM7:AM12)</f>
        <v>2132.9</v>
      </c>
      <c r="AN13" s="179"/>
      <c r="AO13" s="179"/>
      <c r="AP13" s="179"/>
      <c r="AQ13" s="179"/>
      <c r="AR13" s="185" t="s">
        <v>149</v>
      </c>
      <c r="AS13" s="190">
        <f>COUNTIFS($C$15:$U$15,"&gt;=2251",$C$15:$U$15,"&lt;=2500")</f>
        <v>0</v>
      </c>
      <c r="AT13" s="190">
        <f>SUMIFS($C$7:$U$7,$C$15:$U$15,"&gt;=2251",$C$15:$U$15,"&lt;=2500")</f>
        <v>0</v>
      </c>
      <c r="AU13" s="190">
        <f>SUMIFS($C$18:$U$18,$C$15:$U$15,"&gt;=2251",$C$15:$U$15,"&lt;=2500")</f>
        <v>0</v>
      </c>
      <c r="AV13" s="190">
        <f>SUMIFS($C$8:$U$8,$C$15:$U$15,"&gt;=2251",$C$15:$U$15,"&lt;=2500")</f>
        <v>0</v>
      </c>
      <c r="AW13" s="190">
        <f>ROUND(SUMIFS($C$29:$U$29,$C$15:$U$15,"&gt;=2251",$C$15:$U$15,"&lt;=2500")/1000,1)</f>
        <v>0</v>
      </c>
      <c r="AX13" s="186"/>
      <c r="AY13" s="185" t="s">
        <v>158</v>
      </c>
      <c r="AZ13" s="190">
        <f>COUNTIFS($C$16:$U$16,"&gt;=4501",$C$16:$U$16,"&lt;=5000")</f>
        <v>2</v>
      </c>
      <c r="BA13" s="190">
        <f>SUMIFS($C$7:$U$7,$C$16:$U$16,"&gt;=4501",$C$16:$U$16,"&lt;=5000")</f>
        <v>4480</v>
      </c>
      <c r="BB13" s="190">
        <f>SUMIFS($C$18:$U$18,$C$16:$U$16,"&gt;=4501",$C$16:$U$16,"&lt;=5000")</f>
        <v>2628</v>
      </c>
      <c r="BC13" s="190">
        <f>SUMIFS($C$8:$U$8,$C$16:$U$16,"&gt;=4501",$C$16:$U$16,"&lt;=5000")</f>
        <v>1279</v>
      </c>
      <c r="BD13" s="190">
        <f>ROUND(SUMIFS($C$29:$U$29,$C$16:$U$16,"&gt;=4501",$C$16:$U$16,"&lt;=5000")/1000,1)</f>
        <v>298</v>
      </c>
    </row>
    <row r="14" spans="1:56" s="4" customFormat="1" ht="27" customHeight="1">
      <c r="A14" s="200" t="s">
        <v>13</v>
      </c>
      <c r="B14" s="201"/>
      <c r="C14" s="74">
        <v>209</v>
      </c>
      <c r="D14" s="75">
        <v>209</v>
      </c>
      <c r="E14" s="75">
        <v>209</v>
      </c>
      <c r="F14" s="76">
        <v>209</v>
      </c>
      <c r="G14" s="77">
        <v>0</v>
      </c>
      <c r="H14" s="78">
        <v>0</v>
      </c>
      <c r="I14" s="74">
        <v>110</v>
      </c>
      <c r="J14" s="76">
        <v>110</v>
      </c>
      <c r="K14" s="79">
        <v>110</v>
      </c>
      <c r="L14" s="79">
        <v>154</v>
      </c>
      <c r="M14" s="74">
        <v>160</v>
      </c>
      <c r="N14" s="75">
        <v>160</v>
      </c>
      <c r="O14" s="75">
        <v>160</v>
      </c>
      <c r="P14" s="75">
        <v>160</v>
      </c>
      <c r="Q14" s="75">
        <v>160</v>
      </c>
      <c r="R14" s="75">
        <v>160</v>
      </c>
      <c r="S14" s="75">
        <v>160</v>
      </c>
      <c r="T14" s="76">
        <v>160</v>
      </c>
      <c r="U14" s="74">
        <v>110</v>
      </c>
      <c r="V14" s="44">
        <v>0</v>
      </c>
      <c r="W14" s="44">
        <v>0</v>
      </c>
      <c r="X14" s="44">
        <v>0</v>
      </c>
      <c r="Y14" s="45">
        <v>0</v>
      </c>
      <c r="Z14" s="43">
        <v>0</v>
      </c>
      <c r="AA14" s="44">
        <v>0</v>
      </c>
      <c r="AB14" s="44">
        <v>0</v>
      </c>
      <c r="AC14" s="45">
        <v>0</v>
      </c>
      <c r="AD14" s="46">
        <v>0</v>
      </c>
      <c r="AE14" s="45">
        <v>0</v>
      </c>
      <c r="AF14" s="57"/>
      <c r="AG14" s="131" t="s">
        <v>88</v>
      </c>
      <c r="AH14" s="4" t="s">
        <v>98</v>
      </c>
      <c r="AI14" s="1" t="s">
        <v>89</v>
      </c>
      <c r="AR14" s="185" t="s">
        <v>150</v>
      </c>
      <c r="AS14" s="190">
        <f>COUNTIFS($C$15:$U$15,"&gt;=2501",$C$15:$U$15,"&lt;=2750")</f>
        <v>4</v>
      </c>
      <c r="AT14" s="190">
        <f>SUMIFS($C$7:$U$7,$C$15:$U$15,"&gt;=2501",$C$15:$U$15,"&lt;=2750")</f>
        <v>2900</v>
      </c>
      <c r="AU14" s="190">
        <f>SUMIFS($C$18:$U$18,$C$15:$U$15,"&gt;=2501",$C$15:$U$15,"&lt;=2750")</f>
        <v>1580</v>
      </c>
      <c r="AV14" s="190">
        <f>SUMIFS($C$8:$U$8,$C$15:$U$15,"&gt;=2501",$C$15:$U$15,"&lt;=2750")</f>
        <v>1424</v>
      </c>
      <c r="AW14" s="190">
        <f>ROUND(SUMIFS($C$29:$U$29,$C$15:$U$15,"&gt;=2501",$C$15:$U$15,"&lt;=2750")/1000,1)</f>
        <v>134.19999999999999</v>
      </c>
      <c r="AX14" s="186"/>
      <c r="AY14" s="185" t="s">
        <v>159</v>
      </c>
      <c r="AZ14" s="190">
        <f>COUNTIF($C$16:$U$16,"&gt;=5001")</f>
        <v>4</v>
      </c>
      <c r="BA14" s="190">
        <f>SUMIF($C$16:$U$16,"&gt;=5001",$C$7:$U$7)</f>
        <v>2900</v>
      </c>
      <c r="BB14" s="190">
        <f>SUMIF($C$16:$U$16,"&gt;=5001",$C$18:$U$18)</f>
        <v>1580</v>
      </c>
      <c r="BC14" s="190">
        <f>SUMIF($C$16:$U$16,"&gt;=5001",$C$8:$U$8)</f>
        <v>1424</v>
      </c>
      <c r="BD14" s="190">
        <f>ROUND(SUMIF($C$16:$U$16,"&gt;=5001",$C$29:$U$29)/1000,1)</f>
        <v>134.19999999999999</v>
      </c>
    </row>
    <row r="15" spans="1:56" s="4" customFormat="1" ht="27" customHeight="1">
      <c r="A15" s="200" t="s">
        <v>92</v>
      </c>
      <c r="B15" s="201"/>
      <c r="C15" s="74">
        <v>2667</v>
      </c>
      <c r="D15" s="75">
        <v>2667</v>
      </c>
      <c r="E15" s="75">
        <v>2667</v>
      </c>
      <c r="F15" s="76">
        <v>2667</v>
      </c>
      <c r="G15" s="77">
        <v>2062</v>
      </c>
      <c r="H15" s="78">
        <v>2090</v>
      </c>
      <c r="I15" s="74">
        <v>2233</v>
      </c>
      <c r="J15" s="76">
        <v>2233</v>
      </c>
      <c r="K15" s="79">
        <v>1760</v>
      </c>
      <c r="L15" s="79">
        <v>1804</v>
      </c>
      <c r="M15" s="74">
        <v>1840</v>
      </c>
      <c r="N15" s="117">
        <v>1840</v>
      </c>
      <c r="O15" s="75">
        <v>1840</v>
      </c>
      <c r="P15" s="75">
        <v>1840</v>
      </c>
      <c r="Q15" s="75">
        <v>1840</v>
      </c>
      <c r="R15" s="75">
        <v>1840</v>
      </c>
      <c r="S15" s="75">
        <v>1840</v>
      </c>
      <c r="T15" s="76">
        <v>1840</v>
      </c>
      <c r="U15" s="74">
        <v>1480</v>
      </c>
      <c r="V15" s="44">
        <v>0</v>
      </c>
      <c r="W15" s="44">
        <v>0</v>
      </c>
      <c r="X15" s="44">
        <v>0</v>
      </c>
      <c r="Y15" s="45">
        <v>0</v>
      </c>
      <c r="Z15" s="43">
        <v>0</v>
      </c>
      <c r="AA15" s="44">
        <v>0</v>
      </c>
      <c r="AB15" s="44">
        <v>0</v>
      </c>
      <c r="AC15" s="45">
        <v>0</v>
      </c>
      <c r="AD15" s="46">
        <v>0</v>
      </c>
      <c r="AE15" s="45">
        <v>0</v>
      </c>
      <c r="AF15" s="57"/>
      <c r="AG15" s="131">
        <f>MIN(C15:U15)</f>
        <v>1480</v>
      </c>
      <c r="AH15" s="9">
        <f>SUM(C15:U15)</f>
        <v>39050</v>
      </c>
      <c r="AI15" s="134">
        <f>MAX(C15:U15)</f>
        <v>2667</v>
      </c>
      <c r="AR15" s="185" t="s">
        <v>151</v>
      </c>
      <c r="AS15" s="190">
        <f>COUNTIF($C$15:$U$15,"&gt;=2751")</f>
        <v>0</v>
      </c>
      <c r="AT15" s="190">
        <f>SUMIF($C$15:$U$15,"&gt;=2751",$C$7:$U$7)</f>
        <v>0</v>
      </c>
      <c r="AU15" s="190">
        <f>SUMIF($C$15:$U$15,"&gt;=2751",$C$18:$U$18)</f>
        <v>0</v>
      </c>
      <c r="AV15" s="190">
        <f>SUMIF($C$15:$U$15,"&gt;=2751",$C$8:$U$8)</f>
        <v>0</v>
      </c>
      <c r="AW15" s="190">
        <f>ROUND(SUMIF($C$15:$U$15,"&gt;=2751",$C$29:$U$29)/1000,1)</f>
        <v>0</v>
      </c>
      <c r="AX15" s="186"/>
      <c r="AY15" s="193"/>
      <c r="AZ15" s="192"/>
      <c r="BA15" s="192"/>
      <c r="BB15" s="192"/>
      <c r="BC15" s="192"/>
      <c r="BD15" s="192"/>
    </row>
    <row r="16" spans="1:56" s="4" customFormat="1" ht="27" customHeight="1">
      <c r="A16" s="200" t="s">
        <v>93</v>
      </c>
      <c r="B16" s="201"/>
      <c r="C16" s="74">
        <v>5032</v>
      </c>
      <c r="D16" s="75">
        <v>5032</v>
      </c>
      <c r="E16" s="75">
        <v>5032</v>
      </c>
      <c r="F16" s="76">
        <v>5032</v>
      </c>
      <c r="G16" s="77">
        <v>4042</v>
      </c>
      <c r="H16" s="78">
        <v>4015</v>
      </c>
      <c r="I16" s="74">
        <v>4884</v>
      </c>
      <c r="J16" s="76">
        <v>4884</v>
      </c>
      <c r="K16" s="79">
        <v>3960</v>
      </c>
      <c r="L16" s="79">
        <v>3784</v>
      </c>
      <c r="M16" s="74">
        <v>3540</v>
      </c>
      <c r="N16" s="75">
        <v>3540</v>
      </c>
      <c r="O16" s="75">
        <v>3540</v>
      </c>
      <c r="P16" s="75">
        <v>3540</v>
      </c>
      <c r="Q16" s="75">
        <v>3540</v>
      </c>
      <c r="R16" s="75">
        <v>3540</v>
      </c>
      <c r="S16" s="75">
        <v>3540</v>
      </c>
      <c r="T16" s="76">
        <v>3540</v>
      </c>
      <c r="U16" s="74">
        <v>2960</v>
      </c>
      <c r="V16" s="44">
        <v>0</v>
      </c>
      <c r="W16" s="44">
        <v>0</v>
      </c>
      <c r="X16" s="44">
        <v>0</v>
      </c>
      <c r="Y16" s="45">
        <v>0</v>
      </c>
      <c r="Z16" s="43">
        <v>0</v>
      </c>
      <c r="AA16" s="44">
        <v>0</v>
      </c>
      <c r="AB16" s="44">
        <v>0</v>
      </c>
      <c r="AC16" s="45">
        <v>0</v>
      </c>
      <c r="AD16" s="46">
        <v>0</v>
      </c>
      <c r="AE16" s="45">
        <v>0</v>
      </c>
      <c r="AF16" s="58"/>
      <c r="AG16" s="131"/>
      <c r="AH16" s="98">
        <f>SUM(C16:U16)</f>
        <v>76977</v>
      </c>
      <c r="AI16" s="1"/>
      <c r="AR16" s="210" t="s">
        <v>161</v>
      </c>
      <c r="AS16" s="191">
        <f>SUM(AS7:AS15)</f>
        <v>19</v>
      </c>
      <c r="AT16" s="191">
        <f t="shared" ref="AT16:AV16" si="1">SUM(AT7:AT15)</f>
        <v>21649</v>
      </c>
      <c r="AU16" s="191">
        <f>SUM(AU7:AU15)</f>
        <v>15744</v>
      </c>
      <c r="AV16" s="191">
        <f t="shared" si="1"/>
        <v>9723</v>
      </c>
      <c r="AW16" s="191">
        <f>SUM(AW7:AW15)</f>
        <v>2132.5</v>
      </c>
      <c r="AX16" s="186"/>
      <c r="AY16" s="210" t="s">
        <v>161</v>
      </c>
      <c r="AZ16" s="191">
        <f>SUM(AZ7:AZ15)</f>
        <v>19</v>
      </c>
      <c r="BA16" s="191">
        <f t="shared" ref="BA16:BD16" si="2">SUM(BA7:BA15)</f>
        <v>21649</v>
      </c>
      <c r="BB16" s="191">
        <f t="shared" si="2"/>
        <v>15744</v>
      </c>
      <c r="BC16" s="191">
        <f t="shared" si="2"/>
        <v>9723</v>
      </c>
      <c r="BD16" s="191">
        <f t="shared" si="2"/>
        <v>2132.5</v>
      </c>
    </row>
    <row r="17" spans="1:42" s="4" customFormat="1" ht="27" customHeight="1">
      <c r="A17" s="200" t="s">
        <v>14</v>
      </c>
      <c r="B17" s="201"/>
      <c r="C17" s="74">
        <v>998</v>
      </c>
      <c r="D17" s="75">
        <v>255</v>
      </c>
      <c r="E17" s="75">
        <v>368</v>
      </c>
      <c r="F17" s="76">
        <v>187</v>
      </c>
      <c r="G17" s="77">
        <v>289</v>
      </c>
      <c r="H17" s="78">
        <v>162</v>
      </c>
      <c r="I17" s="74">
        <v>2619</v>
      </c>
      <c r="J17" s="76">
        <v>172</v>
      </c>
      <c r="K17" s="79">
        <v>3461</v>
      </c>
      <c r="L17" s="79">
        <v>2326</v>
      </c>
      <c r="M17" s="74">
        <v>806</v>
      </c>
      <c r="N17" s="75">
        <v>289</v>
      </c>
      <c r="O17" s="75">
        <v>242</v>
      </c>
      <c r="P17" s="75">
        <v>241</v>
      </c>
      <c r="Q17" s="75">
        <v>498</v>
      </c>
      <c r="R17" s="75">
        <v>39</v>
      </c>
      <c r="S17" s="75">
        <v>115</v>
      </c>
      <c r="T17" s="76">
        <v>41</v>
      </c>
      <c r="U17" s="74">
        <v>3881</v>
      </c>
      <c r="V17" s="44">
        <v>0</v>
      </c>
      <c r="W17" s="44">
        <v>0</v>
      </c>
      <c r="X17" s="44">
        <v>0</v>
      </c>
      <c r="Y17" s="45">
        <v>0</v>
      </c>
      <c r="Z17" s="43">
        <v>0</v>
      </c>
      <c r="AA17" s="44">
        <v>0</v>
      </c>
      <c r="AB17" s="44">
        <v>0</v>
      </c>
      <c r="AC17" s="45">
        <v>0</v>
      </c>
      <c r="AD17" s="46">
        <v>0</v>
      </c>
      <c r="AE17" s="45">
        <v>0</v>
      </c>
      <c r="AF17" s="47">
        <v>16989</v>
      </c>
      <c r="AG17" s="131"/>
      <c r="AI17" s="1"/>
    </row>
    <row r="18" spans="1:42" s="4" customFormat="1" ht="27" customHeight="1">
      <c r="A18" s="196" t="s">
        <v>15</v>
      </c>
      <c r="B18" s="197"/>
      <c r="C18" s="74">
        <v>992</v>
      </c>
      <c r="D18" s="75">
        <v>252</v>
      </c>
      <c r="E18" s="75">
        <v>178</v>
      </c>
      <c r="F18" s="76">
        <v>158</v>
      </c>
      <c r="G18" s="77">
        <v>132</v>
      </c>
      <c r="H18" s="78">
        <v>159</v>
      </c>
      <c r="I18" s="74">
        <v>2456</v>
      </c>
      <c r="J18" s="76">
        <v>172</v>
      </c>
      <c r="K18" s="79">
        <v>3032</v>
      </c>
      <c r="L18" s="79">
        <v>2326</v>
      </c>
      <c r="M18" s="74">
        <v>797</v>
      </c>
      <c r="N18" s="75">
        <v>284</v>
      </c>
      <c r="O18" s="75">
        <v>242</v>
      </c>
      <c r="P18" s="75">
        <v>234</v>
      </c>
      <c r="Q18" s="75">
        <v>489</v>
      </c>
      <c r="R18" s="75">
        <v>39</v>
      </c>
      <c r="S18" s="75">
        <v>102</v>
      </c>
      <c r="T18" s="76">
        <v>41</v>
      </c>
      <c r="U18" s="74">
        <v>3659</v>
      </c>
      <c r="V18" s="44">
        <v>0</v>
      </c>
      <c r="W18" s="44">
        <v>0</v>
      </c>
      <c r="X18" s="44">
        <v>0</v>
      </c>
      <c r="Y18" s="45">
        <v>0</v>
      </c>
      <c r="Z18" s="43">
        <v>0</v>
      </c>
      <c r="AA18" s="44">
        <v>0</v>
      </c>
      <c r="AB18" s="44">
        <v>0</v>
      </c>
      <c r="AC18" s="45">
        <v>0</v>
      </c>
      <c r="AD18" s="46">
        <v>0</v>
      </c>
      <c r="AE18" s="45">
        <v>0</v>
      </c>
      <c r="AF18" s="47">
        <v>15744</v>
      </c>
      <c r="AG18" s="131"/>
      <c r="AI18" s="1"/>
    </row>
    <row r="19" spans="1:42" s="115" customFormat="1" ht="27" customHeight="1">
      <c r="A19" s="202" t="s">
        <v>16</v>
      </c>
      <c r="B19" s="203"/>
      <c r="C19" s="105">
        <v>99.4</v>
      </c>
      <c r="D19" s="107">
        <v>98.8</v>
      </c>
      <c r="E19" s="107">
        <v>48.4</v>
      </c>
      <c r="F19" s="108">
        <v>84.5</v>
      </c>
      <c r="G19" s="108">
        <v>45.7</v>
      </c>
      <c r="H19" s="106">
        <v>98.1</v>
      </c>
      <c r="I19" s="105">
        <v>93.8</v>
      </c>
      <c r="J19" s="108">
        <v>100</v>
      </c>
      <c r="K19" s="109">
        <v>87.6</v>
      </c>
      <c r="L19" s="109">
        <v>100</v>
      </c>
      <c r="M19" s="105">
        <v>98.9</v>
      </c>
      <c r="N19" s="107">
        <v>98.3</v>
      </c>
      <c r="O19" s="107">
        <v>100</v>
      </c>
      <c r="P19" s="107">
        <v>97.1</v>
      </c>
      <c r="Q19" s="107">
        <v>98.2</v>
      </c>
      <c r="R19" s="107">
        <v>100</v>
      </c>
      <c r="S19" s="107">
        <v>88.7</v>
      </c>
      <c r="T19" s="108">
        <v>100</v>
      </c>
      <c r="U19" s="105">
        <v>94.3</v>
      </c>
      <c r="V19" s="110" t="e">
        <v>#DIV/0!</v>
      </c>
      <c r="W19" s="110" t="e">
        <v>#DIV/0!</v>
      </c>
      <c r="X19" s="110" t="e">
        <v>#DIV/0!</v>
      </c>
      <c r="Y19" s="111" t="e">
        <v>#DIV/0!</v>
      </c>
      <c r="Z19" s="112" t="e">
        <v>#DIV/0!</v>
      </c>
      <c r="AA19" s="110" t="e">
        <v>#DIV/0!</v>
      </c>
      <c r="AB19" s="110" t="e">
        <v>#DIV/0!</v>
      </c>
      <c r="AC19" s="111" t="e">
        <v>#DIV/0!</v>
      </c>
      <c r="AD19" s="113" t="e">
        <v>#DIV/0!</v>
      </c>
      <c r="AE19" s="111" t="e">
        <v>#DIV/0!</v>
      </c>
      <c r="AF19" s="114">
        <v>92.7</v>
      </c>
      <c r="AG19" s="132"/>
      <c r="AI19" s="1"/>
    </row>
    <row r="20" spans="1:42" s="4" customFormat="1" ht="27" customHeight="1">
      <c r="A20" s="200" t="s">
        <v>17</v>
      </c>
      <c r="B20" s="201"/>
      <c r="C20" s="86" t="s">
        <v>70</v>
      </c>
      <c r="D20" s="87" t="s">
        <v>70</v>
      </c>
      <c r="E20" s="87" t="s">
        <v>70</v>
      </c>
      <c r="F20" s="88" t="s">
        <v>97</v>
      </c>
      <c r="G20" s="89" t="s">
        <v>86</v>
      </c>
      <c r="H20" s="90" t="s">
        <v>70</v>
      </c>
      <c r="I20" s="86" t="s">
        <v>71</v>
      </c>
      <c r="J20" s="137" t="s">
        <v>72</v>
      </c>
      <c r="K20" s="67" t="s">
        <v>70</v>
      </c>
      <c r="L20" s="91" t="s">
        <v>111</v>
      </c>
      <c r="M20" s="86" t="s">
        <v>71</v>
      </c>
      <c r="N20" s="138" t="s">
        <v>70</v>
      </c>
      <c r="O20" s="87" t="s">
        <v>71</v>
      </c>
      <c r="P20" s="87" t="s">
        <v>70</v>
      </c>
      <c r="Q20" s="87" t="s">
        <v>70</v>
      </c>
      <c r="R20" s="87" t="s">
        <v>70</v>
      </c>
      <c r="S20" s="87" t="s">
        <v>70</v>
      </c>
      <c r="T20" s="88" t="s">
        <v>70</v>
      </c>
      <c r="U20" s="86" t="s">
        <v>106</v>
      </c>
      <c r="V20" s="54" t="s">
        <v>73</v>
      </c>
      <c r="W20" s="54" t="s">
        <v>73</v>
      </c>
      <c r="X20" s="54" t="s">
        <v>73</v>
      </c>
      <c r="Y20" s="55" t="s">
        <v>73</v>
      </c>
      <c r="Z20" s="53" t="s">
        <v>73</v>
      </c>
      <c r="AA20" s="54" t="s">
        <v>73</v>
      </c>
      <c r="AB20" s="54" t="s">
        <v>73</v>
      </c>
      <c r="AC20" s="55" t="s">
        <v>73</v>
      </c>
      <c r="AD20" s="56" t="s">
        <v>73</v>
      </c>
      <c r="AE20" s="55" t="s">
        <v>73</v>
      </c>
      <c r="AF20" s="57"/>
      <c r="AG20" s="131"/>
      <c r="AI20" s="1"/>
    </row>
    <row r="21" spans="1:42" s="115" customFormat="1" ht="27" customHeight="1">
      <c r="A21" s="202" t="s">
        <v>94</v>
      </c>
      <c r="B21" s="203"/>
      <c r="C21" s="116">
        <v>94714</v>
      </c>
      <c r="D21" s="117">
        <v>23058</v>
      </c>
      <c r="E21" s="117">
        <v>38564</v>
      </c>
      <c r="F21" s="118">
        <v>8481</v>
      </c>
      <c r="G21" s="98">
        <v>8768</v>
      </c>
      <c r="H21" s="119">
        <v>21451</v>
      </c>
      <c r="I21" s="116">
        <v>277921</v>
      </c>
      <c r="J21" s="118">
        <v>20053</v>
      </c>
      <c r="K21" s="119">
        <v>744238</v>
      </c>
      <c r="L21" s="120">
        <v>378515</v>
      </c>
      <c r="M21" s="116">
        <v>94799</v>
      </c>
      <c r="N21" s="117">
        <v>25943</v>
      </c>
      <c r="O21" s="117">
        <v>33774</v>
      </c>
      <c r="P21" s="117">
        <v>38887</v>
      </c>
      <c r="Q21" s="117">
        <v>73830</v>
      </c>
      <c r="R21" s="117">
        <v>2828</v>
      </c>
      <c r="S21" s="117">
        <v>9493</v>
      </c>
      <c r="T21" s="118">
        <v>3785</v>
      </c>
      <c r="U21" s="116">
        <v>675686</v>
      </c>
      <c r="V21" s="121">
        <v>0</v>
      </c>
      <c r="W21" s="121">
        <v>0</v>
      </c>
      <c r="X21" s="121">
        <v>0</v>
      </c>
      <c r="Y21" s="122">
        <v>0</v>
      </c>
      <c r="Z21" s="123">
        <v>0</v>
      </c>
      <c r="AA21" s="121">
        <v>0</v>
      </c>
      <c r="AB21" s="121">
        <v>0</v>
      </c>
      <c r="AC21" s="122">
        <v>0</v>
      </c>
      <c r="AD21" s="124">
        <v>0</v>
      </c>
      <c r="AE21" s="122">
        <v>0</v>
      </c>
      <c r="AF21" s="125">
        <v>2574788</v>
      </c>
      <c r="AG21" s="132"/>
      <c r="AH21" s="4" t="s">
        <v>123</v>
      </c>
      <c r="AL21" s="6" t="s">
        <v>125</v>
      </c>
      <c r="AM21" s="156"/>
      <c r="AN21" s="156"/>
      <c r="AO21" s="6" t="s">
        <v>126</v>
      </c>
    </row>
    <row r="22" spans="1:42" s="4" customFormat="1" ht="27" customHeight="1">
      <c r="A22" s="200" t="s">
        <v>18</v>
      </c>
      <c r="B22" s="201"/>
      <c r="C22" s="74">
        <v>94714</v>
      </c>
      <c r="D22" s="75">
        <v>23058</v>
      </c>
      <c r="E22" s="75">
        <v>38564</v>
      </c>
      <c r="F22" s="76">
        <v>0</v>
      </c>
      <c r="G22" s="77">
        <v>0</v>
      </c>
      <c r="H22" s="78">
        <v>21451</v>
      </c>
      <c r="I22" s="74">
        <v>0</v>
      </c>
      <c r="J22" s="76">
        <v>0</v>
      </c>
      <c r="K22" s="78">
        <v>744238</v>
      </c>
      <c r="L22" s="79">
        <v>224910</v>
      </c>
      <c r="M22" s="74">
        <v>0</v>
      </c>
      <c r="N22" s="75">
        <v>25943</v>
      </c>
      <c r="O22" s="75">
        <v>0</v>
      </c>
      <c r="P22" s="75">
        <v>38887</v>
      </c>
      <c r="Q22" s="75">
        <v>73830</v>
      </c>
      <c r="R22" s="75">
        <v>2828</v>
      </c>
      <c r="S22" s="75">
        <v>9493</v>
      </c>
      <c r="T22" s="76">
        <v>3785</v>
      </c>
      <c r="U22" s="74">
        <v>652236</v>
      </c>
      <c r="V22" s="44">
        <v>0</v>
      </c>
      <c r="W22" s="44">
        <v>0</v>
      </c>
      <c r="X22" s="44">
        <v>0</v>
      </c>
      <c r="Y22" s="45">
        <v>0</v>
      </c>
      <c r="Z22" s="43">
        <v>0</v>
      </c>
      <c r="AA22" s="44">
        <v>0</v>
      </c>
      <c r="AB22" s="44">
        <v>0</v>
      </c>
      <c r="AC22" s="45">
        <v>0</v>
      </c>
      <c r="AD22" s="46">
        <v>0</v>
      </c>
      <c r="AE22" s="45">
        <v>0</v>
      </c>
      <c r="AF22" s="47">
        <v>1953937</v>
      </c>
      <c r="AG22" s="131"/>
      <c r="AH22" s="148" t="s">
        <v>18</v>
      </c>
      <c r="AI22" s="135">
        <f>ROUND(AF22/1000,0)</f>
        <v>1954</v>
      </c>
      <c r="AJ22" s="1"/>
      <c r="AK22" s="1"/>
      <c r="AL22" s="149" t="s">
        <v>70</v>
      </c>
      <c r="AM22" s="150">
        <f>AI22</f>
        <v>1954</v>
      </c>
      <c r="AN22" s="1"/>
      <c r="AO22" s="157" t="s">
        <v>70</v>
      </c>
      <c r="AP22" s="135">
        <f>AI22</f>
        <v>1954</v>
      </c>
    </row>
    <row r="23" spans="1:42" s="4" customFormat="1" ht="27" customHeight="1">
      <c r="A23" s="200" t="s">
        <v>19</v>
      </c>
      <c r="B23" s="201"/>
      <c r="C23" s="74">
        <v>0</v>
      </c>
      <c r="D23" s="75">
        <v>0</v>
      </c>
      <c r="E23" s="75">
        <v>0</v>
      </c>
      <c r="F23" s="76">
        <v>0</v>
      </c>
      <c r="G23" s="77">
        <v>0</v>
      </c>
      <c r="H23" s="78">
        <v>0</v>
      </c>
      <c r="I23" s="74">
        <v>0</v>
      </c>
      <c r="J23" s="76">
        <v>0</v>
      </c>
      <c r="K23" s="79">
        <v>0</v>
      </c>
      <c r="L23" s="79">
        <v>54806</v>
      </c>
      <c r="M23" s="74">
        <v>0</v>
      </c>
      <c r="N23" s="75">
        <v>0</v>
      </c>
      <c r="O23" s="75">
        <v>0</v>
      </c>
      <c r="P23" s="75">
        <v>0</v>
      </c>
      <c r="Q23" s="75">
        <v>0</v>
      </c>
      <c r="R23" s="75">
        <v>0</v>
      </c>
      <c r="S23" s="75">
        <v>0</v>
      </c>
      <c r="T23" s="76">
        <v>0</v>
      </c>
      <c r="U23" s="74">
        <v>23450</v>
      </c>
      <c r="V23" s="44">
        <v>0</v>
      </c>
      <c r="W23" s="44">
        <v>0</v>
      </c>
      <c r="X23" s="44">
        <v>0</v>
      </c>
      <c r="Y23" s="45">
        <v>0</v>
      </c>
      <c r="Z23" s="43">
        <v>0</v>
      </c>
      <c r="AA23" s="44">
        <v>0</v>
      </c>
      <c r="AB23" s="44">
        <v>0</v>
      </c>
      <c r="AC23" s="45">
        <v>0</v>
      </c>
      <c r="AD23" s="46">
        <v>0</v>
      </c>
      <c r="AE23" s="45">
        <v>0</v>
      </c>
      <c r="AF23" s="47">
        <v>78256</v>
      </c>
      <c r="AG23" s="131"/>
      <c r="AH23" s="148" t="s">
        <v>19</v>
      </c>
      <c r="AI23" s="135">
        <f t="shared" ref="AI23:AI27" si="3">ROUND(AF23/1000,0)</f>
        <v>78</v>
      </c>
      <c r="AJ23" s="1"/>
      <c r="AK23" s="1"/>
      <c r="AL23" s="149" t="s">
        <v>114</v>
      </c>
      <c r="AM23" s="150">
        <f>AI23</f>
        <v>78</v>
      </c>
      <c r="AN23" s="1"/>
      <c r="AO23" s="157" t="s">
        <v>71</v>
      </c>
      <c r="AP23" s="135">
        <f>AI24</f>
        <v>514</v>
      </c>
    </row>
    <row r="24" spans="1:42" s="4" customFormat="1" ht="27" customHeight="1">
      <c r="A24" s="200" t="s">
        <v>20</v>
      </c>
      <c r="B24" s="201"/>
      <c r="C24" s="74">
        <v>0</v>
      </c>
      <c r="D24" s="75">
        <v>0</v>
      </c>
      <c r="E24" s="75">
        <v>0</v>
      </c>
      <c r="F24" s="76">
        <v>0</v>
      </c>
      <c r="G24" s="77">
        <v>8768</v>
      </c>
      <c r="H24" s="78">
        <v>0</v>
      </c>
      <c r="I24" s="74">
        <v>277921</v>
      </c>
      <c r="J24" s="76">
        <v>0</v>
      </c>
      <c r="K24" s="79">
        <v>0</v>
      </c>
      <c r="L24" s="79">
        <v>98799</v>
      </c>
      <c r="M24" s="74">
        <v>94799</v>
      </c>
      <c r="N24" s="75">
        <v>0</v>
      </c>
      <c r="O24" s="75">
        <v>33774</v>
      </c>
      <c r="P24" s="75">
        <v>0</v>
      </c>
      <c r="Q24" s="75">
        <v>0</v>
      </c>
      <c r="R24" s="75">
        <v>0</v>
      </c>
      <c r="S24" s="75">
        <v>0</v>
      </c>
      <c r="T24" s="76">
        <v>0</v>
      </c>
      <c r="U24" s="74">
        <v>0</v>
      </c>
      <c r="V24" s="44">
        <v>0</v>
      </c>
      <c r="W24" s="44">
        <v>0</v>
      </c>
      <c r="X24" s="44">
        <v>0</v>
      </c>
      <c r="Y24" s="45">
        <v>0</v>
      </c>
      <c r="Z24" s="43">
        <v>0</v>
      </c>
      <c r="AA24" s="44">
        <v>0</v>
      </c>
      <c r="AB24" s="44">
        <v>0</v>
      </c>
      <c r="AC24" s="45">
        <v>0</v>
      </c>
      <c r="AD24" s="46">
        <v>0</v>
      </c>
      <c r="AE24" s="45">
        <v>0</v>
      </c>
      <c r="AF24" s="47">
        <v>514061</v>
      </c>
      <c r="AG24" s="131"/>
      <c r="AH24" s="148" t="s">
        <v>20</v>
      </c>
      <c r="AI24" s="135">
        <f t="shared" si="3"/>
        <v>514</v>
      </c>
      <c r="AJ24" s="1"/>
      <c r="AK24" s="1"/>
      <c r="AL24" s="149" t="s">
        <v>71</v>
      </c>
      <c r="AM24" s="150">
        <f>AI24</f>
        <v>514</v>
      </c>
      <c r="AN24" s="1"/>
      <c r="AO24" s="157" t="s">
        <v>113</v>
      </c>
      <c r="AP24" s="135">
        <f>AI27</f>
        <v>8</v>
      </c>
    </row>
    <row r="25" spans="1:42" s="4" customFormat="1" ht="27" customHeight="1">
      <c r="A25" s="200" t="s">
        <v>21</v>
      </c>
      <c r="B25" s="201"/>
      <c r="C25" s="74">
        <v>0</v>
      </c>
      <c r="D25" s="75">
        <v>0</v>
      </c>
      <c r="E25" s="75">
        <v>0</v>
      </c>
      <c r="F25" s="76">
        <v>0</v>
      </c>
      <c r="G25" s="77">
        <v>0</v>
      </c>
      <c r="H25" s="78">
        <v>0</v>
      </c>
      <c r="I25" s="74">
        <v>0</v>
      </c>
      <c r="J25" s="76">
        <v>20053</v>
      </c>
      <c r="K25" s="79">
        <v>0</v>
      </c>
      <c r="L25" s="79">
        <v>0</v>
      </c>
      <c r="M25" s="74">
        <v>0</v>
      </c>
      <c r="N25" s="75">
        <v>0</v>
      </c>
      <c r="O25" s="75">
        <v>0</v>
      </c>
      <c r="P25" s="75">
        <v>0</v>
      </c>
      <c r="Q25" s="75">
        <v>0</v>
      </c>
      <c r="R25" s="75">
        <v>0</v>
      </c>
      <c r="S25" s="75">
        <v>0</v>
      </c>
      <c r="T25" s="76">
        <v>0</v>
      </c>
      <c r="U25" s="74">
        <v>0</v>
      </c>
      <c r="V25" s="44">
        <v>0</v>
      </c>
      <c r="W25" s="44">
        <v>0</v>
      </c>
      <c r="X25" s="44">
        <v>0</v>
      </c>
      <c r="Y25" s="45">
        <v>0</v>
      </c>
      <c r="Z25" s="43">
        <v>0</v>
      </c>
      <c r="AA25" s="44">
        <v>0</v>
      </c>
      <c r="AB25" s="44">
        <v>0</v>
      </c>
      <c r="AC25" s="45">
        <v>0</v>
      </c>
      <c r="AD25" s="46">
        <v>0</v>
      </c>
      <c r="AE25" s="45">
        <v>0</v>
      </c>
      <c r="AF25" s="47">
        <v>20053</v>
      </c>
      <c r="AG25" s="131"/>
      <c r="AH25" s="148" t="s">
        <v>21</v>
      </c>
      <c r="AI25" s="135">
        <f t="shared" si="3"/>
        <v>20</v>
      </c>
      <c r="AJ25" s="1"/>
      <c r="AK25" s="1"/>
      <c r="AL25" s="149" t="s">
        <v>72</v>
      </c>
      <c r="AM25" s="150">
        <f>AI25</f>
        <v>20</v>
      </c>
      <c r="AN25" s="1"/>
      <c r="AO25" s="157" t="s">
        <v>114</v>
      </c>
      <c r="AP25" s="135">
        <f>AI23</f>
        <v>78</v>
      </c>
    </row>
    <row r="26" spans="1:42" s="4" customFormat="1" ht="27" customHeight="1">
      <c r="A26" s="200" t="s">
        <v>22</v>
      </c>
      <c r="B26" s="201"/>
      <c r="C26" s="74">
        <v>0</v>
      </c>
      <c r="D26" s="75">
        <v>0</v>
      </c>
      <c r="E26" s="75">
        <v>0</v>
      </c>
      <c r="F26" s="76">
        <v>0</v>
      </c>
      <c r="G26" s="77">
        <v>0</v>
      </c>
      <c r="H26" s="78">
        <v>0</v>
      </c>
      <c r="I26" s="74">
        <v>0</v>
      </c>
      <c r="J26" s="76">
        <v>0</v>
      </c>
      <c r="K26" s="78">
        <v>0</v>
      </c>
      <c r="L26" s="79">
        <v>0</v>
      </c>
      <c r="M26" s="74">
        <v>0</v>
      </c>
      <c r="N26" s="75">
        <v>0</v>
      </c>
      <c r="O26" s="75">
        <v>0</v>
      </c>
      <c r="P26" s="75">
        <v>0</v>
      </c>
      <c r="Q26" s="75">
        <v>0</v>
      </c>
      <c r="R26" s="75">
        <v>0</v>
      </c>
      <c r="S26" s="75">
        <v>0</v>
      </c>
      <c r="T26" s="76">
        <v>0</v>
      </c>
      <c r="U26" s="74">
        <v>0</v>
      </c>
      <c r="V26" s="44">
        <v>0</v>
      </c>
      <c r="W26" s="44">
        <v>0</v>
      </c>
      <c r="X26" s="44">
        <v>0</v>
      </c>
      <c r="Y26" s="45">
        <v>0</v>
      </c>
      <c r="Z26" s="43">
        <v>0</v>
      </c>
      <c r="AA26" s="44">
        <v>0</v>
      </c>
      <c r="AB26" s="44">
        <v>0</v>
      </c>
      <c r="AC26" s="45">
        <v>0</v>
      </c>
      <c r="AD26" s="46">
        <v>0</v>
      </c>
      <c r="AE26" s="45">
        <v>0</v>
      </c>
      <c r="AF26" s="47">
        <v>0</v>
      </c>
      <c r="AG26" s="131"/>
      <c r="AH26" s="148" t="s">
        <v>22</v>
      </c>
      <c r="AI26" s="135">
        <f t="shared" si="3"/>
        <v>0</v>
      </c>
      <c r="AJ26" s="1"/>
      <c r="AK26" s="1"/>
      <c r="AL26" s="149" t="s">
        <v>113</v>
      </c>
      <c r="AM26" s="150">
        <f>AI27</f>
        <v>8</v>
      </c>
      <c r="AN26" s="1"/>
      <c r="AO26" s="157" t="s">
        <v>72</v>
      </c>
      <c r="AP26" s="135">
        <f>AI25</f>
        <v>20</v>
      </c>
    </row>
    <row r="27" spans="1:42" s="4" customFormat="1" ht="27" customHeight="1" thickBot="1">
      <c r="A27" s="200" t="s">
        <v>23</v>
      </c>
      <c r="B27" s="201"/>
      <c r="C27" s="74">
        <v>0</v>
      </c>
      <c r="D27" s="75">
        <v>0</v>
      </c>
      <c r="E27" s="75">
        <v>0</v>
      </c>
      <c r="F27" s="76">
        <v>8481</v>
      </c>
      <c r="G27" s="77">
        <v>0</v>
      </c>
      <c r="H27" s="78">
        <v>0</v>
      </c>
      <c r="I27" s="74">
        <v>0</v>
      </c>
      <c r="J27" s="76">
        <v>0</v>
      </c>
      <c r="K27" s="92">
        <v>0</v>
      </c>
      <c r="L27" s="79">
        <v>0</v>
      </c>
      <c r="M27" s="74">
        <v>0</v>
      </c>
      <c r="N27" s="75">
        <v>0</v>
      </c>
      <c r="O27" s="75">
        <v>0</v>
      </c>
      <c r="P27" s="75">
        <v>0</v>
      </c>
      <c r="Q27" s="75">
        <v>0</v>
      </c>
      <c r="R27" s="75">
        <v>0</v>
      </c>
      <c r="S27" s="75">
        <v>0</v>
      </c>
      <c r="T27" s="76">
        <v>0</v>
      </c>
      <c r="U27" s="74">
        <v>0</v>
      </c>
      <c r="V27" s="44">
        <v>0</v>
      </c>
      <c r="W27" s="44">
        <v>0</v>
      </c>
      <c r="X27" s="44">
        <v>0</v>
      </c>
      <c r="Y27" s="45">
        <v>0</v>
      </c>
      <c r="Z27" s="43">
        <v>0</v>
      </c>
      <c r="AA27" s="44">
        <v>0</v>
      </c>
      <c r="AB27" s="44">
        <v>0</v>
      </c>
      <c r="AC27" s="45">
        <v>0</v>
      </c>
      <c r="AD27" s="46">
        <v>0</v>
      </c>
      <c r="AE27" s="45">
        <v>0</v>
      </c>
      <c r="AF27" s="47">
        <v>8481</v>
      </c>
      <c r="AG27" s="131"/>
      <c r="AH27" s="148" t="s">
        <v>23</v>
      </c>
      <c r="AI27" s="135">
        <f t="shared" si="3"/>
        <v>8</v>
      </c>
      <c r="AJ27" s="1"/>
      <c r="AK27" s="1"/>
      <c r="AL27" s="151" t="s">
        <v>115</v>
      </c>
      <c r="AM27" s="152">
        <f>AI26</f>
        <v>0</v>
      </c>
      <c r="AN27" s="1"/>
      <c r="AO27" s="158" t="s">
        <v>115</v>
      </c>
      <c r="AP27" s="159">
        <f>AI26</f>
        <v>0</v>
      </c>
    </row>
    <row r="28" spans="1:42" s="6" customFormat="1" ht="27" customHeight="1" thickTop="1">
      <c r="A28" s="196" t="s">
        <v>24</v>
      </c>
      <c r="B28" s="197"/>
      <c r="C28" s="93" t="s">
        <v>78</v>
      </c>
      <c r="D28" s="94" t="s">
        <v>75</v>
      </c>
      <c r="E28" s="94" t="s">
        <v>87</v>
      </c>
      <c r="F28" s="95" t="s">
        <v>76</v>
      </c>
      <c r="G28" s="93" t="s">
        <v>78</v>
      </c>
      <c r="H28" s="96" t="s">
        <v>74</v>
      </c>
      <c r="I28" s="93" t="s">
        <v>78</v>
      </c>
      <c r="J28" s="95" t="s">
        <v>78</v>
      </c>
      <c r="K28" s="91" t="s">
        <v>107</v>
      </c>
      <c r="L28" s="97" t="s">
        <v>108</v>
      </c>
      <c r="M28" s="93" t="s">
        <v>76</v>
      </c>
      <c r="N28" s="94" t="s">
        <v>74</v>
      </c>
      <c r="O28" s="94" t="s">
        <v>76</v>
      </c>
      <c r="P28" s="94" t="s">
        <v>74</v>
      </c>
      <c r="Q28" s="94" t="s">
        <v>77</v>
      </c>
      <c r="R28" s="94" t="s">
        <v>78</v>
      </c>
      <c r="S28" s="94" t="s">
        <v>74</v>
      </c>
      <c r="T28" s="95" t="s">
        <v>74</v>
      </c>
      <c r="U28" s="93" t="s">
        <v>82</v>
      </c>
      <c r="V28" s="59" t="s">
        <v>73</v>
      </c>
      <c r="W28" s="59" t="s">
        <v>73</v>
      </c>
      <c r="X28" s="59" t="s">
        <v>73</v>
      </c>
      <c r="Y28" s="59" t="s">
        <v>73</v>
      </c>
      <c r="Z28" s="59" t="s">
        <v>73</v>
      </c>
      <c r="AA28" s="59" t="s">
        <v>73</v>
      </c>
      <c r="AB28" s="59" t="s">
        <v>73</v>
      </c>
      <c r="AC28" s="59" t="s">
        <v>73</v>
      </c>
      <c r="AD28" s="59" t="s">
        <v>73</v>
      </c>
      <c r="AE28" s="59" t="s">
        <v>73</v>
      </c>
      <c r="AF28" s="42"/>
      <c r="AG28" s="6" t="s">
        <v>127</v>
      </c>
      <c r="AH28" s="146"/>
      <c r="AI28" s="147"/>
      <c r="AJ28" s="1"/>
      <c r="AK28" s="153"/>
      <c r="AL28" s="154" t="s">
        <v>116</v>
      </c>
      <c r="AM28" s="155">
        <f>SUM(AM22:AM27)</f>
        <v>2574</v>
      </c>
      <c r="AN28" s="153"/>
      <c r="AO28" s="160" t="s">
        <v>116</v>
      </c>
      <c r="AP28" s="161">
        <f>SUM(AP22:AP27)</f>
        <v>2574</v>
      </c>
    </row>
    <row r="29" spans="1:42" s="4" customFormat="1" ht="27" customHeight="1">
      <c r="A29" s="198" t="s">
        <v>117</v>
      </c>
      <c r="B29" s="199"/>
      <c r="C29" s="116">
        <v>86232</v>
      </c>
      <c r="D29" s="117">
        <v>20508</v>
      </c>
      <c r="E29" s="117">
        <v>19021</v>
      </c>
      <c r="F29" s="118">
        <v>8481</v>
      </c>
      <c r="G29" s="98">
        <v>8768</v>
      </c>
      <c r="H29" s="119">
        <v>17876</v>
      </c>
      <c r="I29" s="116">
        <v>277921</v>
      </c>
      <c r="J29" s="118">
        <v>20053</v>
      </c>
      <c r="K29" s="119">
        <v>379417</v>
      </c>
      <c r="L29" s="120">
        <v>335205</v>
      </c>
      <c r="M29" s="116">
        <v>94799</v>
      </c>
      <c r="N29" s="117">
        <v>25943</v>
      </c>
      <c r="O29" s="117">
        <v>33774</v>
      </c>
      <c r="P29" s="117">
        <v>38887</v>
      </c>
      <c r="Q29" s="117">
        <v>73830</v>
      </c>
      <c r="R29" s="117">
        <v>2828</v>
      </c>
      <c r="S29" s="117">
        <v>9493</v>
      </c>
      <c r="T29" s="118">
        <v>3785</v>
      </c>
      <c r="U29" s="116">
        <v>675686</v>
      </c>
      <c r="V29" s="117">
        <v>0</v>
      </c>
      <c r="W29" s="117">
        <v>0</v>
      </c>
      <c r="X29" s="117">
        <v>0</v>
      </c>
      <c r="Y29" s="118">
        <v>0</v>
      </c>
      <c r="Z29" s="116">
        <v>0</v>
      </c>
      <c r="AA29" s="117">
        <v>0</v>
      </c>
      <c r="AB29" s="117">
        <v>0</v>
      </c>
      <c r="AC29" s="118">
        <v>0</v>
      </c>
      <c r="AD29" s="140">
        <v>0</v>
      </c>
      <c r="AE29" s="118">
        <v>0</v>
      </c>
      <c r="AF29" s="141">
        <v>2132507</v>
      </c>
      <c r="AG29" s="131">
        <f>SUMIF(C28:U28,"消毒のみ",C29:U29)</f>
        <v>137054</v>
      </c>
      <c r="AH29" s="163">
        <f>AG29/AF29</f>
        <v>6.426895667868851E-2</v>
      </c>
      <c r="AI29" s="147"/>
      <c r="AJ29" s="6"/>
    </row>
    <row r="30" spans="1:42" s="4" customFormat="1" ht="27" customHeight="1">
      <c r="A30" s="198" t="s">
        <v>102</v>
      </c>
      <c r="B30" s="199"/>
      <c r="C30" s="116">
        <v>68925</v>
      </c>
      <c r="D30" s="117">
        <v>13595</v>
      </c>
      <c r="E30" s="117">
        <v>10437</v>
      </c>
      <c r="F30" s="118">
        <v>6737</v>
      </c>
      <c r="G30" s="98">
        <v>8417</v>
      </c>
      <c r="H30" s="119">
        <v>14155</v>
      </c>
      <c r="I30" s="116">
        <v>212219</v>
      </c>
      <c r="J30" s="118">
        <v>15849</v>
      </c>
      <c r="K30" s="120">
        <v>246307</v>
      </c>
      <c r="L30" s="120">
        <v>221542</v>
      </c>
      <c r="M30" s="116">
        <v>71613</v>
      </c>
      <c r="N30" s="117">
        <v>21289</v>
      </c>
      <c r="O30" s="117">
        <v>26778</v>
      </c>
      <c r="P30" s="117">
        <v>31239</v>
      </c>
      <c r="Q30" s="117">
        <v>61942</v>
      </c>
      <c r="R30" s="117">
        <v>2585</v>
      </c>
      <c r="S30" s="117">
        <v>7552</v>
      </c>
      <c r="T30" s="118">
        <v>3018</v>
      </c>
      <c r="U30" s="116">
        <v>338968</v>
      </c>
      <c r="V30" s="117">
        <v>0</v>
      </c>
      <c r="W30" s="117">
        <v>0</v>
      </c>
      <c r="X30" s="117">
        <v>0</v>
      </c>
      <c r="Y30" s="118">
        <v>0</v>
      </c>
      <c r="Z30" s="116">
        <v>0</v>
      </c>
      <c r="AA30" s="117">
        <v>0</v>
      </c>
      <c r="AB30" s="117">
        <v>0</v>
      </c>
      <c r="AC30" s="118">
        <v>0</v>
      </c>
      <c r="AD30" s="140">
        <v>0</v>
      </c>
      <c r="AE30" s="118">
        <v>0</v>
      </c>
      <c r="AF30" s="141">
        <v>1383167</v>
      </c>
      <c r="AG30" s="131"/>
      <c r="AH30" s="131" t="s">
        <v>124</v>
      </c>
      <c r="AI30" s="6"/>
    </row>
    <row r="31" spans="1:42" s="4" customFormat="1" ht="27" customHeight="1">
      <c r="A31" s="198" t="s">
        <v>25</v>
      </c>
      <c r="B31" s="199"/>
      <c r="C31" s="105">
        <v>79.900000000000006</v>
      </c>
      <c r="D31" s="107">
        <v>66.3</v>
      </c>
      <c r="E31" s="107">
        <v>54.900000000000006</v>
      </c>
      <c r="F31" s="108">
        <v>79.400000000000006</v>
      </c>
      <c r="G31" s="108">
        <v>96</v>
      </c>
      <c r="H31" s="126">
        <v>79.2</v>
      </c>
      <c r="I31" s="105">
        <v>76.400000000000006</v>
      </c>
      <c r="J31" s="108">
        <v>79</v>
      </c>
      <c r="K31" s="109">
        <v>64.900000000000006</v>
      </c>
      <c r="L31" s="109">
        <v>66.100000000000009</v>
      </c>
      <c r="M31" s="105">
        <v>75.5</v>
      </c>
      <c r="N31" s="107">
        <v>82.1</v>
      </c>
      <c r="O31" s="107">
        <v>79.3</v>
      </c>
      <c r="P31" s="107">
        <v>80.300000000000011</v>
      </c>
      <c r="Q31" s="107">
        <v>83.899999999999991</v>
      </c>
      <c r="R31" s="107">
        <v>91.4</v>
      </c>
      <c r="S31" s="107">
        <v>79.600000000000009</v>
      </c>
      <c r="T31" s="108">
        <v>79.7</v>
      </c>
      <c r="U31" s="105">
        <v>50.2</v>
      </c>
      <c r="V31" s="106" t="e">
        <v>#DIV/0!</v>
      </c>
      <c r="W31" s="106" t="e">
        <v>#DIV/0!</v>
      </c>
      <c r="X31" s="106" t="e">
        <v>#DIV/0!</v>
      </c>
      <c r="Y31" s="106" t="e">
        <v>#DIV/0!</v>
      </c>
      <c r="Z31" s="106" t="e">
        <v>#DIV/0!</v>
      </c>
      <c r="AA31" s="106" t="e">
        <v>#DIV/0!</v>
      </c>
      <c r="AB31" s="106" t="e">
        <v>#DIV/0!</v>
      </c>
      <c r="AC31" s="106" t="e">
        <v>#DIV/0!</v>
      </c>
      <c r="AD31" s="106" t="e">
        <v>#DIV/0!</v>
      </c>
      <c r="AE31" s="106" t="e">
        <v>#DIV/0!</v>
      </c>
      <c r="AF31" s="142">
        <v>64.900000000000006</v>
      </c>
      <c r="AG31" s="131"/>
      <c r="AH31" s="139" t="s">
        <v>117</v>
      </c>
      <c r="AI31" s="135">
        <f>ROUND(AF29/1000,0)</f>
        <v>2133</v>
      </c>
      <c r="AJ31" s="162"/>
    </row>
    <row r="32" spans="1:42" s="4" customFormat="1" ht="27" customHeight="1">
      <c r="A32" s="198" t="s">
        <v>99</v>
      </c>
      <c r="B32" s="199"/>
      <c r="C32" s="116">
        <v>4635</v>
      </c>
      <c r="D32" s="117">
        <v>2374</v>
      </c>
      <c r="E32" s="117">
        <v>8359</v>
      </c>
      <c r="F32" s="118">
        <v>1274</v>
      </c>
      <c r="G32" s="98">
        <v>162</v>
      </c>
      <c r="H32" s="119">
        <v>1666</v>
      </c>
      <c r="I32" s="116">
        <v>929</v>
      </c>
      <c r="J32" s="118">
        <v>0</v>
      </c>
      <c r="K32" s="120">
        <v>0</v>
      </c>
      <c r="L32" s="120">
        <v>0</v>
      </c>
      <c r="M32" s="116">
        <v>918</v>
      </c>
      <c r="N32" s="117">
        <v>288</v>
      </c>
      <c r="O32" s="117">
        <v>881</v>
      </c>
      <c r="P32" s="117">
        <v>1772</v>
      </c>
      <c r="Q32" s="117">
        <v>294</v>
      </c>
      <c r="R32" s="117">
        <v>70</v>
      </c>
      <c r="S32" s="117">
        <v>69</v>
      </c>
      <c r="T32" s="118">
        <v>195</v>
      </c>
      <c r="U32" s="116">
        <v>7645</v>
      </c>
      <c r="V32" s="121">
        <v>0</v>
      </c>
      <c r="W32" s="121">
        <v>0</v>
      </c>
      <c r="X32" s="121">
        <v>0</v>
      </c>
      <c r="Y32" s="122">
        <v>0</v>
      </c>
      <c r="Z32" s="123">
        <v>0</v>
      </c>
      <c r="AA32" s="121">
        <v>0</v>
      </c>
      <c r="AB32" s="121">
        <v>0</v>
      </c>
      <c r="AC32" s="122">
        <v>0</v>
      </c>
      <c r="AD32" s="124">
        <v>0</v>
      </c>
      <c r="AE32" s="122">
        <v>0</v>
      </c>
      <c r="AF32" s="125">
        <v>31531</v>
      </c>
      <c r="AG32" s="131"/>
      <c r="AH32" s="139" t="s">
        <v>102</v>
      </c>
      <c r="AI32" s="135">
        <f>ROUND(AF30/1000,0)</f>
        <v>1383</v>
      </c>
      <c r="AJ32" s="162"/>
    </row>
    <row r="33" spans="1:42" s="4" customFormat="1" ht="27" customHeight="1">
      <c r="A33" s="198" t="s">
        <v>26</v>
      </c>
      <c r="B33" s="199"/>
      <c r="C33" s="105">
        <v>5.4</v>
      </c>
      <c r="D33" s="107">
        <v>11.600000000000001</v>
      </c>
      <c r="E33" s="107">
        <v>43.9</v>
      </c>
      <c r="F33" s="108">
        <v>15</v>
      </c>
      <c r="G33" s="108">
        <v>1.7999999999999998</v>
      </c>
      <c r="H33" s="126">
        <v>9.3000000000000007</v>
      </c>
      <c r="I33" s="105">
        <v>0.3</v>
      </c>
      <c r="J33" s="108">
        <v>0</v>
      </c>
      <c r="K33" s="109">
        <v>0</v>
      </c>
      <c r="L33" s="109">
        <v>0</v>
      </c>
      <c r="M33" s="105">
        <v>1</v>
      </c>
      <c r="N33" s="107">
        <v>1.0999999999999999</v>
      </c>
      <c r="O33" s="107">
        <v>2.6</v>
      </c>
      <c r="P33" s="107">
        <v>4.5999999999999996</v>
      </c>
      <c r="Q33" s="107">
        <v>0.4</v>
      </c>
      <c r="R33" s="107">
        <v>2.5</v>
      </c>
      <c r="S33" s="107">
        <v>0.70000000000000007</v>
      </c>
      <c r="T33" s="108">
        <v>5.2</v>
      </c>
      <c r="U33" s="105">
        <v>1.0999999999999999</v>
      </c>
      <c r="V33" s="110" t="s">
        <v>79</v>
      </c>
      <c r="W33" s="110" t="s">
        <v>79</v>
      </c>
      <c r="X33" s="110" t="s">
        <v>79</v>
      </c>
      <c r="Y33" s="111" t="s">
        <v>79</v>
      </c>
      <c r="Z33" s="112" t="s">
        <v>79</v>
      </c>
      <c r="AA33" s="110" t="s">
        <v>79</v>
      </c>
      <c r="AB33" s="110" t="s">
        <v>79</v>
      </c>
      <c r="AC33" s="111" t="s">
        <v>79</v>
      </c>
      <c r="AD33" s="113" t="s">
        <v>79</v>
      </c>
      <c r="AE33" s="111" t="s">
        <v>79</v>
      </c>
      <c r="AF33" s="127">
        <v>1.5</v>
      </c>
      <c r="AG33" s="131"/>
      <c r="AH33" s="139" t="s">
        <v>99</v>
      </c>
      <c r="AI33" s="135">
        <f>ROUND(AF32/1000,0)</f>
        <v>32</v>
      </c>
      <c r="AJ33" s="162"/>
    </row>
    <row r="34" spans="1:42" s="4" customFormat="1" ht="27" customHeight="1">
      <c r="A34" s="198" t="s">
        <v>100</v>
      </c>
      <c r="B34" s="199"/>
      <c r="C34" s="116">
        <v>73560</v>
      </c>
      <c r="D34" s="117">
        <v>15969</v>
      </c>
      <c r="E34" s="117">
        <v>18796</v>
      </c>
      <c r="F34" s="118">
        <v>8011</v>
      </c>
      <c r="G34" s="118">
        <v>8579</v>
      </c>
      <c r="H34" s="119">
        <v>15821</v>
      </c>
      <c r="I34" s="116">
        <v>213148</v>
      </c>
      <c r="J34" s="118">
        <v>15849</v>
      </c>
      <c r="K34" s="120">
        <v>246307</v>
      </c>
      <c r="L34" s="120">
        <v>221542</v>
      </c>
      <c r="M34" s="116">
        <v>72531</v>
      </c>
      <c r="N34" s="117">
        <v>21577</v>
      </c>
      <c r="O34" s="117">
        <v>27659</v>
      </c>
      <c r="P34" s="117">
        <v>33011</v>
      </c>
      <c r="Q34" s="117">
        <v>62236</v>
      </c>
      <c r="R34" s="117">
        <v>2655</v>
      </c>
      <c r="S34" s="117">
        <v>7621</v>
      </c>
      <c r="T34" s="118">
        <v>3213</v>
      </c>
      <c r="U34" s="116">
        <v>346613</v>
      </c>
      <c r="V34" s="121">
        <v>0</v>
      </c>
      <c r="W34" s="121">
        <v>0</v>
      </c>
      <c r="X34" s="110"/>
      <c r="Y34" s="111"/>
      <c r="Z34" s="112"/>
      <c r="AA34" s="110"/>
      <c r="AB34" s="110"/>
      <c r="AC34" s="111"/>
      <c r="AD34" s="113"/>
      <c r="AE34" s="111"/>
      <c r="AF34" s="128">
        <v>1414698</v>
      </c>
      <c r="AG34" s="131"/>
      <c r="AH34" s="139" t="s">
        <v>101</v>
      </c>
      <c r="AI34" s="135">
        <f>ROUND(AF36/1000,0)</f>
        <v>718</v>
      </c>
      <c r="AJ34" s="162"/>
    </row>
    <row r="35" spans="1:42" s="4" customFormat="1" ht="27" customHeight="1">
      <c r="A35" s="198" t="s">
        <v>27</v>
      </c>
      <c r="B35" s="199"/>
      <c r="C35" s="105">
        <v>85.3</v>
      </c>
      <c r="D35" s="107">
        <v>77.900000000000006</v>
      </c>
      <c r="E35" s="107">
        <v>98.8</v>
      </c>
      <c r="F35" s="108">
        <v>94.5</v>
      </c>
      <c r="G35" s="108">
        <v>97.8</v>
      </c>
      <c r="H35" s="126">
        <v>88.5</v>
      </c>
      <c r="I35" s="105">
        <v>76.7</v>
      </c>
      <c r="J35" s="108">
        <v>79</v>
      </c>
      <c r="K35" s="109">
        <v>64.900000000000006</v>
      </c>
      <c r="L35" s="109">
        <v>66.100000000000009</v>
      </c>
      <c r="M35" s="105">
        <v>76.5</v>
      </c>
      <c r="N35" s="107">
        <v>83.2</v>
      </c>
      <c r="O35" s="107">
        <v>81.899999999999991</v>
      </c>
      <c r="P35" s="107">
        <v>84.899999999999991</v>
      </c>
      <c r="Q35" s="107">
        <v>84.3</v>
      </c>
      <c r="R35" s="107">
        <v>93.899999999999991</v>
      </c>
      <c r="S35" s="107">
        <v>80.300000000000011</v>
      </c>
      <c r="T35" s="108">
        <v>84.899999999999991</v>
      </c>
      <c r="U35" s="105">
        <v>51.300000000000004</v>
      </c>
      <c r="V35" s="110" t="e">
        <v>#VALUE!</v>
      </c>
      <c r="W35" s="110" t="e">
        <v>#VALUE!</v>
      </c>
      <c r="X35" s="110"/>
      <c r="Y35" s="111"/>
      <c r="Z35" s="112"/>
      <c r="AA35" s="110"/>
      <c r="AB35" s="110"/>
      <c r="AC35" s="111"/>
      <c r="AD35" s="113"/>
      <c r="AE35" s="111"/>
      <c r="AF35" s="127">
        <v>66.3</v>
      </c>
      <c r="AG35" s="131"/>
      <c r="AH35" s="139" t="s">
        <v>25</v>
      </c>
      <c r="AI35" s="136">
        <f>AF31</f>
        <v>64.900000000000006</v>
      </c>
    </row>
    <row r="36" spans="1:42" s="4" customFormat="1" ht="27" customHeight="1">
      <c r="A36" s="198" t="s">
        <v>101</v>
      </c>
      <c r="B36" s="199"/>
      <c r="C36" s="116">
        <v>12672</v>
      </c>
      <c r="D36" s="117">
        <v>4539</v>
      </c>
      <c r="E36" s="117">
        <v>225</v>
      </c>
      <c r="F36" s="118">
        <v>470</v>
      </c>
      <c r="G36" s="98">
        <v>189</v>
      </c>
      <c r="H36" s="119">
        <v>2055</v>
      </c>
      <c r="I36" s="116">
        <v>64773</v>
      </c>
      <c r="J36" s="118">
        <v>4204</v>
      </c>
      <c r="K36" s="119">
        <v>133110</v>
      </c>
      <c r="L36" s="120">
        <v>113663</v>
      </c>
      <c r="M36" s="116">
        <v>22268</v>
      </c>
      <c r="N36" s="117">
        <v>4366</v>
      </c>
      <c r="O36" s="117">
        <v>6115</v>
      </c>
      <c r="P36" s="117">
        <v>5876</v>
      </c>
      <c r="Q36" s="117">
        <v>11594</v>
      </c>
      <c r="R36" s="117">
        <v>173</v>
      </c>
      <c r="S36" s="117">
        <v>1872</v>
      </c>
      <c r="T36" s="118">
        <v>572</v>
      </c>
      <c r="U36" s="116">
        <v>329073</v>
      </c>
      <c r="V36" s="121">
        <v>0</v>
      </c>
      <c r="W36" s="121">
        <v>0</v>
      </c>
      <c r="X36" s="121">
        <v>0</v>
      </c>
      <c r="Y36" s="122">
        <v>0</v>
      </c>
      <c r="Z36" s="123">
        <v>0</v>
      </c>
      <c r="AA36" s="121">
        <v>0</v>
      </c>
      <c r="AB36" s="121">
        <v>0</v>
      </c>
      <c r="AC36" s="122">
        <v>0</v>
      </c>
      <c r="AD36" s="124">
        <v>0</v>
      </c>
      <c r="AE36" s="122">
        <v>0</v>
      </c>
      <c r="AF36" s="125">
        <v>717809</v>
      </c>
      <c r="AG36" s="131"/>
      <c r="AI36" s="1"/>
    </row>
    <row r="37" spans="1:42" s="4" customFormat="1" ht="27" customHeight="1">
      <c r="A37" s="200" t="s">
        <v>28</v>
      </c>
      <c r="B37" s="201"/>
      <c r="C37" s="105">
        <v>14.7</v>
      </c>
      <c r="D37" s="107">
        <v>22.1</v>
      </c>
      <c r="E37" s="107">
        <v>1.2</v>
      </c>
      <c r="F37" s="108">
        <v>5.5</v>
      </c>
      <c r="G37" s="108">
        <v>2.1999999999999997</v>
      </c>
      <c r="H37" s="126">
        <v>11.5</v>
      </c>
      <c r="I37" s="105">
        <v>23.3</v>
      </c>
      <c r="J37" s="108">
        <v>21</v>
      </c>
      <c r="K37" s="109">
        <v>35.099999999999994</v>
      </c>
      <c r="L37" s="109">
        <v>33.900000000000006</v>
      </c>
      <c r="M37" s="105">
        <v>23.5</v>
      </c>
      <c r="N37" s="107">
        <v>16.8</v>
      </c>
      <c r="O37" s="107">
        <v>18.099999999999998</v>
      </c>
      <c r="P37" s="107">
        <v>15.1</v>
      </c>
      <c r="Q37" s="107">
        <v>15.7</v>
      </c>
      <c r="R37" s="107">
        <v>6.1</v>
      </c>
      <c r="S37" s="107">
        <v>19.7</v>
      </c>
      <c r="T37" s="108">
        <v>15.1</v>
      </c>
      <c r="U37" s="105">
        <v>48.699999999999996</v>
      </c>
      <c r="V37" s="113" t="s">
        <v>79</v>
      </c>
      <c r="W37" s="110" t="s">
        <v>79</v>
      </c>
      <c r="X37" s="110" t="s">
        <v>79</v>
      </c>
      <c r="Y37" s="111" t="s">
        <v>79</v>
      </c>
      <c r="Z37" s="112" t="s">
        <v>79</v>
      </c>
      <c r="AA37" s="110" t="s">
        <v>79</v>
      </c>
      <c r="AB37" s="110" t="s">
        <v>79</v>
      </c>
      <c r="AC37" s="111" t="s">
        <v>79</v>
      </c>
      <c r="AD37" s="113" t="s">
        <v>79</v>
      </c>
      <c r="AE37" s="111" t="s">
        <v>79</v>
      </c>
      <c r="AF37" s="127">
        <v>33.700000000000003</v>
      </c>
      <c r="AG37" s="131"/>
      <c r="AI37" s="1"/>
    </row>
    <row r="38" spans="1:42" s="4" customFormat="1" ht="27" customHeight="1">
      <c r="A38" s="196" t="s">
        <v>95</v>
      </c>
      <c r="B38" s="197"/>
      <c r="C38" s="74">
        <v>323</v>
      </c>
      <c r="D38" s="75">
        <v>83</v>
      </c>
      <c r="E38" s="75">
        <v>126</v>
      </c>
      <c r="F38" s="76">
        <v>48</v>
      </c>
      <c r="G38" s="77">
        <v>89</v>
      </c>
      <c r="H38" s="78">
        <v>92</v>
      </c>
      <c r="I38" s="74">
        <v>1015</v>
      </c>
      <c r="J38" s="76">
        <v>85</v>
      </c>
      <c r="K38" s="78">
        <v>1340</v>
      </c>
      <c r="L38" s="79">
        <v>1853</v>
      </c>
      <c r="M38" s="74">
        <v>315</v>
      </c>
      <c r="N38" s="75">
        <v>101</v>
      </c>
      <c r="O38" s="75">
        <v>155</v>
      </c>
      <c r="P38" s="75">
        <v>154</v>
      </c>
      <c r="Q38" s="75">
        <v>261</v>
      </c>
      <c r="R38" s="75">
        <v>13</v>
      </c>
      <c r="S38" s="75">
        <v>38</v>
      </c>
      <c r="T38" s="76">
        <v>16</v>
      </c>
      <c r="U38" s="74">
        <v>2430</v>
      </c>
      <c r="V38" s="44">
        <v>0</v>
      </c>
      <c r="W38" s="44">
        <v>0</v>
      </c>
      <c r="X38" s="44">
        <v>0</v>
      </c>
      <c r="Y38" s="45">
        <v>0</v>
      </c>
      <c r="Z38" s="43">
        <v>0</v>
      </c>
      <c r="AA38" s="44">
        <v>0</v>
      </c>
      <c r="AB38" s="44">
        <v>0</v>
      </c>
      <c r="AC38" s="45">
        <v>0</v>
      </c>
      <c r="AD38" s="46">
        <v>0</v>
      </c>
      <c r="AE38" s="45">
        <v>0</v>
      </c>
      <c r="AF38" s="47">
        <v>8537</v>
      </c>
      <c r="AG38" s="131"/>
      <c r="AI38" s="1"/>
    </row>
    <row r="39" spans="1:42" s="4" customFormat="1" ht="27" customHeight="1">
      <c r="A39" s="194" t="s">
        <v>29</v>
      </c>
      <c r="B39" s="195"/>
      <c r="C39" s="60" t="s">
        <v>80</v>
      </c>
      <c r="D39" s="61" t="s">
        <v>80</v>
      </c>
      <c r="E39" s="61" t="s">
        <v>80</v>
      </c>
      <c r="F39" s="62" t="s">
        <v>80</v>
      </c>
      <c r="G39" s="65" t="s">
        <v>80</v>
      </c>
      <c r="H39" s="65" t="s">
        <v>80</v>
      </c>
      <c r="I39" s="60" t="s">
        <v>80</v>
      </c>
      <c r="J39" s="62" t="s">
        <v>80</v>
      </c>
      <c r="K39" s="64" t="s">
        <v>80</v>
      </c>
      <c r="L39" s="64" t="s">
        <v>80</v>
      </c>
      <c r="M39" s="60" t="s">
        <v>80</v>
      </c>
      <c r="N39" s="61" t="s">
        <v>80</v>
      </c>
      <c r="O39" s="61" t="s">
        <v>80</v>
      </c>
      <c r="P39" s="61" t="s">
        <v>80</v>
      </c>
      <c r="Q39" s="61" t="s">
        <v>80</v>
      </c>
      <c r="R39" s="61" t="s">
        <v>80</v>
      </c>
      <c r="S39" s="61" t="s">
        <v>80</v>
      </c>
      <c r="T39" s="62" t="s">
        <v>80</v>
      </c>
      <c r="U39" s="60" t="s">
        <v>80</v>
      </c>
      <c r="V39" s="61" t="s">
        <v>81</v>
      </c>
      <c r="W39" s="61" t="s">
        <v>81</v>
      </c>
      <c r="X39" s="61" t="s">
        <v>81</v>
      </c>
      <c r="Y39" s="62" t="s">
        <v>81</v>
      </c>
      <c r="Z39" s="60" t="s">
        <v>81</v>
      </c>
      <c r="AA39" s="61" t="s">
        <v>81</v>
      </c>
      <c r="AB39" s="61" t="s">
        <v>81</v>
      </c>
      <c r="AC39" s="62" t="s">
        <v>81</v>
      </c>
      <c r="AD39" s="63" t="s">
        <v>81</v>
      </c>
      <c r="AE39" s="62" t="s">
        <v>81</v>
      </c>
      <c r="AF39" s="66"/>
      <c r="AG39" s="131"/>
      <c r="AH39" s="4" t="s">
        <v>118</v>
      </c>
      <c r="AI39" s="144">
        <f>AF38</f>
        <v>8537</v>
      </c>
      <c r="AL39" s="1"/>
      <c r="AM39" s="1"/>
      <c r="AO39" s="1"/>
      <c r="AP39" s="1"/>
    </row>
    <row r="40" spans="1:4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 s="7"/>
      <c r="AH40" s="4" t="s">
        <v>119</v>
      </c>
      <c r="AI40" s="144">
        <f>ROUND(AF29/365,0)</f>
        <v>5842</v>
      </c>
      <c r="AJ40" s="4"/>
    </row>
    <row r="41" spans="1:4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 s="7"/>
      <c r="AH41" s="4" t="s">
        <v>120</v>
      </c>
      <c r="AI41" s="145">
        <f>ROUND(AF38*1000/AF18,1)</f>
        <v>542.20000000000005</v>
      </c>
    </row>
    <row r="42" spans="1:4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 s="7"/>
      <c r="AH42" s="4" t="s">
        <v>121</v>
      </c>
      <c r="AI42" s="145">
        <f>ROUND(AF29*(1000/(AF18*365)),1)</f>
        <v>371.1</v>
      </c>
    </row>
    <row r="43" spans="1:4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 s="7"/>
      <c r="AH43" s="4"/>
      <c r="AI43" s="1" t="s">
        <v>122</v>
      </c>
    </row>
    <row r="44" spans="1:4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 s="7"/>
    </row>
    <row r="45" spans="1:4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 s="7"/>
      <c r="AI45" s="143">
        <f>ROUND((AF29*1000)/(AF18*365),1)</f>
        <v>371.1</v>
      </c>
    </row>
    <row r="46" spans="1:4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 s="7"/>
      <c r="AL46"/>
      <c r="AM46"/>
      <c r="AO46"/>
      <c r="AP46"/>
    </row>
    <row r="47" spans="1:4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 s="7"/>
      <c r="AH47" s="5"/>
      <c r="AL47"/>
      <c r="AM47"/>
      <c r="AO47"/>
      <c r="AP47"/>
    </row>
    <row r="48" spans="1:42" customFormat="1">
      <c r="AF48" s="7"/>
      <c r="AG48" s="129"/>
      <c r="AH48" s="1"/>
      <c r="AI48" s="165"/>
      <c r="AJ48" s="5"/>
      <c r="AK48" s="5"/>
      <c r="AL48" s="5"/>
      <c r="AM48" s="5"/>
    </row>
    <row r="49" spans="32:39" customFormat="1">
      <c r="AF49" s="7"/>
      <c r="AG49" s="129"/>
      <c r="AH49" s="115"/>
      <c r="AI49" s="4"/>
      <c r="AJ49" s="4"/>
      <c r="AK49" s="4"/>
      <c r="AL49" s="4"/>
      <c r="AM49" s="4"/>
    </row>
    <row r="50" spans="32:39" customFormat="1">
      <c r="AF50" s="7"/>
      <c r="AG50" s="129"/>
      <c r="AH50" s="115"/>
      <c r="AI50" s="4"/>
      <c r="AJ50" s="4"/>
      <c r="AK50" s="4"/>
      <c r="AL50" s="4"/>
      <c r="AM50" s="4"/>
    </row>
    <row r="51" spans="32:39" customFormat="1">
      <c r="AF51" s="7"/>
      <c r="AG51" s="129"/>
      <c r="AH51" s="115"/>
      <c r="AI51" s="4"/>
      <c r="AJ51" s="4"/>
      <c r="AK51" s="4"/>
      <c r="AL51" s="4"/>
      <c r="AM51" s="4"/>
    </row>
    <row r="52" spans="32:39" customFormat="1">
      <c r="AF52" s="7"/>
      <c r="AG52" s="129"/>
      <c r="AH52" s="115"/>
      <c r="AI52" s="4"/>
      <c r="AJ52" s="4"/>
      <c r="AK52" s="4"/>
      <c r="AL52" s="4"/>
      <c r="AM52" s="4"/>
    </row>
    <row r="53" spans="32:39" customFormat="1">
      <c r="AF53" s="7"/>
      <c r="AG53" s="129"/>
      <c r="AH53" s="4"/>
      <c r="AI53" s="4"/>
      <c r="AJ53" s="4"/>
      <c r="AK53" s="4"/>
      <c r="AL53" s="4"/>
      <c r="AM53" s="4"/>
    </row>
    <row r="54" spans="32:39" customFormat="1">
      <c r="AF54" s="7"/>
      <c r="AG54" s="129"/>
      <c r="AH54" s="4"/>
      <c r="AI54" s="4"/>
      <c r="AJ54" s="4"/>
      <c r="AK54" s="4"/>
      <c r="AL54" s="4"/>
      <c r="AM54" s="4"/>
    </row>
    <row r="55" spans="32:39" customFormat="1">
      <c r="AF55" s="7"/>
      <c r="AG55" s="129"/>
      <c r="AH55" s="115"/>
      <c r="AI55" s="133"/>
    </row>
    <row r="56" spans="32:39" customFormat="1">
      <c r="AF56" s="7"/>
      <c r="AG56" s="129"/>
      <c r="AH56" s="115"/>
      <c r="AI56" s="133"/>
    </row>
    <row r="57" spans="32:39" customFormat="1">
      <c r="AF57" s="7"/>
      <c r="AG57" s="129"/>
      <c r="AH57" s="115"/>
      <c r="AI57" s="133"/>
    </row>
    <row r="58" spans="32:39" customFormat="1">
      <c r="AF58" s="7"/>
      <c r="AG58" s="129"/>
      <c r="AI58" s="133"/>
    </row>
    <row r="59" spans="32:39" customFormat="1">
      <c r="AF59" s="7"/>
      <c r="AG59" s="129"/>
      <c r="AI59" s="133"/>
    </row>
    <row r="60" spans="32:39" customFormat="1">
      <c r="AF60" s="7"/>
      <c r="AG60" s="129"/>
      <c r="AI60" s="133"/>
    </row>
    <row r="61" spans="32:39" customFormat="1">
      <c r="AF61" s="7"/>
      <c r="AG61" s="129"/>
      <c r="AI61" s="133"/>
    </row>
    <row r="62" spans="32:39" customFormat="1">
      <c r="AF62" s="7"/>
      <c r="AG62" s="129"/>
      <c r="AI62" s="133"/>
    </row>
    <row r="63" spans="32:39" customFormat="1">
      <c r="AF63" s="7"/>
      <c r="AG63" s="129"/>
      <c r="AI63" s="133"/>
    </row>
    <row r="64" spans="32:39" customFormat="1">
      <c r="AF64" s="7"/>
      <c r="AG64" s="129"/>
      <c r="AI64" s="133"/>
    </row>
    <row r="65" spans="32:35" customFormat="1">
      <c r="AF65" s="7"/>
      <c r="AG65" s="129"/>
      <c r="AI65" s="133"/>
    </row>
    <row r="66" spans="32:35" customFormat="1">
      <c r="AF66" s="7"/>
      <c r="AG66" s="129"/>
      <c r="AI66" s="133"/>
    </row>
    <row r="67" spans="32:35" customFormat="1">
      <c r="AF67" s="7"/>
      <c r="AG67" s="129"/>
      <c r="AI67" s="133"/>
    </row>
    <row r="68" spans="32:35" customFormat="1">
      <c r="AF68" s="7"/>
      <c r="AG68" s="129"/>
      <c r="AI68" s="133"/>
    </row>
    <row r="69" spans="32:35" customFormat="1">
      <c r="AF69" s="7"/>
      <c r="AG69" s="129"/>
      <c r="AI69" s="133"/>
    </row>
    <row r="70" spans="32:35" customFormat="1">
      <c r="AF70" s="7"/>
      <c r="AG70" s="129"/>
      <c r="AI70" s="133"/>
    </row>
    <row r="71" spans="32:35" customFormat="1">
      <c r="AF71" s="7"/>
      <c r="AG71" s="129"/>
      <c r="AI71" s="133"/>
    </row>
    <row r="72" spans="32:35" customFormat="1">
      <c r="AF72" s="7"/>
      <c r="AG72" s="129"/>
      <c r="AI72" s="133"/>
    </row>
    <row r="73" spans="32:35" customFormat="1">
      <c r="AF73" s="7"/>
      <c r="AG73" s="129"/>
      <c r="AI73" s="133"/>
    </row>
    <row r="74" spans="32:35" customFormat="1">
      <c r="AF74" s="7"/>
      <c r="AG74" s="129"/>
      <c r="AI74" s="133"/>
    </row>
    <row r="75" spans="32:35" customFormat="1">
      <c r="AF75" s="7"/>
      <c r="AG75" s="129"/>
      <c r="AI75" s="133"/>
    </row>
    <row r="76" spans="32:35" customFormat="1">
      <c r="AF76" s="7"/>
      <c r="AG76" s="129"/>
      <c r="AI76" s="133"/>
    </row>
    <row r="77" spans="32:35" customFormat="1">
      <c r="AF77" s="7"/>
      <c r="AG77" s="129"/>
      <c r="AI77" s="133"/>
    </row>
    <row r="78" spans="32:35" customFormat="1">
      <c r="AF78" s="7"/>
      <c r="AG78" s="129"/>
      <c r="AI78" s="133"/>
    </row>
    <row r="79" spans="32:35" customFormat="1">
      <c r="AF79" s="7"/>
      <c r="AG79" s="129"/>
      <c r="AI79" s="133"/>
    </row>
    <row r="80" spans="32:35" customFormat="1">
      <c r="AF80" s="7"/>
      <c r="AG80" s="129"/>
      <c r="AI80" s="133"/>
    </row>
    <row r="81" spans="32:35" customFormat="1">
      <c r="AF81" s="7"/>
      <c r="AG81" s="129"/>
      <c r="AI81" s="133"/>
    </row>
    <row r="82" spans="32:35" customFormat="1">
      <c r="AF82" s="7"/>
      <c r="AG82" s="129"/>
      <c r="AI82" s="133"/>
    </row>
    <row r="83" spans="32:35" customFormat="1">
      <c r="AF83" s="7"/>
      <c r="AG83" s="129"/>
      <c r="AI83" s="133"/>
    </row>
    <row r="84" spans="32:35" customFormat="1">
      <c r="AF84" s="7"/>
      <c r="AG84" s="129"/>
      <c r="AI84" s="133"/>
    </row>
    <row r="85" spans="32:35" customFormat="1">
      <c r="AF85" s="7"/>
      <c r="AG85" s="129"/>
      <c r="AI85" s="133"/>
    </row>
    <row r="86" spans="32:35" customFormat="1">
      <c r="AF86" s="7"/>
      <c r="AG86" s="129"/>
      <c r="AI86" s="133"/>
    </row>
    <row r="87" spans="32:35" customFormat="1">
      <c r="AF87" s="7"/>
      <c r="AG87" s="129"/>
      <c r="AI87" s="133"/>
    </row>
    <row r="88" spans="32:35" customFormat="1">
      <c r="AF88" s="7"/>
      <c r="AG88" s="129"/>
      <c r="AI88" s="133"/>
    </row>
    <row r="89" spans="32:35" customFormat="1">
      <c r="AF89" s="7"/>
      <c r="AG89" s="129"/>
      <c r="AI89" s="133"/>
    </row>
    <row r="90" spans="32:35" customFormat="1">
      <c r="AF90" s="7"/>
      <c r="AG90" s="129"/>
      <c r="AI90" s="133"/>
    </row>
    <row r="91" spans="32:35" customFormat="1">
      <c r="AF91" s="7"/>
      <c r="AG91" s="129"/>
      <c r="AI91" s="133"/>
    </row>
    <row r="92" spans="32:35" customFormat="1">
      <c r="AF92" s="7"/>
      <c r="AG92" s="129"/>
      <c r="AI92" s="133"/>
    </row>
    <row r="93" spans="32:35" customFormat="1">
      <c r="AF93" s="7"/>
      <c r="AG93" s="129"/>
      <c r="AI93" s="133"/>
    </row>
    <row r="94" spans="32:35" customFormat="1">
      <c r="AF94" s="7"/>
      <c r="AG94" s="129"/>
      <c r="AI94" s="133"/>
    </row>
    <row r="95" spans="32:35" customFormat="1">
      <c r="AF95" s="7"/>
      <c r="AG95" s="129"/>
      <c r="AI95" s="133"/>
    </row>
    <row r="96" spans="32:35" customFormat="1">
      <c r="AF96" s="7"/>
      <c r="AG96" s="129"/>
      <c r="AI96" s="133"/>
    </row>
    <row r="97" spans="32:35" customFormat="1">
      <c r="AF97" s="7"/>
      <c r="AG97" s="129"/>
      <c r="AI97" s="133"/>
    </row>
    <row r="98" spans="32:35" customFormat="1">
      <c r="AF98" s="7"/>
      <c r="AG98" s="129"/>
      <c r="AI98" s="133"/>
    </row>
    <row r="99" spans="32:35" customFormat="1">
      <c r="AF99" s="7"/>
      <c r="AG99" s="129"/>
      <c r="AI99" s="133"/>
    </row>
    <row r="100" spans="32:35" customFormat="1">
      <c r="AF100" s="7"/>
      <c r="AG100" s="129"/>
      <c r="AI100" s="133"/>
    </row>
    <row r="101" spans="32:35" customFormat="1">
      <c r="AF101" s="7"/>
      <c r="AG101" s="129"/>
      <c r="AI101" s="133"/>
    </row>
    <row r="102" spans="32:35" customFormat="1">
      <c r="AF102" s="7"/>
      <c r="AG102" s="129"/>
      <c r="AI102" s="133"/>
    </row>
    <row r="103" spans="32:35" customFormat="1">
      <c r="AF103" s="7"/>
      <c r="AG103" s="129"/>
      <c r="AI103" s="133"/>
    </row>
    <row r="104" spans="32:35" customFormat="1">
      <c r="AF104" s="7"/>
      <c r="AG104" s="129"/>
      <c r="AI104" s="133"/>
    </row>
    <row r="105" spans="32:35" customFormat="1">
      <c r="AF105" s="7"/>
      <c r="AG105" s="129"/>
      <c r="AI105" s="133"/>
    </row>
    <row r="106" spans="32:35" customFormat="1">
      <c r="AF106" s="7"/>
      <c r="AG106" s="129"/>
      <c r="AI106" s="133"/>
    </row>
    <row r="107" spans="32:35" customFormat="1">
      <c r="AF107" s="7"/>
      <c r="AG107" s="129"/>
      <c r="AI107" s="133"/>
    </row>
    <row r="108" spans="32:35" customFormat="1">
      <c r="AF108" s="7"/>
      <c r="AG108" s="129"/>
      <c r="AI108" s="133"/>
    </row>
    <row r="109" spans="32:35" customFormat="1">
      <c r="AF109" s="7"/>
      <c r="AG109" s="129"/>
      <c r="AI109" s="133"/>
    </row>
    <row r="110" spans="32:35" customFormat="1">
      <c r="AF110" s="7"/>
      <c r="AG110" s="129"/>
      <c r="AI110" s="133"/>
    </row>
    <row r="111" spans="32:35" customFormat="1">
      <c r="AF111" s="7"/>
      <c r="AG111" s="129"/>
      <c r="AI111" s="133"/>
    </row>
    <row r="112" spans="32:35" customFormat="1">
      <c r="AF112" s="7"/>
      <c r="AG112" s="129"/>
      <c r="AI112" s="133"/>
    </row>
    <row r="113" spans="32:35" customFormat="1">
      <c r="AF113" s="7"/>
      <c r="AG113" s="129"/>
      <c r="AI113" s="133"/>
    </row>
    <row r="114" spans="32:35" customFormat="1">
      <c r="AF114" s="7"/>
      <c r="AG114" s="129"/>
      <c r="AI114" s="133"/>
    </row>
    <row r="115" spans="32:35" customFormat="1">
      <c r="AF115" s="7"/>
      <c r="AG115" s="129"/>
      <c r="AI115" s="133"/>
    </row>
    <row r="116" spans="32:35" customFormat="1">
      <c r="AF116" s="7"/>
      <c r="AG116" s="129"/>
      <c r="AI116" s="133"/>
    </row>
    <row r="117" spans="32:35" customFormat="1">
      <c r="AF117" s="7"/>
      <c r="AG117" s="129"/>
      <c r="AI117" s="133"/>
    </row>
    <row r="118" spans="32:35" customFormat="1">
      <c r="AF118" s="7"/>
      <c r="AG118" s="129"/>
      <c r="AI118" s="133"/>
    </row>
    <row r="119" spans="32:35" customFormat="1">
      <c r="AF119" s="7"/>
      <c r="AG119" s="129"/>
      <c r="AI119" s="133"/>
    </row>
    <row r="120" spans="32:35" customFormat="1">
      <c r="AF120" s="7"/>
      <c r="AG120" s="129"/>
      <c r="AI120" s="133"/>
    </row>
    <row r="121" spans="32:35" customFormat="1">
      <c r="AF121" s="7"/>
      <c r="AG121" s="129"/>
      <c r="AI121" s="133"/>
    </row>
    <row r="122" spans="32:35" customFormat="1">
      <c r="AF122" s="7"/>
      <c r="AG122" s="129"/>
      <c r="AI122" s="133"/>
    </row>
    <row r="123" spans="32:35" customFormat="1">
      <c r="AF123" s="7"/>
      <c r="AG123" s="129"/>
      <c r="AI123" s="133"/>
    </row>
    <row r="124" spans="32:35" customFormat="1">
      <c r="AF124" s="7"/>
      <c r="AG124" s="129"/>
      <c r="AI124" s="133"/>
    </row>
    <row r="125" spans="32:35" customFormat="1">
      <c r="AF125" s="7"/>
      <c r="AG125" s="129"/>
      <c r="AI125" s="133"/>
    </row>
    <row r="126" spans="32:35" customFormat="1">
      <c r="AF126" s="7"/>
      <c r="AG126" s="129"/>
      <c r="AI126" s="133"/>
    </row>
    <row r="127" spans="32:35" customFormat="1">
      <c r="AF127" s="7"/>
      <c r="AG127" s="129"/>
      <c r="AI127" s="133"/>
    </row>
    <row r="128" spans="32:35" customFormat="1">
      <c r="AF128" s="7"/>
      <c r="AG128" s="129"/>
      <c r="AI128" s="133"/>
    </row>
    <row r="129" spans="32:35" customFormat="1">
      <c r="AF129" s="7"/>
      <c r="AG129" s="129"/>
      <c r="AI129" s="133"/>
    </row>
    <row r="130" spans="32:35" customFormat="1">
      <c r="AF130" s="7"/>
      <c r="AG130" s="129"/>
      <c r="AI130" s="133"/>
    </row>
    <row r="131" spans="32:35" customFormat="1">
      <c r="AF131" s="7"/>
      <c r="AG131" s="129"/>
      <c r="AI131" s="133"/>
    </row>
    <row r="132" spans="32:35" customFormat="1">
      <c r="AF132" s="7"/>
      <c r="AG132" s="129"/>
      <c r="AI132" s="133"/>
    </row>
    <row r="133" spans="32:35" customFormat="1">
      <c r="AF133" s="7"/>
      <c r="AG133" s="129"/>
      <c r="AI133" s="133"/>
    </row>
    <row r="134" spans="32:35" customFormat="1">
      <c r="AF134" s="7"/>
      <c r="AG134" s="129"/>
      <c r="AI134" s="133"/>
    </row>
    <row r="135" spans="32:35" customFormat="1">
      <c r="AF135" s="7"/>
      <c r="AG135" s="129"/>
      <c r="AI135" s="133"/>
    </row>
    <row r="136" spans="32:35" customFormat="1">
      <c r="AF136" s="7"/>
      <c r="AG136" s="129"/>
      <c r="AI136" s="133"/>
    </row>
    <row r="137" spans="32:35" customFormat="1">
      <c r="AF137" s="7"/>
      <c r="AG137" s="129"/>
      <c r="AI137" s="133"/>
    </row>
    <row r="138" spans="32:35" customFormat="1">
      <c r="AF138" s="7"/>
      <c r="AG138" s="129"/>
      <c r="AI138" s="133"/>
    </row>
    <row r="139" spans="32:35" customFormat="1">
      <c r="AF139" s="7"/>
      <c r="AG139" s="129"/>
      <c r="AI139" s="133"/>
    </row>
    <row r="140" spans="32:35" customFormat="1">
      <c r="AF140" s="7"/>
      <c r="AG140" s="129"/>
      <c r="AI140" s="133"/>
    </row>
    <row r="141" spans="32:35" customFormat="1">
      <c r="AF141" s="7"/>
      <c r="AG141" s="129"/>
      <c r="AI141" s="133"/>
    </row>
    <row r="142" spans="32:35" customFormat="1">
      <c r="AF142" s="7"/>
      <c r="AG142" s="129"/>
      <c r="AI142" s="133"/>
    </row>
    <row r="143" spans="32:35" customFormat="1">
      <c r="AF143" s="7"/>
      <c r="AG143" s="129"/>
      <c r="AI143" s="133"/>
    </row>
    <row r="144" spans="32:35" customFormat="1">
      <c r="AF144" s="7"/>
      <c r="AG144" s="129"/>
      <c r="AI144" s="133"/>
    </row>
    <row r="145" spans="32:42" customFormat="1">
      <c r="AF145" s="7"/>
      <c r="AG145" s="129"/>
      <c r="AI145" s="133"/>
    </row>
    <row r="146" spans="32:42" customFormat="1">
      <c r="AF146" s="7"/>
      <c r="AG146" s="129"/>
      <c r="AI146" s="133"/>
    </row>
    <row r="147" spans="32:42" customFormat="1">
      <c r="AF147" s="7"/>
      <c r="AG147" s="129"/>
      <c r="AI147" s="133"/>
    </row>
    <row r="148" spans="32:42" customFormat="1">
      <c r="AF148" s="7"/>
      <c r="AG148" s="129"/>
      <c r="AI148" s="133"/>
      <c r="AL148" s="1"/>
      <c r="AM148" s="1"/>
      <c r="AO148" s="1"/>
      <c r="AP148" s="1"/>
    </row>
    <row r="149" spans="32:42">
      <c r="AH149"/>
      <c r="AI149" s="133"/>
      <c r="AJ149"/>
    </row>
    <row r="150" spans="32:42">
      <c r="AH150"/>
      <c r="AI150" s="133"/>
    </row>
    <row r="151" spans="32:42">
      <c r="AH151"/>
      <c r="AI151" s="133"/>
    </row>
    <row r="152" spans="32:42">
      <c r="AH152"/>
      <c r="AI152" s="133"/>
    </row>
  </sheetData>
  <mergeCells count="36">
    <mergeCell ref="A15:B15"/>
    <mergeCell ref="A1:B1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</mergeCells>
  <phoneticPr fontId="33"/>
  <pageMargins left="0.70866141732283472" right="0.31496062992125984" top="0.74803149606299213" bottom="0.74803149606299213" header="0.31496062992125984" footer="0.31496062992125984"/>
  <pageSetup paperSize="9" scale="76" fitToWidth="0" orientation="portrait" blackAndWhite="1" r:id="rId1"/>
  <headerFooter alignWithMargins="0">
    <oddHeader>&amp;L&amp;"ＭＳ 明朝,標準"&amp;20 19　簡易水道の概況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 (R6完成）</vt:lpstr>
      <vt:lpstr>'19 (R6完成）'!Print_Area</vt:lpstr>
      <vt:lpstr>'19 (R6完成）'!Print_Titles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2018-06-28T06:43:13Z</dcterms:created>
  <dcterms:modified xsi:type="dcterms:W3CDTF">2026-02-17T00:15:39Z</dcterms:modified>
</cp:coreProperties>
</file>